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055" yWindow="945" windowWidth="13335" windowHeight="6660" tabRatio="669"/>
  </bookViews>
  <sheets>
    <sheet name="Facteurs_Activités" sheetId="1" r:id="rId1"/>
    <sheet name="Activités_Phases_Ressources" sheetId="2" r:id="rId2"/>
    <sheet name="Parten.Fourn." sheetId="3" r:id="rId3"/>
    <sheet name="DépRésum" sheetId="4" state="hidden" r:id="rId4"/>
    <sheet name="DépTous" sheetId="5" state="hidden" r:id="rId5"/>
    <sheet name="Listes" sheetId="6" state="hidden" r:id="rId6"/>
  </sheets>
  <externalReferences>
    <externalReference r:id="rId7"/>
    <externalReference r:id="rId8"/>
  </externalReferences>
  <definedNames>
    <definedName name="_xlnm._FilterDatabase" localSheetId="1" hidden="1">Activités_Phases_Ressources!$B$131:$B$205</definedName>
    <definedName name="_xlnm._FilterDatabase" localSheetId="0" hidden="1">Facteurs_Activités!$A$19:$F$41</definedName>
    <definedName name="CreationClosingHighlightDuration" localSheetId="2">[1]ReadMe_Versions!#REF!</definedName>
    <definedName name="HighlightCreationDate" localSheetId="2">[1]ReadMe_Versions!#REF!</definedName>
    <definedName name="HighlightDueDate" localSheetId="2">[1]ReadMe_Versions!#REF!</definedName>
    <definedName name="Impact" localSheetId="2">[2]Risks!#REF!</definedName>
    <definedName name="NomProjet" localSheetId="2">#REF!</definedName>
    <definedName name="NomProjet">Facteurs_Activités!$A$2</definedName>
    <definedName name="_xlnm.Print_Area" localSheetId="1">Activités_Phases_Ressources!$A$1:$Y$190</definedName>
    <definedName name="_xlnm.Print_Area" localSheetId="0">Facteurs_Activités!$A$1:$W$124</definedName>
    <definedName name="_xlnm.Print_Area" localSheetId="2">Parten.Fourn.!$D$1:$T$48</definedName>
    <definedName name="_xlnm.Print_Titles" localSheetId="0">Facteurs_Activités!$A:$D,Facteurs_Activités!$19:$19</definedName>
    <definedName name="_xlnm.Print_Titles" localSheetId="2">Parten.Fourn.!$1:$6</definedName>
    <definedName name="RolesFonctions" localSheetId="2">#REF!</definedName>
    <definedName name="Z_98F7EBC4_E110_4841_A2DB_2D2637E925A0_.wvu.Cols" localSheetId="1" hidden="1">Activités_Phases_Ressources!$A:$A,Activités_Phases_Ressources!$T:$V</definedName>
    <definedName name="Z_98F7EBC4_E110_4841_A2DB_2D2637E925A0_.wvu.Cols" localSheetId="2" hidden="1">Parten.Fourn.!$A:$C,Parten.Fourn.!$F:$F</definedName>
    <definedName name="Z_98F7EBC4_E110_4841_A2DB_2D2637E925A0_.wvu.FilterData" localSheetId="1" hidden="1">Activités_Phases_Ressources!$B$131:$B$205</definedName>
    <definedName name="Z_98F7EBC4_E110_4841_A2DB_2D2637E925A0_.wvu.FilterData" localSheetId="0" hidden="1">Facteurs_Activités!$A$19:$F$41</definedName>
    <definedName name="Z_98F7EBC4_E110_4841_A2DB_2D2637E925A0_.wvu.PrintArea" localSheetId="1" hidden="1">Activités_Phases_Ressources!$A$1:$Y$190</definedName>
    <definedName name="Z_98F7EBC4_E110_4841_A2DB_2D2637E925A0_.wvu.PrintArea" localSheetId="0" hidden="1">Facteurs_Activités!$A$1:$W$124</definedName>
    <definedName name="Z_98F7EBC4_E110_4841_A2DB_2D2637E925A0_.wvu.PrintArea" localSheetId="2" hidden="1">Parten.Fourn.!$D$1:$T$48</definedName>
    <definedName name="Z_98F7EBC4_E110_4841_A2DB_2D2637E925A0_.wvu.PrintTitles" localSheetId="0" hidden="1">Facteurs_Activités!$A:$D,Facteurs_Activités!$19:$19</definedName>
    <definedName name="Z_98F7EBC4_E110_4841_A2DB_2D2637E925A0_.wvu.PrintTitles" localSheetId="2" hidden="1">Parten.Fourn.!$1:$6</definedName>
    <definedName name="Z_98F7EBC4_E110_4841_A2DB_2D2637E925A0_.wvu.Rows" localSheetId="1" hidden="1">Activités_Phases_Ressources!$5:$7,Activités_Phases_Ressources!$9:$11,Activités_Phases_Ressources!$13:$15,Activités_Phases_Ressources!$17:$19,Activités_Phases_Ressources!$21:$23,Activités_Phases_Ressources!$25:$28,Activités_Phases_Ressources!$30:$33,Activités_Phases_Ressources!$35:$37,Activités_Phases_Ressources!$39:$41,Activités_Phases_Ressources!$43:$47,Activités_Phases_Ressources!$49:$53,Activités_Phases_Ressources!$55:$58,Activités_Phases_Ressources!$60:$62,Activités_Phases_Ressources!$64:$66,Activités_Phases_Ressources!$68:$70,Activités_Phases_Ressources!$72:$84,Activités_Phases_Ressources!$86:$99,Activités_Phases_Ressources!$132:$137,Activités_Phases_Ressources!$140:$142,Activités_Phases_Ressources!$145:$147,Activités_Phases_Ressources!$150:$153,Activités_Phases_Ressources!$156:$161,Activités_Phases_Ressources!$164:$166,Activités_Phases_Ressources!$169:$172,Activités_Phases_Ressources!$175:$178,Activités_Phases_Ressources!$181:$183,Activités_Phases_Ressources!$186:$188</definedName>
    <definedName name="Z_98F7EBC4_E110_4841_A2DB_2D2637E925A0_.wvu.Rows" localSheetId="0" hidden="1">Facteurs_Activités!$1:$1,Facteurs_Activités!$3:$15,Facteurs_Activités!$22:$27,Facteurs_Activités!$29:$35,Facteurs_Activités!$37:$42,Facteurs_Activités!$44:$49,Facteurs_Activités!$51:$55,Facteurs_Activités!$57:$61,Facteurs_Activités!$63:$68,Facteurs_Activités!$70:$75,Facteurs_Activités!$77:$82,Facteurs_Activités!$84:$89,Facteurs_Activités!$91:$96,Facteurs_Activités!$98:$101,Facteurs_Activités!$103:$109,Facteurs_Activités!$111:$115,Facteurs_Activités!$117:$123,Facteurs_Activités!$125:$129</definedName>
    <definedName name="Z_98F7EBC4_E110_4841_A2DB_2D2637E925A0_.wvu.Rows" localSheetId="2" hidden="1">Parten.Fourn.!$37:$37</definedName>
  </definedNames>
  <calcPr calcId="125725" concurrentCalc="0"/>
  <customWorkbookViews>
    <customWorkbookView name="NIU Chunrui - Personal View" guid="{98F7EBC4-E110-4841-A2DB-2D2637E925A0}" mergeInterval="0" personalView="1" maximized="1" xWindow="1" yWindow="1" windowWidth="1280" windowHeight="579" tabRatio="669" activeSheetId="1"/>
  </customWorkbookViews>
</workbook>
</file>

<file path=xl/calcChain.xml><?xml version="1.0" encoding="utf-8"?>
<calcChain xmlns="http://schemas.openxmlformats.org/spreadsheetml/2006/main">
  <c r="M21" i="1"/>
  <c r="A28"/>
  <c r="M28"/>
  <c r="A36"/>
  <c r="A43"/>
  <c r="A50"/>
  <c r="A56"/>
  <c r="A62"/>
  <c r="A69"/>
  <c r="A76"/>
  <c r="A83"/>
  <c r="A90"/>
  <c r="A97"/>
  <c r="A102"/>
  <c r="A110"/>
  <c r="A116"/>
  <c r="A124"/>
  <c r="M36"/>
  <c r="M43"/>
  <c r="M50"/>
  <c r="M56"/>
  <c r="M62"/>
  <c r="M69"/>
  <c r="M76"/>
  <c r="M83"/>
  <c r="M90"/>
  <c r="M97"/>
  <c r="M102"/>
  <c r="M110"/>
  <c r="M116"/>
  <c r="M124"/>
  <c r="M11" a="1"/>
  <c r="M11"/>
  <c r="M15"/>
  <c r="N21"/>
  <c r="N28"/>
  <c r="N36"/>
  <c r="N43"/>
  <c r="N50"/>
  <c r="N56"/>
  <c r="N62"/>
  <c r="N69"/>
  <c r="N76"/>
  <c r="N83"/>
  <c r="N90"/>
  <c r="N97"/>
  <c r="N102"/>
  <c r="N110"/>
  <c r="N116"/>
  <c r="N124"/>
  <c r="N11" a="1"/>
  <c r="N11"/>
  <c r="N15"/>
  <c r="P21"/>
  <c r="P28"/>
  <c r="P36"/>
  <c r="P43"/>
  <c r="P50"/>
  <c r="P56"/>
  <c r="P62"/>
  <c r="P69"/>
  <c r="P76"/>
  <c r="P83"/>
  <c r="P90"/>
  <c r="P97"/>
  <c r="P102"/>
  <c r="P110"/>
  <c r="P116"/>
  <c r="P124"/>
  <c r="P11" a="1"/>
  <c r="P11"/>
  <c r="P15"/>
  <c r="W21"/>
  <c r="W28"/>
  <c r="W36"/>
  <c r="W43"/>
  <c r="W50"/>
  <c r="W56"/>
  <c r="W62"/>
  <c r="W69"/>
  <c r="W76"/>
  <c r="W83"/>
  <c r="W90"/>
  <c r="W97"/>
  <c r="W102"/>
  <c r="W110"/>
  <c r="W116"/>
  <c r="W124"/>
  <c r="W11" a="1"/>
  <c r="W11"/>
  <c r="W15"/>
  <c r="Q21"/>
  <c r="Q28"/>
  <c r="Q36"/>
  <c r="Q43"/>
  <c r="Q50"/>
  <c r="Q56"/>
  <c r="Q62"/>
  <c r="Q69"/>
  <c r="Q76"/>
  <c r="Q83"/>
  <c r="Q90"/>
  <c r="Q97"/>
  <c r="Q102"/>
  <c r="Q110"/>
  <c r="Q116"/>
  <c r="Q124"/>
  <c r="Q11" a="1"/>
  <c r="Q11"/>
  <c r="Q15"/>
  <c r="R21"/>
  <c r="R28"/>
  <c r="R36"/>
  <c r="R43"/>
  <c r="R50"/>
  <c r="R56"/>
  <c r="R62"/>
  <c r="R69"/>
  <c r="R76"/>
  <c r="R83"/>
  <c r="R90"/>
  <c r="R97"/>
  <c r="R102"/>
  <c r="R110"/>
  <c r="R116"/>
  <c r="R124"/>
  <c r="R11" a="1"/>
  <c r="R11"/>
  <c r="R15"/>
  <c r="S21"/>
  <c r="S28"/>
  <c r="S36"/>
  <c r="S43"/>
  <c r="S50"/>
  <c r="S56"/>
  <c r="S62"/>
  <c r="S69"/>
  <c r="S76"/>
  <c r="S83"/>
  <c r="S90"/>
  <c r="S97"/>
  <c r="S102"/>
  <c r="S110"/>
  <c r="S116"/>
  <c r="S124"/>
  <c r="S11" a="1"/>
  <c r="S11"/>
  <c r="S15"/>
  <c r="T21"/>
  <c r="T28"/>
  <c r="T36"/>
  <c r="T43"/>
  <c r="T50"/>
  <c r="T56"/>
  <c r="T62"/>
  <c r="T69"/>
  <c r="T76"/>
  <c r="T83"/>
  <c r="T90"/>
  <c r="T97"/>
  <c r="T102"/>
  <c r="T110"/>
  <c r="T116"/>
  <c r="T124"/>
  <c r="T11" a="1"/>
  <c r="T11"/>
  <c r="T15"/>
  <c r="U21"/>
  <c r="U28"/>
  <c r="U36"/>
  <c r="U43"/>
  <c r="U50"/>
  <c r="U56"/>
  <c r="U62"/>
  <c r="U69"/>
  <c r="U76"/>
  <c r="U83"/>
  <c r="U90"/>
  <c r="U97"/>
  <c r="U102"/>
  <c r="U110"/>
  <c r="U116"/>
  <c r="U124"/>
  <c r="U11" a="1"/>
  <c r="U11"/>
  <c r="U15"/>
  <c r="I21"/>
  <c r="I28"/>
  <c r="I36"/>
  <c r="I43"/>
  <c r="I50"/>
  <c r="I56"/>
  <c r="I62"/>
  <c r="I69"/>
  <c r="I76"/>
  <c r="I83"/>
  <c r="I90"/>
  <c r="I97"/>
  <c r="I102"/>
  <c r="I110"/>
  <c r="I116"/>
  <c r="I124"/>
  <c r="I11" a="1"/>
  <c r="I11"/>
  <c r="I15"/>
  <c r="A9" i="3"/>
  <c r="A12"/>
  <c r="A13"/>
  <c r="A14"/>
  <c r="A15"/>
  <c r="A16"/>
  <c r="A17"/>
  <c r="A18"/>
  <c r="A19"/>
  <c r="A20"/>
  <c r="A21"/>
  <c r="A22"/>
  <c r="A23"/>
  <c r="A24"/>
  <c r="A25"/>
  <c r="A26"/>
  <c r="A27"/>
  <c r="A28"/>
  <c r="A29"/>
  <c r="A32"/>
  <c r="A33"/>
  <c r="A34"/>
  <c r="A35"/>
  <c r="A36"/>
  <c r="A37"/>
  <c r="A38"/>
  <c r="A39"/>
  <c r="A40"/>
  <c r="A41"/>
  <c r="A42"/>
  <c r="A43"/>
  <c r="A44"/>
  <c r="A45"/>
  <c r="A46"/>
  <c r="A47"/>
  <c r="B9"/>
  <c r="B12"/>
  <c r="B13"/>
  <c r="B14"/>
  <c r="B15"/>
  <c r="B16"/>
  <c r="B17"/>
  <c r="B18"/>
  <c r="B19"/>
  <c r="B20"/>
  <c r="B21"/>
  <c r="B22"/>
  <c r="B23"/>
  <c r="B24"/>
  <c r="B25"/>
  <c r="B26"/>
  <c r="B27"/>
  <c r="B28"/>
  <c r="B29"/>
  <c r="B32"/>
  <c r="B33"/>
  <c r="B34"/>
  <c r="B35"/>
  <c r="B36"/>
  <c r="B37"/>
  <c r="B38"/>
  <c r="B39"/>
  <c r="B40"/>
  <c r="B41"/>
  <c r="B42"/>
  <c r="B43"/>
  <c r="B44"/>
  <c r="B45"/>
  <c r="B46"/>
  <c r="B47"/>
  <c r="I24"/>
  <c r="I27"/>
  <c r="I38"/>
  <c r="I31"/>
  <c r="I15"/>
  <c r="I11"/>
  <c r="L38" a="1"/>
  <c r="L38"/>
  <c r="L31"/>
  <c r="L15" a="1"/>
  <c r="L15"/>
  <c r="L11"/>
  <c r="L8" a="1"/>
  <c r="L8"/>
  <c r="C9"/>
  <c r="C12"/>
  <c r="C13"/>
  <c r="C14"/>
  <c r="C15"/>
  <c r="C16"/>
  <c r="C17"/>
  <c r="C18"/>
  <c r="C19"/>
  <c r="C20"/>
  <c r="C21"/>
  <c r="C22"/>
  <c r="C23"/>
  <c r="C24"/>
  <c r="C25"/>
  <c r="C26"/>
  <c r="C27"/>
  <c r="C28"/>
  <c r="C29"/>
  <c r="C32"/>
  <c r="C33"/>
  <c r="C34"/>
  <c r="C35"/>
  <c r="C36"/>
  <c r="C37"/>
  <c r="C38"/>
  <c r="C39"/>
  <c r="C40"/>
  <c r="C41"/>
  <c r="C42"/>
  <c r="C43"/>
  <c r="C44"/>
  <c r="C45"/>
  <c r="C46"/>
  <c r="C47"/>
  <c r="L6" a="1"/>
  <c r="L6"/>
  <c r="M38" a="1"/>
  <c r="M38"/>
  <c r="M31"/>
  <c r="M15" a="1"/>
  <c r="M15"/>
  <c r="M11"/>
  <c r="M8" a="1"/>
  <c r="M8"/>
  <c r="M6" a="1"/>
  <c r="M6"/>
  <c r="N38" a="1"/>
  <c r="N38"/>
  <c r="N31"/>
  <c r="N15" a="1"/>
  <c r="N15"/>
  <c r="N11"/>
  <c r="N8" a="1"/>
  <c r="N8"/>
  <c r="N6" a="1"/>
  <c r="O38" a="1"/>
  <c r="O38"/>
  <c r="O31"/>
  <c r="O15" a="1"/>
  <c r="O15"/>
  <c r="O11"/>
  <c r="O8" a="1"/>
  <c r="O8"/>
  <c r="O6" a="1"/>
  <c r="N6"/>
  <c r="O6"/>
  <c r="L5"/>
  <c r="J16" i="1"/>
  <c r="J15"/>
  <c r="K21"/>
  <c r="K28"/>
  <c r="K36"/>
  <c r="K43"/>
  <c r="K50"/>
  <c r="K56"/>
  <c r="K62"/>
  <c r="K69"/>
  <c r="K76"/>
  <c r="K83"/>
  <c r="K90"/>
  <c r="K97"/>
  <c r="K102"/>
  <c r="K110"/>
  <c r="K116"/>
  <c r="K124"/>
  <c r="K11" a="1"/>
  <c r="K11"/>
  <c r="K15"/>
  <c r="L21"/>
  <c r="L28"/>
  <c r="L36"/>
  <c r="L43"/>
  <c r="L50"/>
  <c r="L56"/>
  <c r="L62"/>
  <c r="L69"/>
  <c r="L76"/>
  <c r="L83"/>
  <c r="L90"/>
  <c r="L97"/>
  <c r="L102"/>
  <c r="L110"/>
  <c r="L116"/>
  <c r="L124"/>
  <c r="L11" a="1"/>
  <c r="L11"/>
  <c r="L15"/>
  <c r="H21"/>
  <c r="H28"/>
  <c r="H36"/>
  <c r="H43"/>
  <c r="H50"/>
  <c r="H56"/>
  <c r="H62"/>
  <c r="H69"/>
  <c r="H76"/>
  <c r="H83"/>
  <c r="H90"/>
  <c r="H97"/>
  <c r="H102"/>
  <c r="H110"/>
  <c r="H116"/>
  <c r="H124"/>
  <c r="H11" a="1"/>
  <c r="H11"/>
  <c r="H15"/>
  <c r="F15"/>
  <c r="E15"/>
  <c r="H16"/>
  <c r="I16"/>
  <c r="K16"/>
  <c r="L16"/>
  <c r="M16"/>
  <c r="N16"/>
  <c r="P16"/>
  <c r="Q16"/>
  <c r="R16"/>
  <c r="S16"/>
  <c r="T16"/>
  <c r="U16"/>
  <c r="W16"/>
  <c r="H18"/>
  <c r="I18"/>
  <c r="J18"/>
  <c r="K18"/>
  <c r="H17"/>
  <c r="D17"/>
  <c r="A8" i="3"/>
  <c r="B8"/>
  <c r="I39"/>
  <c r="I16"/>
  <c r="C8"/>
  <c r="W19" i="1"/>
  <c r="V19"/>
  <c r="T19"/>
  <c r="S19"/>
  <c r="B54" i="2"/>
  <c r="A54"/>
  <c r="A55"/>
  <c r="A56"/>
  <c r="A57"/>
  <c r="A58"/>
  <c r="R19" i="1"/>
  <c r="Q19"/>
  <c r="P19"/>
  <c r="M19"/>
  <c r="J19"/>
  <c r="L19"/>
  <c r="K19"/>
  <c r="I19"/>
  <c r="B16"/>
  <c r="M9"/>
  <c r="M10"/>
  <c r="N9"/>
  <c r="N10"/>
  <c r="P9"/>
  <c r="P10"/>
  <c r="W9"/>
  <c r="W10"/>
  <c r="Q9"/>
  <c r="Q10"/>
  <c r="R9"/>
  <c r="R10"/>
  <c r="S9"/>
  <c r="S10"/>
  <c r="T9"/>
  <c r="T10"/>
  <c r="U9"/>
  <c r="U10"/>
  <c r="H9"/>
  <c r="H10"/>
  <c r="I9"/>
  <c r="I10"/>
  <c r="K9"/>
  <c r="K10"/>
  <c r="L9"/>
  <c r="L10"/>
  <c r="H19"/>
  <c r="F21"/>
  <c r="F43"/>
  <c r="F56"/>
  <c r="F62"/>
  <c r="F83"/>
  <c r="O15"/>
  <c r="F69"/>
  <c r="F76"/>
  <c r="F110"/>
  <c r="F116"/>
  <c r="W12"/>
  <c r="F124"/>
  <c r="F36"/>
  <c r="F90"/>
  <c r="F50"/>
  <c r="Q2" i="3"/>
  <c r="G21"/>
  <c r="L24"/>
  <c r="L27"/>
  <c r="M24"/>
  <c r="M27"/>
  <c r="N24"/>
  <c r="N27"/>
  <c r="O24"/>
  <c r="O27"/>
  <c r="I9"/>
  <c r="A11"/>
  <c r="H13"/>
  <c r="I13"/>
  <c r="A31"/>
  <c r="I17"/>
  <c r="I18"/>
  <c r="I19"/>
  <c r="I20"/>
  <c r="I22"/>
  <c r="I23"/>
  <c r="I25"/>
  <c r="I26"/>
  <c r="I28"/>
  <c r="I29"/>
  <c r="I33"/>
  <c r="I34"/>
  <c r="I35"/>
  <c r="I36"/>
  <c r="N32"/>
  <c r="I40"/>
  <c r="I41"/>
  <c r="I42"/>
  <c r="I43"/>
  <c r="I44"/>
  <c r="I45"/>
  <c r="I46"/>
  <c r="I47"/>
  <c r="C31"/>
  <c r="D9"/>
  <c r="D12"/>
  <c r="D13"/>
  <c r="D14"/>
  <c r="D15"/>
  <c r="D16"/>
  <c r="D17"/>
  <c r="D18"/>
  <c r="D19"/>
  <c r="D20"/>
  <c r="D21"/>
  <c r="D22"/>
  <c r="D23"/>
  <c r="D24"/>
  <c r="D25"/>
  <c r="D26"/>
  <c r="D27"/>
  <c r="D28"/>
  <c r="D29"/>
  <c r="D31"/>
  <c r="D32"/>
  <c r="D33"/>
  <c r="D34"/>
  <c r="D35"/>
  <c r="D36"/>
  <c r="D37"/>
  <c r="D38"/>
  <c r="D39"/>
  <c r="D40"/>
  <c r="D41"/>
  <c r="D42"/>
  <c r="D43"/>
  <c r="D44"/>
  <c r="D45"/>
  <c r="D46"/>
  <c r="D47"/>
  <c r="W9" i="2"/>
  <c r="W10"/>
  <c r="W11"/>
  <c r="W12"/>
  <c r="V15" i="1"/>
  <c r="W117"/>
  <c r="W118"/>
  <c r="W119"/>
  <c r="W120"/>
  <c r="W121"/>
  <c r="W122"/>
  <c r="B4" i="2"/>
  <c r="A4"/>
  <c r="A5"/>
  <c r="A6"/>
  <c r="B8"/>
  <c r="A8"/>
  <c r="A9"/>
  <c r="A10"/>
  <c r="A11"/>
  <c r="B12"/>
  <c r="A12"/>
  <c r="A13"/>
  <c r="A14"/>
  <c r="A15"/>
  <c r="B16"/>
  <c r="A16"/>
  <c r="A17"/>
  <c r="B20"/>
  <c r="A20"/>
  <c r="A21"/>
  <c r="A22"/>
  <c r="A23"/>
  <c r="B24"/>
  <c r="A24"/>
  <c r="A25"/>
  <c r="A26"/>
  <c r="A27"/>
  <c r="N19" i="1"/>
  <c r="O19"/>
  <c r="B34" i="2"/>
  <c r="A34"/>
  <c r="A35"/>
  <c r="A36"/>
  <c r="B38"/>
  <c r="A38"/>
  <c r="A39"/>
  <c r="A40"/>
  <c r="A41"/>
  <c r="B42"/>
  <c r="A42"/>
  <c r="A43"/>
  <c r="A44"/>
  <c r="A45"/>
  <c r="B48"/>
  <c r="A48"/>
  <c r="A49"/>
  <c r="A50"/>
  <c r="A51"/>
  <c r="A52"/>
  <c r="A53"/>
  <c r="B59"/>
  <c r="A59"/>
  <c r="A60"/>
  <c r="A61"/>
  <c r="A62"/>
  <c r="U19" i="1"/>
  <c r="B67" i="2"/>
  <c r="A67"/>
  <c r="A68"/>
  <c r="A69"/>
  <c r="A70"/>
  <c r="B71"/>
  <c r="A71"/>
  <c r="A72"/>
  <c r="A73"/>
  <c r="B63"/>
  <c r="A63"/>
  <c r="A64"/>
  <c r="B29"/>
  <c r="A29"/>
  <c r="A30"/>
  <c r="E110"/>
  <c r="E109"/>
  <c r="E108"/>
  <c r="E107"/>
  <c r="E106"/>
  <c r="B85"/>
  <c r="A85"/>
  <c r="A86"/>
  <c r="A87"/>
  <c r="B1"/>
  <c r="W1"/>
  <c r="A180"/>
  <c r="O1" i="1"/>
  <c r="P1"/>
  <c r="W1"/>
  <c r="V1"/>
  <c r="Y21"/>
  <c r="Y43"/>
  <c r="Y56"/>
  <c r="Y62"/>
  <c r="Y83"/>
  <c r="Y69"/>
  <c r="Y76"/>
  <c r="Y110"/>
  <c r="Y116"/>
  <c r="Y124"/>
  <c r="Y36"/>
  <c r="Y28"/>
  <c r="Y90"/>
  <c r="Y50"/>
  <c r="AA43"/>
  <c r="AA62"/>
  <c r="AA76"/>
  <c r="AA110"/>
  <c r="AA21"/>
  <c r="Z28"/>
  <c r="F28"/>
  <c r="AA28"/>
  <c r="V28"/>
  <c r="O28"/>
  <c r="J28"/>
  <c r="AA69"/>
  <c r="V69"/>
  <c r="O69"/>
  <c r="J69"/>
  <c r="W71" i="2"/>
  <c r="W67"/>
  <c r="W63"/>
  <c r="W59"/>
  <c r="W54"/>
  <c r="W48"/>
  <c r="W42"/>
  <c r="W38"/>
  <c r="W34"/>
  <c r="W29"/>
  <c r="W24"/>
  <c r="W20"/>
  <c r="W4"/>
  <c r="A185"/>
  <c r="A186"/>
  <c r="A187"/>
  <c r="A188"/>
  <c r="C188"/>
  <c r="A181"/>
  <c r="A182"/>
  <c r="A174"/>
  <c r="A175"/>
  <c r="A176"/>
  <c r="A168"/>
  <c r="A169"/>
  <c r="A170"/>
  <c r="C170"/>
  <c r="A163"/>
  <c r="A164"/>
  <c r="A165"/>
  <c r="C165"/>
  <c r="A155"/>
  <c r="A156"/>
  <c r="A157"/>
  <c r="A149"/>
  <c r="A150"/>
  <c r="A151"/>
  <c r="C151"/>
  <c r="A144"/>
  <c r="A145"/>
  <c r="A146"/>
  <c r="A139"/>
  <c r="A140"/>
  <c r="A141"/>
  <c r="A131"/>
  <c r="A132"/>
  <c r="A133"/>
  <c r="C133"/>
  <c r="E134"/>
  <c r="E135"/>
  <c r="E136"/>
  <c r="H134"/>
  <c r="H135"/>
  <c r="H136"/>
  <c r="K134"/>
  <c r="K135"/>
  <c r="K136"/>
  <c r="N134"/>
  <c r="N135"/>
  <c r="N136"/>
  <c r="R157"/>
  <c r="R158"/>
  <c r="R159"/>
  <c r="R160"/>
  <c r="R161"/>
  <c r="R166"/>
  <c r="E183"/>
  <c r="H182"/>
  <c r="K182"/>
  <c r="K183"/>
  <c r="N182"/>
  <c r="N183"/>
  <c r="E187"/>
  <c r="E188"/>
  <c r="H188"/>
  <c r="K188"/>
  <c r="N188"/>
  <c r="R187"/>
  <c r="V56" i="1"/>
  <c r="O56"/>
  <c r="J56"/>
  <c r="V76"/>
  <c r="O76"/>
  <c r="J76"/>
  <c r="V97"/>
  <c r="O97"/>
  <c r="J97"/>
  <c r="V102"/>
  <c r="O102"/>
  <c r="J102"/>
  <c r="V116"/>
  <c r="O116"/>
  <c r="J116"/>
  <c r="V124"/>
  <c r="O124"/>
  <c r="J124"/>
  <c r="V110"/>
  <c r="O110"/>
  <c r="J110"/>
  <c r="V50"/>
  <c r="O50"/>
  <c r="J50"/>
  <c r="V83"/>
  <c r="O83"/>
  <c r="J83"/>
  <c r="V90"/>
  <c r="O90"/>
  <c r="J90"/>
  <c r="V62"/>
  <c r="O62"/>
  <c r="J62"/>
  <c r="V43"/>
  <c r="O43"/>
  <c r="J43"/>
  <c r="V36"/>
  <c r="O36"/>
  <c r="J36"/>
  <c r="V21"/>
  <c r="O21"/>
  <c r="J21"/>
  <c r="Y97"/>
  <c r="F97"/>
  <c r="O1" i="2"/>
  <c r="L1"/>
  <c r="I1"/>
  <c r="F1"/>
  <c r="Y102" i="1"/>
  <c r="F102"/>
  <c r="X130" i="2"/>
  <c r="AA90" i="1"/>
  <c r="AA124"/>
  <c r="AA97"/>
  <c r="AA116"/>
  <c r="AA102"/>
  <c r="AA56"/>
  <c r="AA50"/>
  <c r="AA83"/>
  <c r="AA36"/>
  <c r="H183" i="2"/>
  <c r="C11" i="3"/>
  <c r="M32"/>
  <c r="B31"/>
  <c r="B11"/>
  <c r="O32"/>
  <c r="B17" i="1"/>
  <c r="W2" i="2"/>
  <c r="C12" i="1"/>
  <c r="O13"/>
  <c r="O14"/>
  <c r="N1"/>
  <c r="V13"/>
  <c r="V14"/>
  <c r="M1"/>
  <c r="R2" i="2"/>
  <c r="R1"/>
  <c r="N12" i="3"/>
  <c r="K12"/>
  <c r="L12"/>
  <c r="M12"/>
  <c r="O12"/>
  <c r="N2" i="2"/>
  <c r="M16"/>
  <c r="K2"/>
  <c r="E2"/>
  <c r="H2"/>
  <c r="L32" i="3"/>
  <c r="K32"/>
  <c r="I32"/>
  <c r="A152" i="2"/>
  <c r="C187"/>
  <c r="C157"/>
  <c r="A158"/>
  <c r="A159"/>
  <c r="A171"/>
  <c r="C171"/>
  <c r="A28"/>
  <c r="C146"/>
  <c r="A147"/>
  <c r="C147"/>
  <c r="A183"/>
  <c r="C183"/>
  <c r="C182"/>
  <c r="A37"/>
  <c r="A18"/>
  <c r="A134"/>
  <c r="A46"/>
  <c r="A74"/>
  <c r="A7"/>
  <c r="A166"/>
  <c r="C166"/>
  <c r="A142"/>
  <c r="C142"/>
  <c r="C141"/>
  <c r="C176"/>
  <c r="A177"/>
  <c r="A88"/>
  <c r="A31"/>
  <c r="A65"/>
  <c r="T1" i="1"/>
  <c r="R1"/>
  <c r="Q1"/>
  <c r="S1"/>
  <c r="U1"/>
  <c r="A172" i="2"/>
  <c r="C172"/>
  <c r="G16"/>
  <c r="G8"/>
  <c r="M8"/>
  <c r="I12" i="3"/>
  <c r="J16" i="2"/>
  <c r="J8"/>
  <c r="D8"/>
  <c r="D16"/>
  <c r="C158"/>
  <c r="A153"/>
  <c r="C153"/>
  <c r="C152"/>
  <c r="A89"/>
  <c r="A160"/>
  <c r="C159"/>
  <c r="A66"/>
  <c r="C134"/>
  <c r="A135"/>
  <c r="A19"/>
  <c r="A32"/>
  <c r="A75"/>
  <c r="C177"/>
  <c r="A178"/>
  <c r="C178"/>
  <c r="A47"/>
  <c r="H1" i="1"/>
  <c r="I1"/>
  <c r="L1"/>
  <c r="K1"/>
  <c r="W16" i="2"/>
  <c r="W8"/>
  <c r="A136"/>
  <c r="C135"/>
  <c r="A161"/>
  <c r="C161"/>
  <c r="C160"/>
  <c r="A76"/>
  <c r="A90"/>
  <c r="A33"/>
  <c r="A91"/>
  <c r="A77"/>
  <c r="A137"/>
  <c r="H180"/>
  <c r="I180"/>
  <c r="C136"/>
  <c r="N180"/>
  <c r="O180"/>
  <c r="R155"/>
  <c r="S155"/>
  <c r="K180"/>
  <c r="L180"/>
  <c r="C137"/>
  <c r="E185"/>
  <c r="A78"/>
  <c r="A92"/>
  <c r="A79"/>
  <c r="A93"/>
  <c r="F185"/>
  <c r="A80"/>
  <c r="A94"/>
  <c r="A95"/>
  <c r="W13" i="1"/>
  <c r="W14"/>
  <c r="A81" i="2"/>
  <c r="A82"/>
  <c r="A96"/>
  <c r="A97"/>
  <c r="A83"/>
  <c r="A84"/>
  <c r="A98"/>
  <c r="A99"/>
  <c r="S15"/>
  <c r="B35"/>
  <c r="B49"/>
  <c r="B39"/>
  <c r="B86"/>
  <c r="B55"/>
  <c r="B5"/>
  <c r="S14"/>
  <c r="B68"/>
  <c r="B21"/>
  <c r="B43"/>
  <c r="B30"/>
  <c r="B9"/>
  <c r="B25"/>
  <c r="B60"/>
  <c r="B13"/>
  <c r="B17"/>
  <c r="B64"/>
  <c r="B72"/>
  <c r="K172"/>
  <c r="N146"/>
  <c r="O127"/>
  <c r="N127"/>
  <c r="R171"/>
  <c r="E147"/>
  <c r="H178"/>
  <c r="N177"/>
  <c r="H146"/>
  <c r="R142"/>
  <c r="K142"/>
  <c r="K147"/>
  <c r="H177"/>
  <c r="H142"/>
  <c r="S127"/>
  <c r="N178"/>
  <c r="R177"/>
  <c r="E177"/>
  <c r="R137"/>
  <c r="E171"/>
  <c r="R178"/>
  <c r="K153"/>
  <c r="F127"/>
  <c r="E127"/>
  <c r="N172"/>
  <c r="E170"/>
  <c r="K146"/>
  <c r="H153"/>
  <c r="R172"/>
  <c r="R147"/>
  <c r="H172"/>
  <c r="N137"/>
  <c r="I127"/>
  <c r="H127"/>
  <c r="R146"/>
  <c r="E178"/>
  <c r="L127"/>
  <c r="K127"/>
  <c r="N170"/>
  <c r="N147"/>
  <c r="K171"/>
  <c r="E146"/>
  <c r="E153"/>
  <c r="H171"/>
  <c r="K170"/>
  <c r="H147"/>
  <c r="R170"/>
  <c r="N153"/>
  <c r="H137"/>
  <c r="N171"/>
  <c r="N142"/>
  <c r="E137"/>
  <c r="K178"/>
  <c r="E142"/>
  <c r="K137"/>
  <c r="K177"/>
  <c r="E172"/>
  <c r="R153"/>
  <c r="H170"/>
  <c r="R144"/>
  <c r="S144"/>
  <c r="R168"/>
  <c r="S168"/>
  <c r="H144"/>
  <c r="I144"/>
  <c r="H168"/>
  <c r="I168"/>
  <c r="K144"/>
  <c r="L144"/>
  <c r="K168"/>
  <c r="L168"/>
  <c r="E144"/>
  <c r="E168"/>
  <c r="X127"/>
  <c r="R127"/>
  <c r="N168"/>
  <c r="O168"/>
  <c r="N144"/>
  <c r="O144"/>
  <c r="K38" i="3" a="1"/>
  <c r="K38"/>
  <c r="K31"/>
  <c r="F168" i="2"/>
  <c r="X168"/>
  <c r="F144"/>
  <c r="X144"/>
  <c r="I8" i="3"/>
  <c r="K15" a="1"/>
  <c r="K15"/>
  <c r="K11"/>
  <c r="H15"/>
  <c r="M4"/>
  <c r="N4"/>
  <c r="O4"/>
  <c r="K8" a="1"/>
  <c r="K8"/>
  <c r="K6" a="1"/>
  <c r="K6"/>
  <c r="K5"/>
  <c r="K4"/>
  <c r="L4"/>
  <c r="J1" i="1"/>
  <c r="J13"/>
  <c r="J14"/>
  <c r="N4"/>
  <c r="T4"/>
  <c r="M4"/>
  <c r="L4"/>
  <c r="K4"/>
  <c r="Q4"/>
  <c r="S4"/>
  <c r="I4"/>
  <c r="U4"/>
  <c r="H4"/>
  <c r="P4"/>
  <c r="W4"/>
  <c r="R4"/>
  <c r="C18"/>
  <c r="D18"/>
  <c r="D19"/>
  <c r="B18"/>
  <c r="R13"/>
  <c r="R14"/>
  <c r="R18"/>
  <c r="T13"/>
  <c r="T14"/>
  <c r="T18"/>
  <c r="I13"/>
  <c r="I14"/>
  <c r="U13"/>
  <c r="U14"/>
  <c r="U18"/>
  <c r="P18"/>
  <c r="P13"/>
  <c r="P14"/>
  <c r="K13"/>
  <c r="K14"/>
  <c r="Q13"/>
  <c r="Q14"/>
  <c r="Q18"/>
  <c r="S18"/>
  <c r="S13"/>
  <c r="S14"/>
  <c r="L8" i="2" a="1"/>
  <c r="L8"/>
  <c r="F71" a="1"/>
  <c r="F71"/>
  <c r="O24" a="1"/>
  <c r="O24"/>
  <c r="S54" a="1"/>
  <c r="S54"/>
  <c r="F4" a="1"/>
  <c r="F4"/>
  <c r="F29" a="1"/>
  <c r="F29"/>
  <c r="I85" a="1"/>
  <c r="I85"/>
  <c r="L34" a="1"/>
  <c r="L34"/>
  <c r="F24" a="1"/>
  <c r="F24"/>
  <c r="L29" a="1"/>
  <c r="L29"/>
  <c r="I20" a="1"/>
  <c r="I20"/>
  <c r="I4" a="1"/>
  <c r="I4"/>
  <c r="O4" a="1"/>
  <c r="O4"/>
  <c r="F34" a="1"/>
  <c r="F34"/>
  <c r="F42" a="1"/>
  <c r="F42"/>
  <c r="I63" a="1"/>
  <c r="I63"/>
  <c r="F54" a="1"/>
  <c r="F54"/>
  <c r="F38" a="1"/>
  <c r="F38"/>
  <c r="F16" a="1"/>
  <c r="F16"/>
  <c r="S29" a="1"/>
  <c r="S29"/>
  <c r="S8" a="1"/>
  <c r="S8"/>
  <c r="L71" a="1"/>
  <c r="L71"/>
  <c r="I71" a="1"/>
  <c r="I71"/>
  <c r="F59" a="1"/>
  <c r="F59"/>
  <c r="O34" a="1"/>
  <c r="O34"/>
  <c r="L67" a="1"/>
  <c r="L67"/>
  <c r="O42" a="1"/>
  <c r="O42"/>
  <c r="I67" a="1"/>
  <c r="I67"/>
  <c r="O20" a="1"/>
  <c r="O20"/>
  <c r="S85" a="1"/>
  <c r="S85"/>
  <c r="H13" i="1"/>
  <c r="H14"/>
  <c r="O48" i="2" a="1"/>
  <c r="O48"/>
  <c r="S71" a="1"/>
  <c r="S71"/>
  <c r="F48" a="1"/>
  <c r="F48"/>
  <c r="O29" a="1"/>
  <c r="O29"/>
  <c r="I24" a="1"/>
  <c r="I24"/>
  <c r="I34" a="1"/>
  <c r="I34"/>
  <c r="S63" a="1"/>
  <c r="S63"/>
  <c r="F85" a="1"/>
  <c r="F85"/>
  <c r="L38" a="1"/>
  <c r="L38"/>
  <c r="F63" a="1"/>
  <c r="F63"/>
  <c r="O59" a="1"/>
  <c r="O59"/>
  <c r="O54" a="1"/>
  <c r="O54"/>
  <c r="L59" a="1"/>
  <c r="L59"/>
  <c r="L12" a="1"/>
  <c r="L12"/>
  <c r="I54" a="1"/>
  <c r="I54"/>
  <c r="S24" a="1"/>
  <c r="S24"/>
  <c r="O16" a="1"/>
  <c r="O16"/>
  <c r="S20" a="1"/>
  <c r="S20"/>
  <c r="I16" a="1"/>
  <c r="I16"/>
  <c r="F20" a="1"/>
  <c r="F20"/>
  <c r="O38" a="1"/>
  <c r="O38"/>
  <c r="O71" a="1"/>
  <c r="O71"/>
  <c r="S38" a="1"/>
  <c r="S38"/>
  <c r="O12" a="1"/>
  <c r="O12"/>
  <c r="L85" a="1"/>
  <c r="L85"/>
  <c r="L4" a="1"/>
  <c r="L4"/>
  <c r="O8" a="1"/>
  <c r="O8"/>
  <c r="S42" a="1"/>
  <c r="S42"/>
  <c r="S16" a="1"/>
  <c r="S16"/>
  <c r="L54" a="1"/>
  <c r="L54"/>
  <c r="I12" a="1"/>
  <c r="I12"/>
  <c r="I48" a="1"/>
  <c r="I48"/>
  <c r="S59" a="1"/>
  <c r="S59"/>
  <c r="I59" a="1"/>
  <c r="I59"/>
  <c r="O67" a="1"/>
  <c r="O67"/>
  <c r="L16" a="1"/>
  <c r="L16"/>
  <c r="I42" a="1"/>
  <c r="I42"/>
  <c r="S4" a="1"/>
  <c r="S4"/>
  <c r="I8" a="1"/>
  <c r="I8"/>
  <c r="L48" a="1"/>
  <c r="L48"/>
  <c r="L63" a="1"/>
  <c r="L63"/>
  <c r="S48" a="1"/>
  <c r="S48"/>
  <c r="I38" a="1"/>
  <c r="I38"/>
  <c r="I41"/>
  <c r="I29" a="1"/>
  <c r="I29"/>
  <c r="F8" a="1"/>
  <c r="F8"/>
  <c r="F12" a="1"/>
  <c r="F12"/>
  <c r="L24" a="1"/>
  <c r="L24"/>
  <c r="O63" a="1"/>
  <c r="O63"/>
  <c r="O85" a="1"/>
  <c r="O85"/>
  <c r="S34" a="1"/>
  <c r="S34"/>
  <c r="V18" i="1"/>
  <c r="L42" i="2" a="1"/>
  <c r="L42"/>
  <c r="S67" a="1"/>
  <c r="S67"/>
  <c r="L20" a="1"/>
  <c r="L20"/>
  <c r="F67" a="1"/>
  <c r="F67"/>
  <c r="O18" i="1"/>
  <c r="O17"/>
  <c r="W18"/>
  <c r="B10" a="1"/>
  <c r="B10"/>
  <c r="M13"/>
  <c r="M14"/>
  <c r="M18"/>
  <c r="L18"/>
  <c r="L13"/>
  <c r="L14"/>
  <c r="N13"/>
  <c r="N14"/>
  <c r="N18"/>
  <c r="X34" i="2"/>
  <c r="S36"/>
  <c r="S37"/>
  <c r="I11"/>
  <c r="I10"/>
  <c r="X67"/>
  <c r="S69"/>
  <c r="S70"/>
  <c r="O97"/>
  <c r="O91"/>
  <c r="O93"/>
  <c r="O94"/>
  <c r="O98"/>
  <c r="O96"/>
  <c r="O95"/>
  <c r="O90"/>
  <c r="O88"/>
  <c r="O89"/>
  <c r="O87"/>
  <c r="O99"/>
  <c r="O92"/>
  <c r="F14"/>
  <c r="F15"/>
  <c r="X48"/>
  <c r="S51"/>
  <c r="S53"/>
  <c r="S50"/>
  <c r="S52"/>
  <c r="X4"/>
  <c r="S6"/>
  <c r="S7"/>
  <c r="I61"/>
  <c r="I62"/>
  <c r="L57"/>
  <c r="L56"/>
  <c r="L58"/>
  <c r="L6"/>
  <c r="L7"/>
  <c r="O75"/>
  <c r="O73"/>
  <c r="O74"/>
  <c r="O76"/>
  <c r="O77"/>
  <c r="O78"/>
  <c r="O79"/>
  <c r="O80"/>
  <c r="O81"/>
  <c r="O82"/>
  <c r="O83"/>
  <c r="O84"/>
  <c r="X20"/>
  <c r="S23"/>
  <c r="S22"/>
  <c r="L14"/>
  <c r="L15"/>
  <c r="F66"/>
  <c r="F65"/>
  <c r="I37"/>
  <c r="I36"/>
  <c r="X71"/>
  <c r="S76"/>
  <c r="S73"/>
  <c r="S75"/>
  <c r="S74"/>
  <c r="S77"/>
  <c r="S78"/>
  <c r="S79"/>
  <c r="S80"/>
  <c r="S81"/>
  <c r="S82"/>
  <c r="S83"/>
  <c r="S84"/>
  <c r="O23"/>
  <c r="O22"/>
  <c r="O36"/>
  <c r="O37"/>
  <c r="X8"/>
  <c r="S10"/>
  <c r="S11"/>
  <c r="F57"/>
  <c r="F56"/>
  <c r="F58"/>
  <c r="O6"/>
  <c r="O7"/>
  <c r="F28"/>
  <c r="F26"/>
  <c r="F27"/>
  <c r="F6"/>
  <c r="F7"/>
  <c r="L11"/>
  <c r="L10"/>
  <c r="M17" i="1"/>
  <c r="P17"/>
  <c r="O11" i="2"/>
  <c r="O10"/>
  <c r="I18"/>
  <c r="I19"/>
  <c r="X63"/>
  <c r="S65"/>
  <c r="S66"/>
  <c r="L69"/>
  <c r="L70"/>
  <c r="F37"/>
  <c r="F36"/>
  <c r="F74"/>
  <c r="F76"/>
  <c r="F73"/>
  <c r="F75"/>
  <c r="F77"/>
  <c r="F78"/>
  <c r="F79"/>
  <c r="F80"/>
  <c r="F81"/>
  <c r="F82"/>
  <c r="F83"/>
  <c r="F84"/>
  <c r="F70"/>
  <c r="F69"/>
  <c r="L53"/>
  <c r="L52"/>
  <c r="L51"/>
  <c r="L50"/>
  <c r="X42"/>
  <c r="S46"/>
  <c r="S44"/>
  <c r="S47"/>
  <c r="S45"/>
  <c r="X12"/>
  <c r="O14"/>
  <c r="O15"/>
  <c r="F22"/>
  <c r="F23"/>
  <c r="X24"/>
  <c r="S27"/>
  <c r="S26"/>
  <c r="S28"/>
  <c r="O57"/>
  <c r="O58"/>
  <c r="O56"/>
  <c r="F96"/>
  <c r="F97"/>
  <c r="F94"/>
  <c r="F95"/>
  <c r="F93"/>
  <c r="F92"/>
  <c r="F98"/>
  <c r="F99"/>
  <c r="F91"/>
  <c r="F89"/>
  <c r="F88"/>
  <c r="F87"/>
  <c r="F90"/>
  <c r="O31"/>
  <c r="O32"/>
  <c r="O33"/>
  <c r="O47"/>
  <c r="O46"/>
  <c r="O45"/>
  <c r="O44"/>
  <c r="I73"/>
  <c r="I75"/>
  <c r="I76"/>
  <c r="I74"/>
  <c r="I77"/>
  <c r="I78"/>
  <c r="I79"/>
  <c r="I80"/>
  <c r="I81"/>
  <c r="I82"/>
  <c r="I83"/>
  <c r="I84"/>
  <c r="F18"/>
  <c r="F19"/>
  <c r="F44"/>
  <c r="F45"/>
  <c r="F47"/>
  <c r="F46"/>
  <c r="I23"/>
  <c r="I22"/>
  <c r="I92"/>
  <c r="I96"/>
  <c r="I93"/>
  <c r="I95"/>
  <c r="I97"/>
  <c r="I94"/>
  <c r="I98"/>
  <c r="I88"/>
  <c r="I99"/>
  <c r="I87"/>
  <c r="I89"/>
  <c r="O26"/>
  <c r="O27"/>
  <c r="O28"/>
  <c r="S17" i="1"/>
  <c r="L22" i="2"/>
  <c r="L23"/>
  <c r="L27"/>
  <c r="L26"/>
  <c r="L28"/>
  <c r="O70"/>
  <c r="O69"/>
  <c r="I14"/>
  <c r="I15"/>
  <c r="X38"/>
  <c r="S41"/>
  <c r="S40"/>
  <c r="I58"/>
  <c r="I56"/>
  <c r="I57"/>
  <c r="O61"/>
  <c r="O62"/>
  <c r="F50"/>
  <c r="F52"/>
  <c r="F51"/>
  <c r="F53"/>
  <c r="X85"/>
  <c r="S96"/>
  <c r="S97"/>
  <c r="S91"/>
  <c r="S92"/>
  <c r="S98"/>
  <c r="S94"/>
  <c r="S95"/>
  <c r="S93"/>
  <c r="S88"/>
  <c r="S89"/>
  <c r="S99"/>
  <c r="S90"/>
  <c r="S87"/>
  <c r="L74"/>
  <c r="L73"/>
  <c r="L76"/>
  <c r="L75"/>
  <c r="L77"/>
  <c r="L78"/>
  <c r="L79"/>
  <c r="L80"/>
  <c r="L81"/>
  <c r="L82"/>
  <c r="L83"/>
  <c r="L84"/>
  <c r="F41"/>
  <c r="F40"/>
  <c r="L31"/>
  <c r="L32"/>
  <c r="L33"/>
  <c r="F31"/>
  <c r="F32"/>
  <c r="F33"/>
  <c r="O65"/>
  <c r="O126"/>
  <c r="N126"/>
  <c r="N176"/>
  <c r="N174"/>
  <c r="O174"/>
  <c r="O66"/>
  <c r="I31"/>
  <c r="I32"/>
  <c r="I33"/>
  <c r="L18"/>
  <c r="L19"/>
  <c r="I51"/>
  <c r="I53"/>
  <c r="I50"/>
  <c r="I52"/>
  <c r="L46"/>
  <c r="L44"/>
  <c r="L45"/>
  <c r="L47"/>
  <c r="F10"/>
  <c r="F11"/>
  <c r="L65"/>
  <c r="L66"/>
  <c r="I45"/>
  <c r="I46"/>
  <c r="I47"/>
  <c r="I44"/>
  <c r="X59"/>
  <c r="S62"/>
  <c r="S61"/>
  <c r="X16"/>
  <c r="S18"/>
  <c r="S19"/>
  <c r="L96"/>
  <c r="L92"/>
  <c r="L97"/>
  <c r="L95"/>
  <c r="L93"/>
  <c r="L94"/>
  <c r="L98"/>
  <c r="L99"/>
  <c r="L87"/>
  <c r="L89"/>
  <c r="L88"/>
  <c r="O41"/>
  <c r="O40"/>
  <c r="O18"/>
  <c r="O19"/>
  <c r="L62"/>
  <c r="L61"/>
  <c r="L41"/>
  <c r="L40"/>
  <c r="I26"/>
  <c r="I28"/>
  <c r="I27"/>
  <c r="O50"/>
  <c r="O51"/>
  <c r="O53"/>
  <c r="O52"/>
  <c r="I70"/>
  <c r="I69"/>
  <c r="F62"/>
  <c r="F61"/>
  <c r="X29"/>
  <c r="S31"/>
  <c r="S32"/>
  <c r="S33"/>
  <c r="I65"/>
  <c r="I66"/>
  <c r="I6"/>
  <c r="I7"/>
  <c r="L36"/>
  <c r="L37"/>
  <c r="X54"/>
  <c r="S57"/>
  <c r="S56"/>
  <c r="S58"/>
  <c r="O125"/>
  <c r="N125"/>
  <c r="N152"/>
  <c r="O116"/>
  <c r="N116"/>
  <c r="N151"/>
  <c r="O124"/>
  <c r="N124"/>
  <c r="N161"/>
  <c r="S126"/>
  <c r="R126"/>
  <c r="R176"/>
  <c r="R174"/>
  <c r="S174"/>
  <c r="I114"/>
  <c r="H114"/>
  <c r="H141"/>
  <c r="H139"/>
  <c r="I139"/>
  <c r="F120"/>
  <c r="E120"/>
  <c r="E165"/>
  <c r="S120"/>
  <c r="R120"/>
  <c r="R165"/>
  <c r="R163"/>
  <c r="S163"/>
  <c r="I115"/>
  <c r="H115"/>
  <c r="H133"/>
  <c r="H131"/>
  <c r="I131"/>
  <c r="I120"/>
  <c r="H120"/>
  <c r="H165"/>
  <c r="S123"/>
  <c r="R123"/>
  <c r="R136"/>
  <c r="I123"/>
  <c r="H123"/>
  <c r="H160"/>
  <c r="I126"/>
  <c r="H126"/>
  <c r="H176"/>
  <c r="H174"/>
  <c r="I174"/>
  <c r="O123"/>
  <c r="N123"/>
  <c r="N160"/>
  <c r="F117"/>
  <c r="E117"/>
  <c r="E158"/>
  <c r="S101"/>
  <c r="R102"/>
  <c r="F110"/>
  <c r="S121"/>
  <c r="R121"/>
  <c r="R182"/>
  <c r="F101"/>
  <c r="E102"/>
  <c r="F106"/>
  <c r="F122"/>
  <c r="E122"/>
  <c r="E159"/>
  <c r="O101"/>
  <c r="N102"/>
  <c r="F109"/>
  <c r="F114"/>
  <c r="E114"/>
  <c r="E141"/>
  <c r="E139"/>
  <c r="F139"/>
  <c r="L125"/>
  <c r="K125"/>
  <c r="K152"/>
  <c r="L120"/>
  <c r="K120"/>
  <c r="K165"/>
  <c r="I125"/>
  <c r="H125"/>
  <c r="H152"/>
  <c r="O117"/>
  <c r="N117"/>
  <c r="N158"/>
  <c r="O122"/>
  <c r="N122"/>
  <c r="N159"/>
  <c r="O121"/>
  <c r="N121"/>
  <c r="N187"/>
  <c r="N185"/>
  <c r="O185"/>
  <c r="S118"/>
  <c r="F118"/>
  <c r="E118"/>
  <c r="E157"/>
  <c r="O115"/>
  <c r="N115"/>
  <c r="F123"/>
  <c r="E123"/>
  <c r="E160"/>
  <c r="L115"/>
  <c r="K115"/>
  <c r="L90"/>
  <c r="L91"/>
  <c r="L119"/>
  <c r="K119"/>
  <c r="K166"/>
  <c r="I40"/>
  <c r="I90"/>
  <c r="I118"/>
  <c r="H118"/>
  <c r="H157"/>
  <c r="I91"/>
  <c r="L117"/>
  <c r="K117"/>
  <c r="K158"/>
  <c r="S122"/>
  <c r="S124"/>
  <c r="I117"/>
  <c r="H117"/>
  <c r="H158"/>
  <c r="L116"/>
  <c r="K116"/>
  <c r="K151"/>
  <c r="I116"/>
  <c r="H116"/>
  <c r="H151"/>
  <c r="S125"/>
  <c r="L126"/>
  <c r="K126"/>
  <c r="K176"/>
  <c r="K174"/>
  <c r="L174"/>
  <c r="F121"/>
  <c r="E121"/>
  <c r="E182"/>
  <c r="E180"/>
  <c r="I124"/>
  <c r="H124"/>
  <c r="H161"/>
  <c r="O118"/>
  <c r="N118"/>
  <c r="N157"/>
  <c r="S117"/>
  <c r="F116"/>
  <c r="E116"/>
  <c r="E151"/>
  <c r="O114"/>
  <c r="N114"/>
  <c r="N141"/>
  <c r="N139"/>
  <c r="O139"/>
  <c r="F124"/>
  <c r="E124"/>
  <c r="E161"/>
  <c r="F126"/>
  <c r="E126"/>
  <c r="E176"/>
  <c r="E174"/>
  <c r="S116"/>
  <c r="L123"/>
  <c r="K123"/>
  <c r="K160"/>
  <c r="S115"/>
  <c r="I122"/>
  <c r="H122"/>
  <c r="H159"/>
  <c r="L122"/>
  <c r="K122"/>
  <c r="K159"/>
  <c r="I121"/>
  <c r="H121"/>
  <c r="H187"/>
  <c r="H185"/>
  <c r="L121"/>
  <c r="K121"/>
  <c r="K187"/>
  <c r="K185"/>
  <c r="L185"/>
  <c r="L118"/>
  <c r="K118"/>
  <c r="K157"/>
  <c r="O119"/>
  <c r="N119"/>
  <c r="N166"/>
  <c r="O120"/>
  <c r="N120"/>
  <c r="N165"/>
  <c r="S119"/>
  <c r="F115"/>
  <c r="E115"/>
  <c r="F119"/>
  <c r="E119"/>
  <c r="E166"/>
  <c r="F125"/>
  <c r="E125"/>
  <c r="E152"/>
  <c r="L114"/>
  <c r="K114"/>
  <c r="K141"/>
  <c r="K139"/>
  <c r="L139"/>
  <c r="L124"/>
  <c r="K124"/>
  <c r="K161"/>
  <c r="S114"/>
  <c r="E163"/>
  <c r="N149"/>
  <c r="O149"/>
  <c r="I119"/>
  <c r="H119"/>
  <c r="H166"/>
  <c r="H163"/>
  <c r="I163"/>
  <c r="H149"/>
  <c r="I149"/>
  <c r="K149"/>
  <c r="L149"/>
  <c r="N163"/>
  <c r="O163"/>
  <c r="L101"/>
  <c r="K102"/>
  <c r="F108"/>
  <c r="H155"/>
  <c r="I155"/>
  <c r="N155"/>
  <c r="O155"/>
  <c r="I101"/>
  <c r="K163"/>
  <c r="L163"/>
  <c r="R119"/>
  <c r="R183"/>
  <c r="R180"/>
  <c r="S180"/>
  <c r="F163"/>
  <c r="K129"/>
  <c r="K133"/>
  <c r="K131"/>
  <c r="L131"/>
  <c r="X118"/>
  <c r="R118"/>
  <c r="R135"/>
  <c r="I185"/>
  <c r="X115"/>
  <c r="R115"/>
  <c r="X117"/>
  <c r="R117"/>
  <c r="E129"/>
  <c r="E133"/>
  <c r="E131"/>
  <c r="F180"/>
  <c r="R125"/>
  <c r="R152"/>
  <c r="X125"/>
  <c r="X121"/>
  <c r="X126"/>
  <c r="E155"/>
  <c r="R114"/>
  <c r="R141"/>
  <c r="R139"/>
  <c r="S139"/>
  <c r="X114"/>
  <c r="X124"/>
  <c r="R124"/>
  <c r="R188"/>
  <c r="R185"/>
  <c r="S185"/>
  <c r="F174"/>
  <c r="X174"/>
  <c r="R116"/>
  <c r="R151"/>
  <c r="X116"/>
  <c r="R122"/>
  <c r="R134"/>
  <c r="X122"/>
  <c r="N129"/>
  <c r="N133"/>
  <c r="N131"/>
  <c r="O131"/>
  <c r="X120"/>
  <c r="X123"/>
  <c r="K155"/>
  <c r="L155"/>
  <c r="E149"/>
  <c r="H129"/>
  <c r="R149"/>
  <c r="S149"/>
  <c r="X119"/>
  <c r="E104"/>
  <c r="R101"/>
  <c r="X185"/>
  <c r="X163"/>
  <c r="H102"/>
  <c r="F107"/>
  <c r="X180"/>
  <c r="F149"/>
  <c r="F155"/>
  <c r="X155"/>
  <c r="F131"/>
  <c r="R129"/>
  <c r="R133"/>
  <c r="R131"/>
  <c r="S131"/>
  <c r="X139"/>
  <c r="X149"/>
  <c r="N101"/>
  <c r="K101"/>
  <c r="E101"/>
  <c r="H101"/>
  <c r="Z123" a="1"/>
  <c r="Z123"/>
  <c r="A123"/>
  <c r="Z119" a="1"/>
  <c r="Z119"/>
  <c r="A119"/>
  <c r="Z127" a="1"/>
  <c r="Z127"/>
  <c r="A127"/>
  <c r="F205"/>
  <c r="Z126" a="1"/>
  <c r="Z126"/>
  <c r="A126"/>
  <c r="Z125" a="1"/>
  <c r="Z125"/>
  <c r="A125"/>
  <c r="Z121" a="1"/>
  <c r="Z121"/>
  <c r="A121"/>
  <c r="Z115" a="1"/>
  <c r="Z115"/>
  <c r="A115"/>
  <c r="Z122" a="1"/>
  <c r="Z122"/>
  <c r="A122"/>
  <c r="Z124" a="1"/>
  <c r="Z124"/>
  <c r="A124"/>
  <c r="X131"/>
  <c r="Z120" a="1"/>
  <c r="Z120"/>
  <c r="A120"/>
  <c r="Z116" a="1"/>
  <c r="Z116"/>
  <c r="A116"/>
  <c r="Z118" a="1"/>
  <c r="Z118"/>
  <c r="A118"/>
  <c r="Z117" a="1"/>
  <c r="Z117"/>
  <c r="A117"/>
  <c r="Z114" a="1"/>
  <c r="Z114"/>
  <c r="A114"/>
  <c r="W101"/>
  <c r="X101"/>
  <c r="Y155"/>
  <c r="F196"/>
  <c r="F200"/>
  <c r="F204"/>
  <c r="F201"/>
  <c r="F195"/>
  <c r="F198"/>
  <c r="F202"/>
  <c r="F203"/>
  <c r="F191"/>
  <c r="F192"/>
  <c r="F199"/>
  <c r="F197"/>
  <c r="F194"/>
  <c r="F193"/>
  <c r="Y183"/>
  <c r="Y38"/>
  <c r="Y163"/>
  <c r="Y161"/>
  <c r="Y140"/>
  <c r="Z8"/>
  <c r="Y185"/>
  <c r="Y48"/>
  <c r="Z63"/>
  <c r="Y136"/>
  <c r="Y147"/>
  <c r="Y141"/>
  <c r="Y174"/>
  <c r="Y85"/>
  <c r="Y42"/>
  <c r="Y63"/>
  <c r="Y153"/>
  <c r="Y152"/>
  <c r="Y131"/>
  <c r="Y116"/>
  <c r="Y54"/>
  <c r="Z24"/>
  <c r="Y176"/>
  <c r="Y178"/>
  <c r="Y180"/>
  <c r="Y120"/>
  <c r="Y126"/>
  <c r="Z12"/>
  <c r="Y8"/>
  <c r="Y16"/>
  <c r="Z4"/>
  <c r="Y156"/>
  <c r="Y150"/>
  <c r="Y132"/>
  <c r="Y135"/>
  <c r="Y146"/>
  <c r="Y149"/>
  <c r="Y117"/>
  <c r="Y125"/>
  <c r="Y114"/>
  <c r="Y121"/>
  <c r="Y34"/>
  <c r="Y12"/>
  <c r="Y24"/>
  <c r="Y71"/>
  <c r="Y59"/>
  <c r="Z48"/>
  <c r="Z38"/>
  <c r="Z54"/>
  <c r="Y144"/>
  <c r="Y166"/>
  <c r="Y165"/>
  <c r="Y177"/>
  <c r="Y181"/>
  <c r="Y159"/>
  <c r="Y133"/>
  <c r="Y151"/>
  <c r="Y160"/>
  <c r="Y142"/>
  <c r="Y172"/>
  <c r="Y139"/>
  <c r="Y122"/>
  <c r="Y123"/>
  <c r="Z71"/>
  <c r="Y29"/>
  <c r="Y4"/>
  <c r="Z20"/>
  <c r="Y127"/>
  <c r="Y169"/>
  <c r="Y175"/>
  <c r="Y188"/>
  <c r="Y145"/>
  <c r="Y115"/>
  <c r="Y119"/>
  <c r="Y118"/>
  <c r="Y124"/>
  <c r="Z59"/>
  <c r="Z16"/>
  <c r="Y20"/>
  <c r="Z34"/>
  <c r="Z85"/>
  <c r="Y67"/>
  <c r="Z42"/>
  <c r="Z29"/>
  <c r="Y168"/>
  <c r="Y182"/>
  <c r="Y186"/>
  <c r="Y170"/>
  <c r="Y137"/>
  <c r="Y157"/>
  <c r="Y171"/>
  <c r="Y134"/>
  <c r="Y158"/>
  <c r="Y187"/>
  <c r="Y164"/>
  <c r="Z101"/>
  <c r="Y101"/>
</calcChain>
</file>

<file path=xl/comments1.xml><?xml version="1.0" encoding="utf-8"?>
<comments xmlns="http://schemas.openxmlformats.org/spreadsheetml/2006/main">
  <authors>
    <author>V. Dumain</author>
    <author>Capgemini</author>
  </authors>
  <commentList>
    <comment ref="A2" authorId="0">
      <text>
        <r>
          <rPr>
            <b/>
            <sz val="10"/>
            <color indexed="9"/>
            <rFont val="Tahoma"/>
            <family val="2"/>
          </rPr>
          <t>Entrez le nom du projet</t>
        </r>
      </text>
    </comment>
    <comment ref="F3" authorId="0">
      <text>
        <r>
          <rPr>
            <b/>
            <sz val="8"/>
            <color indexed="9"/>
            <rFont val="Tahoma"/>
            <family val="2"/>
          </rPr>
          <t>Ne pas modifier ces % sans accord de l'EPG</t>
        </r>
      </text>
    </comment>
    <comment ref="F5" authorId="0">
      <text>
        <r>
          <rPr>
            <b/>
            <sz val="8"/>
            <color indexed="81"/>
            <rFont val="Tahoma"/>
            <family val="2"/>
          </rPr>
          <t>Taux de confiance = 95%.</t>
        </r>
      </text>
    </comment>
    <comment ref="F6" authorId="0">
      <text>
        <r>
          <rPr>
            <b/>
            <sz val="8"/>
            <color indexed="81"/>
            <rFont val="Tahoma"/>
            <family val="2"/>
          </rPr>
          <t>Taux de confiance = 95%.</t>
        </r>
      </text>
    </comment>
    <comment ref="F7" authorId="0">
      <text>
        <r>
          <rPr>
            <b/>
            <sz val="8"/>
            <color indexed="81"/>
            <rFont val="Tahoma"/>
            <family val="2"/>
          </rPr>
          <t>% Min et % Médian des niveaux inférieurs.</t>
        </r>
      </text>
    </comment>
    <comment ref="F8" authorId="0">
      <text>
        <r>
          <rPr>
            <b/>
            <sz val="8"/>
            <color indexed="81"/>
            <rFont val="Tahoma"/>
            <family val="2"/>
          </rPr>
          <t>% Max et % Médian des niveaux inférieurs.</t>
        </r>
      </text>
    </comment>
    <comment ref="H11" authorId="0">
      <text>
        <r>
          <rPr>
            <b/>
            <sz val="8"/>
            <color indexed="81"/>
            <rFont val="Tahoma"/>
            <family val="2"/>
          </rPr>
          <t>CTRL + SHIFT + ENTER</t>
        </r>
      </text>
    </comment>
    <comment ref="I11" authorId="0">
      <text>
        <r>
          <rPr>
            <b/>
            <sz val="8"/>
            <color indexed="81"/>
            <rFont val="Tahoma"/>
            <family val="2"/>
          </rPr>
          <t>CTRL + SHIFT + ENTER</t>
        </r>
      </text>
    </comment>
    <comment ref="K11" authorId="0">
      <text>
        <r>
          <rPr>
            <b/>
            <sz val="8"/>
            <color indexed="81"/>
            <rFont val="Tahoma"/>
            <family val="2"/>
          </rPr>
          <t>CTRL + SHIFT + ENTER</t>
        </r>
      </text>
    </comment>
    <comment ref="L11" authorId="0">
      <text>
        <r>
          <rPr>
            <b/>
            <sz val="8"/>
            <color indexed="81"/>
            <rFont val="Tahoma"/>
            <family val="2"/>
          </rPr>
          <t>CTRL + SHIFT + ENTER</t>
        </r>
      </text>
    </comment>
    <comment ref="M11" authorId="0">
      <text>
        <r>
          <rPr>
            <b/>
            <sz val="8"/>
            <color indexed="81"/>
            <rFont val="Tahoma"/>
            <family val="2"/>
          </rPr>
          <t>CTRL + SHIFT + ENTER</t>
        </r>
      </text>
    </comment>
    <comment ref="N11" authorId="0">
      <text>
        <r>
          <rPr>
            <b/>
            <sz val="8"/>
            <color indexed="81"/>
            <rFont val="Tahoma"/>
            <family val="2"/>
          </rPr>
          <t>CTRL + SHIFT + ENTER</t>
        </r>
      </text>
    </comment>
    <comment ref="P11" authorId="0">
      <text>
        <r>
          <rPr>
            <b/>
            <sz val="8"/>
            <color indexed="81"/>
            <rFont val="Tahoma"/>
            <family val="2"/>
          </rPr>
          <t>CTRL + SHIFT + ENTER</t>
        </r>
      </text>
    </comment>
    <comment ref="Q11" authorId="0">
      <text>
        <r>
          <rPr>
            <b/>
            <sz val="8"/>
            <color indexed="81"/>
            <rFont val="Tahoma"/>
            <family val="2"/>
          </rPr>
          <t>CTRL + SHIFT + ENTER</t>
        </r>
      </text>
    </comment>
    <comment ref="R11" authorId="0">
      <text>
        <r>
          <rPr>
            <b/>
            <sz val="8"/>
            <color indexed="81"/>
            <rFont val="Tahoma"/>
            <family val="2"/>
          </rPr>
          <t>CTRL + SHIFT + ENTER</t>
        </r>
      </text>
    </comment>
    <comment ref="S11" authorId="0">
      <text>
        <r>
          <rPr>
            <b/>
            <sz val="8"/>
            <color indexed="81"/>
            <rFont val="Tahoma"/>
            <family val="2"/>
          </rPr>
          <t>CTRL + SHIFT + ENTER</t>
        </r>
      </text>
    </comment>
    <comment ref="T11" authorId="0">
      <text>
        <r>
          <rPr>
            <b/>
            <sz val="8"/>
            <color indexed="81"/>
            <rFont val="Tahoma"/>
            <family val="2"/>
          </rPr>
          <t>CTRL + SHIFT + ENTER</t>
        </r>
      </text>
    </comment>
    <comment ref="U11" authorId="0">
      <text>
        <r>
          <rPr>
            <b/>
            <sz val="8"/>
            <color indexed="81"/>
            <rFont val="Tahoma"/>
            <family val="2"/>
          </rPr>
          <t>CTRL + SHIFT + ENTER</t>
        </r>
      </text>
    </comment>
    <comment ref="W11" authorId="0">
      <text>
        <r>
          <rPr>
            <b/>
            <sz val="8"/>
            <color indexed="81"/>
            <rFont val="Tahoma"/>
            <family val="2"/>
          </rPr>
          <t>CTRL + SHIFT + ENTER</t>
        </r>
      </text>
    </comment>
    <comment ref="B12" authorId="0">
      <text>
        <r>
          <rPr>
            <b/>
            <sz val="9"/>
            <color indexed="9"/>
            <rFont val="Tahoma"/>
            <family val="2"/>
          </rPr>
          <t>Entrez le TJM approximatif pour calcul grossier du CA CSS</t>
        </r>
      </text>
    </comment>
    <comment ref="C12" authorId="0">
      <text>
        <r>
          <rPr>
            <b/>
            <sz val="9"/>
            <color indexed="9"/>
            <rFont val="Tahoma"/>
            <family val="2"/>
          </rPr>
          <t>Calcul approximation 
du CA CSS en fonction du TJM approx. et de la charge totale.</t>
        </r>
      </text>
    </comment>
    <comment ref="F12" authorId="1">
      <text>
        <r>
          <rPr>
            <b/>
            <sz val="8"/>
            <color indexed="81"/>
            <rFont val="Tahoma"/>
            <family val="2"/>
          </rPr>
          <t>Part approximative de la durée du projet.</t>
        </r>
      </text>
    </comment>
    <comment ref="F13" authorId="0">
      <text>
        <r>
          <rPr>
            <b/>
            <sz val="8"/>
            <color indexed="9"/>
            <rFont val="Tahoma"/>
            <family val="2"/>
          </rPr>
          <t>En fonction du % de la durée du projet sur laquelle se déroule l'activité.</t>
        </r>
      </text>
    </comment>
    <comment ref="B14" authorId="0">
      <text>
        <r>
          <rPr>
            <b/>
            <sz val="8"/>
            <color indexed="9"/>
            <rFont val="Tahoma"/>
            <family val="2"/>
          </rPr>
          <t>Calculé, par défaut, ou en fonction des entrées à droite.</t>
        </r>
      </text>
    </comment>
    <comment ref="F14" authorId="0">
      <text>
        <r>
          <rPr>
            <b/>
            <sz val="8"/>
            <color indexed="9"/>
            <rFont val="Tahoma"/>
            <family val="2"/>
          </rPr>
          <t>Voir ETP par macro-phase dans l'onglet Ativités_Phases_Ressources.</t>
        </r>
      </text>
    </comment>
    <comment ref="C15" authorId="1">
      <text>
        <r>
          <rPr>
            <b/>
            <sz val="10"/>
            <color indexed="81"/>
            <rFont val="Tahoma"/>
            <family val="2"/>
          </rPr>
          <t xml:space="preserve">Coéff. puissance utilisé pour faire varier la charge lorsque la durée choisie du projet est </t>
        </r>
        <r>
          <rPr>
            <b/>
            <sz val="10"/>
            <color indexed="12"/>
            <rFont val="Tahoma"/>
            <family val="2"/>
          </rPr>
          <t>s'écarte</t>
        </r>
        <r>
          <rPr>
            <b/>
            <sz val="10"/>
            <color indexed="81"/>
            <rFont val="Tahoma"/>
            <family val="2"/>
          </rPr>
          <t xml:space="preserve"> de la durée optimum conseillée, cela pour les activités récurrentes dépendantes de la durée (ex. suivi projet).
Si cette valeur est = 0, la charge ne varie pas en fonction </t>
        </r>
        <r>
          <rPr>
            <b/>
            <sz val="10"/>
            <color indexed="12"/>
            <rFont val="Tahoma"/>
            <family val="2"/>
          </rPr>
          <t>des écarts</t>
        </r>
        <r>
          <rPr>
            <b/>
            <sz val="10"/>
            <color indexed="81"/>
            <rFont val="Tahoma"/>
            <family val="2"/>
          </rPr>
          <t xml:space="preserve"> de durée par rapport à la valeur conseillée.
</t>
        </r>
        <r>
          <rPr>
            <b/>
            <sz val="10"/>
            <color indexed="53"/>
            <rFont val="Tahoma"/>
            <family val="2"/>
          </rPr>
          <t xml:space="preserve">
La valeur de ce coéfficient ne doit pas être modifiée sans  justifications utilisant des indicateurs et bilans remontés de plusieurs projets.</t>
        </r>
      </text>
    </comment>
    <comment ref="D15" authorId="1">
      <text>
        <r>
          <rPr>
            <b/>
            <sz val="10"/>
            <color indexed="81"/>
            <rFont val="Tahoma"/>
            <family val="2"/>
          </rPr>
          <t xml:space="preserve">Coéff. puissance utilisé pour augmenter la charge lorsque la durée choisie du projet est </t>
        </r>
        <r>
          <rPr>
            <b/>
            <sz val="10"/>
            <color indexed="12"/>
            <rFont val="Tahoma"/>
            <family val="2"/>
          </rPr>
          <t>inférieure</t>
        </r>
        <r>
          <rPr>
            <b/>
            <sz val="10"/>
            <color indexed="81"/>
            <rFont val="Tahoma"/>
            <family val="2"/>
          </rPr>
          <t xml:space="preserve"> à la durée optimum.
</t>
        </r>
        <r>
          <rPr>
            <sz val="10"/>
            <color indexed="81"/>
            <rFont val="Tahoma"/>
            <family val="2"/>
          </rPr>
          <t>Des analyses sur un ensemble significatif de projets montrent en effet que la productivité diminue lorsque la durée fixée du projet est inférieure à un optimum (ici racine de la charge en h.mois).</t>
        </r>
        <r>
          <rPr>
            <b/>
            <sz val="10"/>
            <color indexed="81"/>
            <rFont val="Tahoma"/>
            <family val="2"/>
          </rPr>
          <t xml:space="preserve">
Si cette valeur est = 0, la charge ne varie pas en fonction des durées </t>
        </r>
        <r>
          <rPr>
            <b/>
            <sz val="10"/>
            <color indexed="12"/>
            <rFont val="Tahoma"/>
            <family val="2"/>
          </rPr>
          <t>inférieures</t>
        </r>
        <r>
          <rPr>
            <b/>
            <sz val="10"/>
            <color indexed="81"/>
            <rFont val="Tahoma"/>
            <family val="2"/>
          </rPr>
          <t xml:space="preserve"> à la valeur conseillée.
</t>
        </r>
        <r>
          <rPr>
            <b/>
            <sz val="10"/>
            <color indexed="53"/>
            <rFont val="Tahoma"/>
            <family val="2"/>
          </rPr>
          <t>La valeur de ce coéfficient ne doit pas être modifiée sans  justifications utilisant des indicateurs et bilans remontés de plusieurs projets.</t>
        </r>
      </text>
    </comment>
    <comment ref="F15" authorId="0">
      <text>
        <r>
          <rPr>
            <b/>
            <sz val="8"/>
            <color indexed="9"/>
            <rFont val="Tahoma"/>
            <family val="2"/>
          </rPr>
          <t>Voir ETP par macro-phase dans l'onglet Ativités_Phases_Ressources.</t>
        </r>
      </text>
    </comment>
    <comment ref="I15" authorId="1">
      <text>
        <r>
          <rPr>
            <b/>
            <sz val="10"/>
            <color indexed="9"/>
            <rFont val="Tahoma"/>
            <family val="2"/>
          </rPr>
          <t>Dépendant de la durée fixée du projet, si celle-ci est supérieure à la valeur optimum.</t>
        </r>
      </text>
    </comment>
    <comment ref="K15" authorId="1">
      <text>
        <r>
          <rPr>
            <b/>
            <sz val="10"/>
            <color indexed="9"/>
            <rFont val="Tahoma"/>
            <family val="2"/>
          </rPr>
          <t>Dépendant de la durée fixée du projet, si celle-ci est supérieure à la valeur optimum.</t>
        </r>
      </text>
    </comment>
    <comment ref="L15" authorId="1">
      <text>
        <r>
          <rPr>
            <b/>
            <sz val="10"/>
            <color indexed="9"/>
            <rFont val="Tahoma"/>
            <family val="2"/>
          </rPr>
          <t>Dépendant de la durée fixée du projet, si celle-ci est supérieure à la valeur optimum.</t>
        </r>
      </text>
    </comment>
    <comment ref="S15" authorId="1">
      <text>
        <r>
          <rPr>
            <b/>
            <sz val="10"/>
            <color indexed="9"/>
            <rFont val="Tahoma"/>
            <family val="2"/>
          </rPr>
          <t>Dépendant de la durée fixée du projet, si celle-ci est supérieure à la valeur optimum.</t>
        </r>
      </text>
    </comment>
    <comment ref="T15" authorId="1">
      <text>
        <r>
          <rPr>
            <b/>
            <sz val="10"/>
            <color indexed="9"/>
            <rFont val="Tahoma"/>
            <family val="2"/>
          </rPr>
          <t>Dépendant de la durée fixée du projet, si celle-ci est supérieure à la valeur optimum.</t>
        </r>
      </text>
    </comment>
    <comment ref="B16" authorId="0">
      <text>
        <r>
          <rPr>
            <b/>
            <sz val="10"/>
            <color indexed="9"/>
            <rFont val="Tahoma"/>
            <family val="2"/>
          </rPr>
          <t>Employees (FTE) calculated average recommended (no fixed duration or actual), or depending on the duration or the number entered on the right.
 Is displayed on an orange background when the calculated value after imposing one of the variables (size, or duration) is not in the interval] 70%, 140% [of the default.</t>
        </r>
      </text>
    </comment>
    <comment ref="C16" authorId="0">
      <text>
        <r>
          <rPr>
            <b/>
            <sz val="10"/>
            <color indexed="9"/>
            <rFont val="Tahoma"/>
            <family val="2"/>
          </rPr>
          <t>Enter the desired number (not priority over time, sometimes attached below).</t>
        </r>
      </text>
    </comment>
    <comment ref="E16" authorId="1">
      <text>
        <r>
          <rPr>
            <b/>
            <sz val="10"/>
            <color indexed="9"/>
            <rFont val="Tahoma"/>
            <family val="2"/>
          </rPr>
          <t>Charge totale</t>
        </r>
      </text>
    </comment>
    <comment ref="I16" authorId="1">
      <text>
        <r>
          <rPr>
            <b/>
            <sz val="10"/>
            <color indexed="9"/>
            <rFont val="Tahoma"/>
            <family val="2"/>
          </rPr>
          <t>Dépendant de la durée fixée du projet, si celle-ci est supérieure à la valeur optimum.</t>
        </r>
      </text>
    </comment>
    <comment ref="J16" authorId="0">
      <text>
        <r>
          <rPr>
            <b/>
            <sz val="10"/>
            <color indexed="9"/>
            <rFont val="Tahoma"/>
            <family val="2"/>
          </rPr>
          <t xml:space="preserve">Link to the estimated load sheet "Parten.Fourn." associated partners and suppliers. Only the load Project must be reported here, out of pre-sales effort.
</t>
        </r>
      </text>
    </comment>
    <comment ref="K16" authorId="1">
      <text>
        <r>
          <rPr>
            <b/>
            <sz val="10"/>
            <color indexed="9"/>
            <rFont val="Tahoma"/>
            <family val="2"/>
          </rPr>
          <t>Dépendant de la durée fixée du projet, si celle-ci est supérieure à la valeur optimum.</t>
        </r>
      </text>
    </comment>
    <comment ref="L16" authorId="1">
      <text>
        <r>
          <rPr>
            <b/>
            <sz val="10"/>
            <color indexed="9"/>
            <rFont val="Tahoma"/>
            <family val="2"/>
          </rPr>
          <t>Dépendant de la durée fixée du projet, si celle-ci est supérieure à la valeur optimum.</t>
        </r>
      </text>
    </comment>
    <comment ref="O16" authorId="0">
      <text>
        <r>
          <rPr>
            <b/>
            <sz val="8"/>
            <color indexed="9"/>
            <rFont val="Tahoma"/>
            <family val="2"/>
          </rPr>
          <t>Entrez la charge en jours du codage test unitaire.</t>
        </r>
      </text>
    </comment>
    <comment ref="T16" authorId="1">
      <text>
        <r>
          <rPr>
            <b/>
            <sz val="10"/>
            <color indexed="9"/>
            <rFont val="Tahoma"/>
            <family val="2"/>
          </rPr>
          <t>Dépendant de la durée fixée du projet, si celle-ci est supérieure à la valeur optimum.</t>
        </r>
      </text>
    </comment>
    <comment ref="V16" authorId="0">
      <text>
        <r>
          <rPr>
            <b/>
            <sz val="9"/>
            <color indexed="9"/>
            <rFont val="Tahoma"/>
            <family val="2"/>
          </rPr>
          <t>Entrez la charge en jours des prestations spécifiques vendues, hors applications vendues (logiciel + infrastructure).</t>
        </r>
      </text>
    </comment>
    <comment ref="B17" authorId="0">
      <text>
        <r>
          <rPr>
            <b/>
            <sz val="10"/>
            <color indexed="9"/>
            <rFont val="Tahoma"/>
            <family val="2"/>
          </rPr>
          <t>FTE is imposed, an optimum duration consiellée is calculated,
 Otherwise, the length is determined according to the duration required or, in the second priority, the number entered to the right.
 Is displayed on an orange background when the calculated value after imposing one of the variables (size, or duration) is not in the interval] 70%, 140% [of the default.</t>
        </r>
      </text>
    </comment>
    <comment ref="C17" authorId="0">
      <text>
        <r>
          <rPr>
            <b/>
            <sz val="10"/>
            <color indexed="9"/>
            <rFont val="Tahoma"/>
            <family val="2"/>
          </rPr>
          <t>Optionally enter the desired time period if different from the above recommended against (precedence over the number of FTEs may be fixed above).
 A warning is displayed if the duration is not between 1/3 and 4 times the recommended optimum value.</t>
        </r>
        <r>
          <rPr>
            <b/>
            <sz val="10"/>
            <color indexed="13"/>
            <rFont val="Tahoma"/>
            <family val="2"/>
          </rPr>
          <t xml:space="preserve">
</t>
        </r>
      </text>
    </comment>
    <comment ref="D17" authorId="1">
      <text>
        <r>
          <rPr>
            <b/>
            <sz val="10"/>
            <color indexed="9"/>
            <rFont val="Tahoma"/>
            <family val="2"/>
          </rPr>
          <t>Net coefficient (Total Charge) / (expense CTU) off load of specific services and expense management outsourcing.
 The cell contains the coefficient O17 crude.</t>
        </r>
      </text>
    </comment>
    <comment ref="O17" authorId="1">
      <text>
        <r>
          <rPr>
            <b/>
            <sz val="10"/>
            <color indexed="9"/>
            <rFont val="Tahoma"/>
            <family val="2"/>
          </rPr>
          <t>Coefficient brut (Charge Totale)/(Charge CTU) correspondant au pourcentage ci-dessous.
La cellule D18 contient le coefficient hors prestations spécifiques et hors charges de gestion des partenaires.</t>
        </r>
      </text>
    </comment>
    <comment ref="B18" authorId="1">
      <text>
        <r>
          <rPr>
            <b/>
            <sz val="10"/>
            <color indexed="81"/>
            <rFont val="Tahoma"/>
            <family val="2"/>
          </rPr>
          <t>reminder of the recommended duration</t>
        </r>
      </text>
    </comment>
    <comment ref="C18" authorId="1">
      <text>
        <r>
          <rPr>
            <b/>
            <sz val="10"/>
            <color indexed="81"/>
            <rFont val="Tahoma"/>
            <family val="2"/>
          </rPr>
          <t>rappel de la charge associée à la durée conseillée</t>
        </r>
      </text>
    </comment>
    <comment ref="D18" authorId="1">
      <text>
        <r>
          <rPr>
            <b/>
            <sz val="10"/>
            <color indexed="81"/>
            <rFont val="Tahoma"/>
            <family val="2"/>
          </rPr>
          <t>Delta entre la charge optimun associée à la durée conseillée et la charge associée à la durée fixée.</t>
        </r>
      </text>
    </comment>
    <comment ref="H18" authorId="0">
      <text>
        <r>
          <rPr>
            <b/>
            <sz val="10"/>
            <color indexed="9"/>
            <rFont val="Tahoma"/>
            <family val="2"/>
          </rPr>
          <t>Sur fond orange si valeur &gt; max défini ci-dessus.
Sur fond  bleu si valeur &lt; min défini ci-dessus.</t>
        </r>
      </text>
    </comment>
    <comment ref="I18" authorId="0">
      <text>
        <r>
          <rPr>
            <b/>
            <sz val="10"/>
            <color indexed="9"/>
            <rFont val="Tahoma"/>
            <family val="2"/>
          </rPr>
          <t>Orange background if value&gt; max defined above.
 On blue if value &lt;min defined above.</t>
        </r>
      </text>
    </comment>
    <comment ref="J18" authorId="0">
      <text>
        <r>
          <rPr>
            <b/>
            <sz val="10"/>
            <color indexed="9"/>
            <rFont val="Tahoma"/>
            <family val="2"/>
          </rPr>
          <t>Orange background if value&gt; max defined above.
 On blue if value &lt;min defined above.</t>
        </r>
      </text>
    </comment>
    <comment ref="K18" authorId="0">
      <text>
        <r>
          <rPr>
            <b/>
            <sz val="10"/>
            <color indexed="9"/>
            <rFont val="Tahoma"/>
            <family val="2"/>
          </rPr>
          <t>Orange background if value&gt; max defined above.
 On blue if value &lt;min defined above.</t>
        </r>
      </text>
    </comment>
    <comment ref="L18" authorId="0">
      <text>
        <r>
          <rPr>
            <b/>
            <sz val="10"/>
            <color indexed="9"/>
            <rFont val="Tahoma"/>
            <family val="2"/>
          </rPr>
          <t>Orange background if value&gt; max defined above.
 On blue if value &lt;min defined above.</t>
        </r>
      </text>
    </comment>
    <comment ref="M18" authorId="0">
      <text>
        <r>
          <rPr>
            <b/>
            <sz val="10"/>
            <color indexed="9"/>
            <rFont val="Tahoma"/>
            <family val="2"/>
          </rPr>
          <t>Orange background if value&gt; max defined above.
 On blue if value &lt;min defined above.</t>
        </r>
      </text>
    </comment>
    <comment ref="N18" authorId="0">
      <text>
        <r>
          <rPr>
            <b/>
            <sz val="10"/>
            <color indexed="9"/>
            <rFont val="Tahoma"/>
            <family val="2"/>
          </rPr>
          <t>Orange background if value&gt; max defined above.
 On blue if value &lt;min defined above.</t>
        </r>
      </text>
    </comment>
    <comment ref="O18" authorId="0">
      <text>
        <r>
          <rPr>
            <b/>
            <sz val="10"/>
            <color indexed="9"/>
            <rFont val="Tahoma"/>
            <family val="2"/>
          </rPr>
          <t>Sur fond orange si valeur &gt; max défini ci-dessus.
Sur fond  bleu si valeur &lt; min défini ci-dessus.</t>
        </r>
      </text>
    </comment>
    <comment ref="P18" authorId="0">
      <text>
        <r>
          <rPr>
            <b/>
            <sz val="10"/>
            <color indexed="9"/>
            <rFont val="Tahoma"/>
            <family val="2"/>
          </rPr>
          <t>Orange background if value&gt; max defined above.
 On blue if value &lt;min defined above.</t>
        </r>
      </text>
    </comment>
    <comment ref="Q18" authorId="0">
      <text>
        <r>
          <rPr>
            <b/>
            <sz val="10"/>
            <color indexed="9"/>
            <rFont val="Tahoma"/>
            <family val="2"/>
          </rPr>
          <t>Orange background if value&gt; max defined above.
 On blue if value &lt;min defined above.</t>
        </r>
      </text>
    </comment>
    <comment ref="R18" authorId="0">
      <text>
        <r>
          <rPr>
            <b/>
            <sz val="10"/>
            <color indexed="9"/>
            <rFont val="Tahoma"/>
            <family val="2"/>
          </rPr>
          <t>Orange background if value&gt; max defined above.
 On blue if value &lt;min defined above.</t>
        </r>
      </text>
    </comment>
    <comment ref="S18" authorId="0">
      <text>
        <r>
          <rPr>
            <b/>
            <sz val="10"/>
            <color indexed="9"/>
            <rFont val="Tahoma"/>
            <family val="2"/>
          </rPr>
          <t>Orange background if value&gt; max defined above.
 On blue if value &lt;min defined above.</t>
        </r>
      </text>
    </comment>
    <comment ref="T18" authorId="0">
      <text>
        <r>
          <rPr>
            <b/>
            <sz val="10"/>
            <color indexed="9"/>
            <rFont val="Tahoma"/>
            <family val="2"/>
          </rPr>
          <t>Orange background if value&gt; max defined above.
 On blue if value &lt;min defined above.</t>
        </r>
      </text>
    </comment>
    <comment ref="U18" authorId="0">
      <text>
        <r>
          <rPr>
            <b/>
            <sz val="10"/>
            <color indexed="9"/>
            <rFont val="Tahoma"/>
            <family val="2"/>
          </rPr>
          <t>Orange background if value&gt; max defined above.
 On blue if value &lt;min defined above.</t>
        </r>
      </text>
    </comment>
    <comment ref="V18" authorId="0">
      <text>
        <r>
          <rPr>
            <b/>
            <sz val="10"/>
            <color indexed="9"/>
            <rFont val="Tahoma"/>
            <family val="2"/>
          </rPr>
          <t>Orange background if value&gt; max defined above.
 On blue if value &lt;min defined above.</t>
        </r>
      </text>
    </comment>
    <comment ref="W18" authorId="0">
      <text>
        <r>
          <rPr>
            <b/>
            <sz val="10"/>
            <color indexed="9"/>
            <rFont val="Tahoma"/>
            <family val="2"/>
          </rPr>
          <t>Sur fond orange si valeur &gt; max défini ci-dessus.
Sur fond  bleu si valeur &lt; min défini ci-dessus.</t>
        </r>
      </text>
    </comment>
    <comment ref="B19" authorId="1">
      <text>
        <r>
          <rPr>
            <b/>
            <sz val="10"/>
            <color indexed="9"/>
            <rFont val="Tahoma"/>
            <family val="2"/>
          </rPr>
          <t>Date de mise à jour de ce fichier.
Aujourd'hui : "Ctrl ;"</t>
        </r>
      </text>
    </comment>
    <comment ref="D19" authorId="0">
      <text>
        <r>
          <rPr>
            <b/>
            <sz val="10"/>
            <color indexed="9"/>
            <rFont val="Tahoma"/>
            <family val="2"/>
          </rPr>
          <t>% de charge supplémentaire dû à l'écart de la durée fixée avec la durée optimum.</t>
        </r>
      </text>
    </comment>
    <comment ref="E19" authorId="0">
      <text>
        <r>
          <rPr>
            <b/>
            <sz val="9"/>
            <color indexed="9"/>
            <rFont val="Tahoma"/>
            <family val="2"/>
          </rPr>
          <t>For a given type of project, before entering a value different from the standard value chosen, read the comments associated with this attribute for the selected project type.
 Then, if you confirm the specific value, justify in the cell below this value.
 Bright yellow background if the comments and explanations were provided.</t>
        </r>
      </text>
    </comment>
    <comment ref="F19" authorId="0">
      <text>
        <r>
          <rPr>
            <b/>
            <sz val="8"/>
            <color indexed="9"/>
            <rFont val="Tahoma"/>
            <family val="2"/>
          </rPr>
          <t xml:space="preserve">Choissez un type de projet dans la liste déroulante. </t>
        </r>
      </text>
    </comment>
    <comment ref="J19" authorId="0">
      <text>
        <r>
          <rPr>
            <b/>
            <sz val="8"/>
            <color indexed="9"/>
            <rFont val="Tahoma"/>
            <family val="2"/>
          </rPr>
          <t>Hors planification globale et suivi global du projet.</t>
        </r>
      </text>
    </comment>
    <comment ref="S19" authorId="0">
      <text>
        <r>
          <rPr>
            <b/>
            <sz val="9"/>
            <color indexed="9"/>
            <rFont val="Tahoma"/>
            <family val="2"/>
          </rPr>
          <t>Gestion de configuration, des modifications, de la documentation et des données.</t>
        </r>
      </text>
    </comment>
    <comment ref="V19" authorId="0">
      <text>
        <r>
          <rPr>
            <b/>
            <sz val="8"/>
            <color indexed="81"/>
            <rFont val="Tahoma"/>
            <family val="2"/>
          </rPr>
          <t>= Services vendus</t>
        </r>
      </text>
    </comment>
    <comment ref="AA19" authorId="0">
      <text>
        <r>
          <rPr>
            <b/>
            <sz val="8"/>
            <color indexed="81"/>
            <rFont val="Tahoma"/>
            <family val="2"/>
          </rPr>
          <t>If necessary add a project type by inserting a column to the left of this column.</t>
        </r>
        <r>
          <rPr>
            <sz val="8"/>
            <color indexed="81"/>
            <rFont val="Tahoma"/>
            <family val="2"/>
          </rPr>
          <t xml:space="preserve">
</t>
        </r>
      </text>
    </comment>
    <comment ref="A20" authorId="0">
      <text>
        <r>
          <rPr>
            <b/>
            <sz val="10"/>
            <color indexed="9"/>
            <rFont val="Tahoma"/>
            <family val="2"/>
          </rPr>
          <t>The value of each factor sizing must be estimated from a complexity / size normal value for a given project.
 Do not combine the complexity factors (eg level of risk as complexity of the context client). To focus on high level on one or the other factors, not both. Specify what type of choice in the cells of comments related to the factors involved. (eg in the cell comments to the complexity of the client context "already taken into account by the value of the level of risk associated with the complexity of the client context").</t>
        </r>
      </text>
    </comment>
    <comment ref="F21" authorId="0">
      <text>
        <r>
          <rPr>
            <b/>
            <sz val="9"/>
            <color indexed="9"/>
            <rFont val="Tahoma"/>
            <family val="2"/>
          </rPr>
          <t>Valeur non utilisée si grisée.</t>
        </r>
      </text>
    </comment>
    <comment ref="D22" authorId="0">
      <text>
        <r>
          <rPr>
            <b/>
            <sz val="8"/>
            <color indexed="81"/>
            <rFont val="Tahoma"/>
            <family val="2"/>
          </rPr>
          <t>Insérer toute nouvelle ligne ci-dessous (et non pas ci-dessus)</t>
        </r>
      </text>
    </comment>
    <comment ref="E22" authorId="0">
      <text>
        <r>
          <rPr>
            <b/>
            <sz val="9"/>
            <color indexed="9"/>
            <rFont val="Tahoma"/>
            <family val="2"/>
          </rPr>
          <t>Fournissez ici les commentaires et les justifications du choix d'une valeur ou  éventuellement d'une valeur différente de celle proposée pour le type de projet sélectionné.</t>
        </r>
      </text>
    </comment>
    <comment ref="D26" authorId="0">
      <text>
        <r>
          <rPr>
            <b/>
            <sz val="8"/>
            <color indexed="81"/>
            <rFont val="Tahoma"/>
            <family val="2"/>
          </rPr>
          <t>Insérer toute ligne supplémentaire au dessus de la présente ligne.</t>
        </r>
      </text>
    </comment>
    <comment ref="F28" authorId="0">
      <text>
        <r>
          <rPr>
            <b/>
            <sz val="9"/>
            <color indexed="9"/>
            <rFont val="Tahoma"/>
            <family val="2"/>
          </rPr>
          <t>Valeur non utilisée si grisée.</t>
        </r>
      </text>
    </comment>
    <comment ref="D29" authorId="0">
      <text>
        <r>
          <rPr>
            <b/>
            <sz val="8"/>
            <color indexed="81"/>
            <rFont val="Tahoma"/>
            <family val="2"/>
          </rPr>
          <t>Insérer toute nouvelle ligne ci-dessous (et non pas ci-dessus)</t>
        </r>
      </text>
    </comment>
    <comment ref="E29" authorId="0">
      <text>
        <r>
          <rPr>
            <b/>
            <sz val="9"/>
            <color indexed="9"/>
            <rFont val="Tahoma"/>
            <family val="2"/>
          </rPr>
          <t>Fournissez ici les commentaires et les justifications du choix d'une valeur ou  éventuellement d'une valeur différente de celle proposée pour le type de projet sélectionné.</t>
        </r>
      </text>
    </comment>
    <comment ref="D34" authorId="0">
      <text>
        <r>
          <rPr>
            <b/>
            <sz val="8"/>
            <color indexed="81"/>
            <rFont val="Tahoma"/>
            <family val="2"/>
          </rPr>
          <t>Insérer toute ligne supplémentaire au dessus de la présente ligne.</t>
        </r>
      </text>
    </comment>
    <comment ref="F36" authorId="0">
      <text>
        <r>
          <rPr>
            <b/>
            <sz val="9"/>
            <color indexed="9"/>
            <rFont val="Tahoma"/>
            <family val="2"/>
          </rPr>
          <t>Valeur non utilisée si grisée.</t>
        </r>
      </text>
    </comment>
    <comment ref="D37" authorId="0">
      <text>
        <r>
          <rPr>
            <b/>
            <sz val="8"/>
            <color indexed="81"/>
            <rFont val="Tahoma"/>
            <family val="2"/>
          </rPr>
          <t>Insérer toute nouvelle ligne ci-dessous (et non pas ci-dessus)</t>
        </r>
      </text>
    </comment>
    <comment ref="E37" authorId="0">
      <text>
        <r>
          <rPr>
            <b/>
            <sz val="8"/>
            <color indexed="81"/>
            <rFont val="Tahoma"/>
            <family val="2"/>
          </rPr>
          <t>Fournissez ici les commentaires et les justifications du choix d'une valeur ou  éventuellement d'une valeur différente de celle proposée pour le type de projet sélectionné.</t>
        </r>
      </text>
    </comment>
    <comment ref="D41" authorId="0">
      <text>
        <r>
          <rPr>
            <b/>
            <sz val="8"/>
            <color indexed="81"/>
            <rFont val="Tahoma"/>
            <family val="2"/>
          </rPr>
          <t>Insérer toute ligne supplémentaire au dessus de la présente ligne.</t>
        </r>
      </text>
    </comment>
    <comment ref="F43" authorId="0">
      <text>
        <r>
          <rPr>
            <b/>
            <sz val="9"/>
            <color indexed="9"/>
            <rFont val="Tahoma"/>
            <family val="2"/>
          </rPr>
          <t>Valeur non utilisée si grisée.</t>
        </r>
      </text>
    </comment>
    <comment ref="D44" authorId="0">
      <text>
        <r>
          <rPr>
            <b/>
            <sz val="8"/>
            <color indexed="81"/>
            <rFont val="Tahoma"/>
            <family val="2"/>
          </rPr>
          <t>Insérer toute nouvelle ligne ci-dessous (et non pas ci-dessus)</t>
        </r>
      </text>
    </comment>
    <comment ref="E44" authorId="0">
      <text>
        <r>
          <rPr>
            <b/>
            <sz val="8"/>
            <color indexed="81"/>
            <rFont val="Tahoma"/>
            <family val="2"/>
          </rPr>
          <t>Fournissez ici les commentaires et les justifications du choix d'une valeur ou  éventuellement d'une valeur différente de celle proposée pour le type de projet sélectionné.</t>
        </r>
      </text>
    </comment>
    <comment ref="D48" authorId="0">
      <text>
        <r>
          <rPr>
            <b/>
            <sz val="8"/>
            <color indexed="81"/>
            <rFont val="Tahoma"/>
            <family val="2"/>
          </rPr>
          <t>Insérer toute ligne supplémentaire au dessus de la présente ligne.</t>
        </r>
      </text>
    </comment>
    <comment ref="F50" authorId="0">
      <text>
        <r>
          <rPr>
            <b/>
            <sz val="9"/>
            <color indexed="9"/>
            <rFont val="Tahoma"/>
            <family val="2"/>
          </rPr>
          <t>Valeur non utilisée si grisée.</t>
        </r>
      </text>
    </comment>
    <comment ref="D51" authorId="0">
      <text>
        <r>
          <rPr>
            <b/>
            <sz val="8"/>
            <color indexed="81"/>
            <rFont val="Tahoma"/>
            <family val="2"/>
          </rPr>
          <t>Insérer toute nouvelle ligne ci-dessous (et non pas ci-dessus)</t>
        </r>
      </text>
    </comment>
    <comment ref="D54" authorId="0">
      <text>
        <r>
          <rPr>
            <b/>
            <sz val="8"/>
            <color indexed="81"/>
            <rFont val="Tahoma"/>
            <family val="2"/>
          </rPr>
          <t>Insérer toute ligne supplémentaire au dessus de la présente ligne.</t>
        </r>
      </text>
    </comment>
    <comment ref="F56" authorId="0">
      <text>
        <r>
          <rPr>
            <b/>
            <sz val="9"/>
            <color indexed="9"/>
            <rFont val="Tahoma"/>
            <family val="2"/>
          </rPr>
          <t>Valeur non utilisée si grisée.</t>
        </r>
      </text>
    </comment>
    <comment ref="D57" authorId="0">
      <text>
        <r>
          <rPr>
            <b/>
            <sz val="8"/>
            <color indexed="81"/>
            <rFont val="Tahoma"/>
            <family val="2"/>
          </rPr>
          <t>Insérer toute nouvelle ligne ci-dessous (et non pas ci-dessus)</t>
        </r>
      </text>
    </comment>
    <comment ref="D60" authorId="0">
      <text>
        <r>
          <rPr>
            <b/>
            <sz val="8"/>
            <color indexed="81"/>
            <rFont val="Tahoma"/>
            <family val="2"/>
          </rPr>
          <t>Insérer toute ligne supplémentaire au dessus de la présente ligne.</t>
        </r>
      </text>
    </comment>
    <comment ref="F62" authorId="0">
      <text>
        <r>
          <rPr>
            <b/>
            <sz val="9"/>
            <color indexed="9"/>
            <rFont val="Tahoma"/>
            <family val="2"/>
          </rPr>
          <t>Valeur non utilisée si grisée.</t>
        </r>
      </text>
    </comment>
    <comment ref="D63" authorId="0">
      <text>
        <r>
          <rPr>
            <b/>
            <sz val="8"/>
            <color indexed="81"/>
            <rFont val="Tahoma"/>
            <family val="2"/>
          </rPr>
          <t>Insérer toute nouvelle ligne ci-dessous (et non pas ci-dessus)</t>
        </r>
      </text>
    </comment>
    <comment ref="D67" authorId="0">
      <text>
        <r>
          <rPr>
            <b/>
            <sz val="8"/>
            <color indexed="81"/>
            <rFont val="Tahoma"/>
            <family val="2"/>
          </rPr>
          <t>Insérer toute ligne supplémentaire au dessus de la présente ligne.</t>
        </r>
      </text>
    </comment>
    <comment ref="F69" authorId="0">
      <text>
        <r>
          <rPr>
            <b/>
            <sz val="9"/>
            <color indexed="9"/>
            <rFont val="Tahoma"/>
            <family val="2"/>
          </rPr>
          <t>Valeur non utilisée si grisée.</t>
        </r>
      </text>
    </comment>
    <comment ref="D70" authorId="0">
      <text>
        <r>
          <rPr>
            <b/>
            <sz val="8"/>
            <color indexed="81"/>
            <rFont val="Tahoma"/>
            <family val="2"/>
          </rPr>
          <t>Insérer toute nouvelle ligne ci-dessous (et non pas ci-dessus)</t>
        </r>
      </text>
    </comment>
    <comment ref="E70" authorId="0">
      <text>
        <r>
          <rPr>
            <b/>
            <sz val="8"/>
            <color indexed="9"/>
            <rFont val="Tahoma"/>
            <family val="2"/>
          </rPr>
          <t>Entrez vos commentaires</t>
        </r>
      </text>
    </comment>
    <comment ref="D74" authorId="0">
      <text>
        <r>
          <rPr>
            <b/>
            <sz val="8"/>
            <color indexed="81"/>
            <rFont val="Tahoma"/>
            <family val="2"/>
          </rPr>
          <t>Insérer toute ligne supplémentaire au dessus de la présente ligne.</t>
        </r>
      </text>
    </comment>
    <comment ref="F76" authorId="0">
      <text>
        <r>
          <rPr>
            <b/>
            <sz val="9"/>
            <color indexed="9"/>
            <rFont val="Tahoma"/>
            <family val="2"/>
          </rPr>
          <t>Valeur non utilisée si grisée.</t>
        </r>
      </text>
    </comment>
    <comment ref="D77" authorId="0">
      <text>
        <r>
          <rPr>
            <b/>
            <sz val="8"/>
            <color indexed="81"/>
            <rFont val="Tahoma"/>
            <family val="2"/>
          </rPr>
          <t>Insérer toute nouvelle ligne ci-dessous (et non pas ci-dessus)</t>
        </r>
      </text>
    </comment>
    <comment ref="D81" authorId="0">
      <text>
        <r>
          <rPr>
            <b/>
            <sz val="8"/>
            <color indexed="81"/>
            <rFont val="Tahoma"/>
            <family val="2"/>
          </rPr>
          <t>Insérer toute ligne supplémentaire au dessus de la présente ligne.</t>
        </r>
      </text>
    </comment>
    <comment ref="F83" authorId="0">
      <text>
        <r>
          <rPr>
            <b/>
            <sz val="9"/>
            <color indexed="9"/>
            <rFont val="Tahoma"/>
            <family val="2"/>
          </rPr>
          <t>Valeur non utilisée si grisée.</t>
        </r>
      </text>
    </comment>
    <comment ref="D84" authorId="0">
      <text>
        <r>
          <rPr>
            <b/>
            <sz val="8"/>
            <color indexed="81"/>
            <rFont val="Tahoma"/>
            <family val="2"/>
          </rPr>
          <t>Insérer toute nouvelle ligne ci-dessous (et non pas ci-dessus)</t>
        </r>
      </text>
    </comment>
    <comment ref="D88" authorId="0">
      <text>
        <r>
          <rPr>
            <b/>
            <sz val="8"/>
            <color indexed="81"/>
            <rFont val="Tahoma"/>
            <family val="2"/>
          </rPr>
          <t>Insérer toute ligne supplémentaire au dessus de la présente ligne.</t>
        </r>
      </text>
    </comment>
    <comment ref="F90" authorId="0">
      <text>
        <r>
          <rPr>
            <b/>
            <sz val="9"/>
            <color indexed="9"/>
            <rFont val="Tahoma"/>
            <family val="2"/>
          </rPr>
          <t>Valeur non utilisée si grisée.</t>
        </r>
      </text>
    </comment>
    <comment ref="B91" authorId="0">
      <text>
        <r>
          <rPr>
            <b/>
            <sz val="8"/>
            <color indexed="81"/>
            <rFont val="Tahoma"/>
            <family val="2"/>
          </rPr>
          <t>Les besoins en formation/coaching ne doivent pas avoir déjà été inclus dans la charge CTU.
Seul la charge d'auto-formation en cours de développement doit être comptée dans la charge CTU.</t>
        </r>
      </text>
    </comment>
    <comment ref="D91" authorId="0">
      <text>
        <r>
          <rPr>
            <b/>
            <sz val="8"/>
            <color indexed="81"/>
            <rFont val="Tahoma"/>
            <family val="2"/>
          </rPr>
          <t>Insérer toute nouvelle ligne ci-dessous (et non pas ci-dessus)</t>
        </r>
      </text>
    </comment>
    <comment ref="D95" authorId="0">
      <text>
        <r>
          <rPr>
            <b/>
            <sz val="8"/>
            <color indexed="81"/>
            <rFont val="Tahoma"/>
            <family val="2"/>
          </rPr>
          <t>Insérer toute ligne supplémentaire au dessus de la présente ligne.</t>
        </r>
      </text>
    </comment>
    <comment ref="B97" authorId="0">
      <text>
        <r>
          <rPr>
            <b/>
            <sz val="8"/>
            <color indexed="81"/>
            <rFont val="Tahoma"/>
            <family val="2"/>
          </rPr>
          <t>Non utilisé.</t>
        </r>
      </text>
    </comment>
    <comment ref="F97" authorId="0">
      <text>
        <r>
          <rPr>
            <b/>
            <sz val="9"/>
            <color indexed="9"/>
            <rFont val="Tahoma"/>
            <family val="2"/>
          </rPr>
          <t>Valeur non utilisée si grisée.</t>
        </r>
      </text>
    </comment>
    <comment ref="D98" authorId="0">
      <text>
        <r>
          <rPr>
            <b/>
            <sz val="8"/>
            <color indexed="81"/>
            <rFont val="Tahoma"/>
            <family val="2"/>
          </rPr>
          <t>Insérer toute nouvelle ligne ci-dessous (et non pas ci-dessus)</t>
        </r>
      </text>
    </comment>
    <comment ref="D100" authorId="0">
      <text>
        <r>
          <rPr>
            <b/>
            <sz val="8"/>
            <color indexed="81"/>
            <rFont val="Tahoma"/>
            <family val="2"/>
          </rPr>
          <t>Insérer toute ligne supplémentaire au dessus de la présente ligne.</t>
        </r>
      </text>
    </comment>
    <comment ref="B102" authorId="0">
      <text>
        <r>
          <rPr>
            <b/>
            <sz val="8"/>
            <color indexed="81"/>
            <rFont val="Tahoma"/>
            <family val="2"/>
          </rPr>
          <t>Non utilisé.</t>
        </r>
      </text>
    </comment>
    <comment ref="F102" authorId="0">
      <text>
        <r>
          <rPr>
            <b/>
            <sz val="9"/>
            <color indexed="9"/>
            <rFont val="Tahoma"/>
            <family val="2"/>
          </rPr>
          <t>Valeur non utilisée si grisée.</t>
        </r>
      </text>
    </comment>
    <comment ref="D103" authorId="0">
      <text>
        <r>
          <rPr>
            <b/>
            <sz val="8"/>
            <color indexed="81"/>
            <rFont val="Tahoma"/>
            <family val="2"/>
          </rPr>
          <t>Insérer toute nouvelle ligne ci-dessous (et non pas ci-dessus)</t>
        </r>
      </text>
    </comment>
    <comment ref="F110" authorId="0">
      <text>
        <r>
          <rPr>
            <b/>
            <sz val="9"/>
            <color indexed="9"/>
            <rFont val="Tahoma"/>
            <family val="2"/>
          </rPr>
          <t>Valeur non utilisée si grisée.</t>
        </r>
      </text>
    </comment>
    <comment ref="D111" authorId="0">
      <text>
        <r>
          <rPr>
            <b/>
            <sz val="8"/>
            <color indexed="81"/>
            <rFont val="Tahoma"/>
            <family val="2"/>
          </rPr>
          <t>Insérer toute nouvelle ligne ci-dessous (et non pas ci-dessus)</t>
        </r>
      </text>
    </comment>
    <comment ref="D114" authorId="0">
      <text>
        <r>
          <rPr>
            <b/>
            <sz val="8"/>
            <color indexed="81"/>
            <rFont val="Tahoma"/>
            <family val="2"/>
          </rPr>
          <t>Insérer toute ligne supplémentaire au dessus de la présente ligne.</t>
        </r>
      </text>
    </comment>
    <comment ref="F116" authorId="0">
      <text>
        <r>
          <rPr>
            <b/>
            <sz val="9"/>
            <color indexed="9"/>
            <rFont val="Tahoma"/>
            <family val="2"/>
          </rPr>
          <t>Valeur non utilisée si grisée.</t>
        </r>
      </text>
    </comment>
    <comment ref="D117" authorId="0">
      <text>
        <r>
          <rPr>
            <b/>
            <sz val="8"/>
            <color indexed="81"/>
            <rFont val="Tahoma"/>
            <family val="2"/>
          </rPr>
          <t>Insérer toute nouvelle ligne ci-dessous (et non pas ci-dessus)</t>
        </r>
      </text>
    </comment>
    <comment ref="D122" authorId="0">
      <text>
        <r>
          <rPr>
            <b/>
            <sz val="8"/>
            <color indexed="81"/>
            <rFont val="Tahoma"/>
            <family val="2"/>
          </rPr>
          <t>Insérer toute ligne supplémentaire au dessus de la présente ligne.</t>
        </r>
      </text>
    </comment>
    <comment ref="F124" authorId="0">
      <text>
        <r>
          <rPr>
            <b/>
            <sz val="9"/>
            <color indexed="9"/>
            <rFont val="Tahoma"/>
            <family val="2"/>
          </rPr>
          <t>Valeur non utilisée si grisée.</t>
        </r>
      </text>
    </comment>
    <comment ref="D125" authorId="0">
      <text>
        <r>
          <rPr>
            <b/>
            <sz val="8"/>
            <color indexed="81"/>
            <rFont val="Tahoma"/>
            <family val="2"/>
          </rPr>
          <t>Insérer toute nouvelle ligne ci-dessous (et non pas ci-dessus)</t>
        </r>
      </text>
    </comment>
    <comment ref="D128" authorId="0">
      <text>
        <r>
          <rPr>
            <b/>
            <sz val="8"/>
            <color indexed="81"/>
            <rFont val="Tahoma"/>
            <family val="2"/>
          </rPr>
          <t>Insérer toute ligne supplémentaire au dessus de la présente ligne.</t>
        </r>
      </text>
    </comment>
  </commentList>
</comments>
</file>

<file path=xl/comments2.xml><?xml version="1.0" encoding="utf-8"?>
<comments xmlns="http://schemas.openxmlformats.org/spreadsheetml/2006/main">
  <authors>
    <author>V. Dumain</author>
  </authors>
  <commentList>
    <comment ref="F1" authorId="0">
      <text>
        <r>
          <rPr>
            <b/>
            <sz val="8"/>
            <color indexed="81"/>
            <rFont val="Tahoma"/>
            <family val="2"/>
          </rPr>
          <t>% normalisé</t>
        </r>
      </text>
    </comment>
    <comment ref="I1" authorId="0">
      <text>
        <r>
          <rPr>
            <b/>
            <sz val="8"/>
            <color indexed="81"/>
            <rFont val="Tahoma"/>
            <family val="2"/>
          </rPr>
          <t>% normalisé</t>
        </r>
      </text>
    </comment>
    <comment ref="L1" authorId="0">
      <text>
        <r>
          <rPr>
            <b/>
            <sz val="8"/>
            <color indexed="81"/>
            <rFont val="Tahoma"/>
            <family val="2"/>
          </rPr>
          <t>% normalisé</t>
        </r>
      </text>
    </comment>
    <comment ref="O1" authorId="0">
      <text>
        <r>
          <rPr>
            <b/>
            <sz val="8"/>
            <color indexed="81"/>
            <rFont val="Tahoma"/>
            <family val="2"/>
          </rPr>
          <t>% normalisé</t>
        </r>
      </text>
    </comment>
    <comment ref="R1" authorId="0">
      <text>
        <r>
          <rPr>
            <b/>
            <sz val="8"/>
            <color indexed="81"/>
            <rFont val="Tahoma"/>
            <family val="2"/>
          </rPr>
          <t>Ratio Durée de la garantie / Durée projet</t>
        </r>
      </text>
    </comment>
    <comment ref="W1" authorId="0">
      <text>
        <r>
          <rPr>
            <b/>
            <sz val="8"/>
            <color indexed="81"/>
            <rFont val="Tahoma"/>
            <family val="2"/>
          </rPr>
          <t>Somme des % entrés. Durées normalisées indépendantes de cette somme.</t>
        </r>
      </text>
    </comment>
    <comment ref="F4" authorId="0">
      <text>
        <r>
          <rPr>
            <b/>
            <sz val="8"/>
            <color indexed="81"/>
            <rFont val="Tahoma"/>
            <family val="2"/>
          </rPr>
          <t>Si pb =0, retour à formule matricielle : CTRL+SHIFT+ENTER</t>
        </r>
      </text>
    </comment>
    <comment ref="I4" authorId="0">
      <text>
        <r>
          <rPr>
            <b/>
            <sz val="8"/>
            <color indexed="81"/>
            <rFont val="Tahoma"/>
            <family val="2"/>
          </rPr>
          <t>Si pb =0, retour à formule matricielle : CTRL+SHIFT+ENTER</t>
        </r>
      </text>
    </comment>
    <comment ref="L4" authorId="0">
      <text>
        <r>
          <rPr>
            <b/>
            <sz val="8"/>
            <color indexed="81"/>
            <rFont val="Tahoma"/>
            <family val="2"/>
          </rPr>
          <t>Si pb =0, retour à formule matricielle : CTRL+SHIFT+ENTER</t>
        </r>
      </text>
    </comment>
    <comment ref="O4" authorId="0">
      <text>
        <r>
          <rPr>
            <b/>
            <sz val="8"/>
            <color indexed="81"/>
            <rFont val="Tahoma"/>
            <family val="2"/>
          </rPr>
          <t>Si pb =0, retour à formule matricielle : CTRL+SHIFT+ENTER</t>
        </r>
      </text>
    </comment>
    <comment ref="S4" authorId="0">
      <text>
        <r>
          <rPr>
            <b/>
            <sz val="8"/>
            <color indexed="81"/>
            <rFont val="Tahoma"/>
            <family val="2"/>
          </rPr>
          <t>Si pb =0, retour à formule matricielle : CTRL+SHIFT+ENTER</t>
        </r>
      </text>
    </comment>
    <comment ref="B5" authorId="0">
      <text>
        <r>
          <rPr>
            <b/>
            <sz val="8"/>
            <color indexed="81"/>
            <rFont val="Tahoma"/>
            <family val="2"/>
          </rPr>
          <t>La somme des % doit être = à 100%, sinon affichée en rouge.</t>
        </r>
      </text>
    </comment>
    <comment ref="F8" authorId="0">
      <text>
        <r>
          <rPr>
            <b/>
            <sz val="8"/>
            <color indexed="81"/>
            <rFont val="Tahoma"/>
            <family val="2"/>
          </rPr>
          <t>Si pb =0, retour à formule matricielle : CTRL+SHIFT+ENTER</t>
        </r>
      </text>
    </comment>
    <comment ref="I8" authorId="0">
      <text>
        <r>
          <rPr>
            <b/>
            <sz val="8"/>
            <color indexed="81"/>
            <rFont val="Tahoma"/>
            <family val="2"/>
          </rPr>
          <t>Si pb =0, retour à formule matricielle : CTRL+SHIFT+ENTER</t>
        </r>
      </text>
    </comment>
    <comment ref="L8" authorId="0">
      <text>
        <r>
          <rPr>
            <b/>
            <sz val="8"/>
            <color indexed="81"/>
            <rFont val="Tahoma"/>
            <family val="2"/>
          </rPr>
          <t>Si pb =0, retour à formule matricielle : CTRL+SHIFT+ENTER</t>
        </r>
      </text>
    </comment>
    <comment ref="O8" authorId="0">
      <text>
        <r>
          <rPr>
            <b/>
            <sz val="8"/>
            <color indexed="81"/>
            <rFont val="Tahoma"/>
            <family val="2"/>
          </rPr>
          <t>Si pb =0, retour à formule matricielle : CTRL+SHIFT+ENTER</t>
        </r>
      </text>
    </comment>
    <comment ref="S8" authorId="0">
      <text>
        <r>
          <rPr>
            <b/>
            <sz val="8"/>
            <color indexed="81"/>
            <rFont val="Tahoma"/>
            <family val="2"/>
          </rPr>
          <t>Si pb =0, retour à formule matricielle : CTRL+SHIFT+ENTER</t>
        </r>
      </text>
    </comment>
    <comment ref="B9" authorId="0">
      <text>
        <r>
          <rPr>
            <b/>
            <sz val="8"/>
            <color indexed="81"/>
            <rFont val="Tahoma"/>
            <family val="2"/>
          </rPr>
          <t>La somme des % doit être = à 100%, sinon affichée en rouge.</t>
        </r>
      </text>
    </comment>
    <comment ref="B12" authorId="0">
      <text>
        <r>
          <rPr>
            <b/>
            <sz val="10"/>
            <color indexed="9"/>
            <rFont val="Tahoma"/>
            <family val="2"/>
          </rPr>
          <t xml:space="preserve">Les charges associées aux partenaires et fournisseurs doivent être réparties sur la durée du projet en fonction des durées des prestations concernées.
Exemple :
</t>
        </r>
        <r>
          <rPr>
            <sz val="10"/>
            <color indexed="9"/>
            <rFont val="Tahoma"/>
            <family val="2"/>
          </rPr>
          <t xml:space="preserve">La </t>
        </r>
        <r>
          <rPr>
            <b/>
            <sz val="10"/>
            <color indexed="9"/>
            <rFont val="Tahoma"/>
            <family val="2"/>
          </rPr>
          <t>transition</t>
        </r>
        <r>
          <rPr>
            <sz val="10"/>
            <color indexed="9"/>
            <rFont val="Tahoma"/>
            <family val="2"/>
          </rPr>
          <t xml:space="preserve"> d'un sous-traitant vers Capgemini peut devoir s'effectuée lors de la phase de </t>
        </r>
        <r>
          <rPr>
            <b/>
            <sz val="10"/>
            <color indexed="9"/>
            <rFont val="Tahoma"/>
            <family val="2"/>
          </rPr>
          <t>construction</t>
        </r>
        <r>
          <rPr>
            <sz val="10"/>
            <color indexed="9"/>
            <rFont val="Tahoma"/>
            <family val="2"/>
          </rPr>
          <t xml:space="preserve"> du projet.</t>
        </r>
      </text>
    </comment>
    <comment ref="D12" authorId="0">
      <text>
        <r>
          <rPr>
            <b/>
            <sz val="8"/>
            <color indexed="81"/>
            <rFont val="Tahoma"/>
            <family val="2"/>
          </rPr>
          <t>à renseigner selon l'échelonnement des prestations concernées</t>
        </r>
      </text>
    </comment>
    <comment ref="F12" authorId="0">
      <text>
        <r>
          <rPr>
            <b/>
            <sz val="8"/>
            <color indexed="81"/>
            <rFont val="Tahoma"/>
            <family val="2"/>
          </rPr>
          <t>Si pb =0, retour à formule matricielle : CTRL+SHIFT+ENTER</t>
        </r>
      </text>
    </comment>
    <comment ref="G12" authorId="0">
      <text>
        <r>
          <rPr>
            <b/>
            <sz val="8"/>
            <color indexed="81"/>
            <rFont val="Tahoma"/>
            <family val="2"/>
          </rPr>
          <t>à renseigner selon l'échelonnement des prestations concernées</t>
        </r>
      </text>
    </comment>
    <comment ref="I12" authorId="0">
      <text>
        <r>
          <rPr>
            <b/>
            <sz val="8"/>
            <color indexed="81"/>
            <rFont val="Tahoma"/>
            <family val="2"/>
          </rPr>
          <t>Si pb =0, retour à formule matricielle : CTRL+SHIFT+ENTER</t>
        </r>
      </text>
    </comment>
    <comment ref="J12" authorId="0">
      <text>
        <r>
          <rPr>
            <b/>
            <sz val="8"/>
            <color indexed="81"/>
            <rFont val="Tahoma"/>
            <family val="2"/>
          </rPr>
          <t>à renseigner selon l'échelonnement des prestations concernées</t>
        </r>
      </text>
    </comment>
    <comment ref="L12" authorId="0">
      <text>
        <r>
          <rPr>
            <b/>
            <sz val="8"/>
            <color indexed="81"/>
            <rFont val="Tahoma"/>
            <family val="2"/>
          </rPr>
          <t>Si pb =0, retour à formule matricielle : CTRL+SHIFT+ENTER</t>
        </r>
      </text>
    </comment>
    <comment ref="M12" authorId="0">
      <text>
        <r>
          <rPr>
            <b/>
            <sz val="8"/>
            <color indexed="81"/>
            <rFont val="Tahoma"/>
            <family val="2"/>
          </rPr>
          <t>à renseigner selon l'échelonnement des prestations concernées</t>
        </r>
      </text>
    </comment>
    <comment ref="O12" authorId="0">
      <text>
        <r>
          <rPr>
            <b/>
            <sz val="8"/>
            <color indexed="81"/>
            <rFont val="Tahoma"/>
            <family val="2"/>
          </rPr>
          <t>Si pb =0, retour à formule matricielle : CTRL+SHIFT+ENTER</t>
        </r>
      </text>
    </comment>
    <comment ref="Q12" authorId="0">
      <text>
        <r>
          <rPr>
            <b/>
            <sz val="8"/>
            <color indexed="81"/>
            <rFont val="Tahoma"/>
            <family val="2"/>
          </rPr>
          <t>à renseigner selon l'échelonnement des prestations concernées</t>
        </r>
      </text>
    </comment>
    <comment ref="B13" authorId="0">
      <text>
        <r>
          <rPr>
            <b/>
            <sz val="8"/>
            <color indexed="81"/>
            <rFont val="Tahoma"/>
            <family val="2"/>
          </rPr>
          <t>La somme des % doit être = à 100%, sinon affichée en rouge.</t>
        </r>
      </text>
    </comment>
    <comment ref="F16" authorId="0">
      <text>
        <r>
          <rPr>
            <b/>
            <sz val="8"/>
            <color indexed="81"/>
            <rFont val="Tahoma"/>
            <family val="2"/>
          </rPr>
          <t>Si pb =0, retour à formule matricielle : CTRL+SHIFT+ENTER</t>
        </r>
      </text>
    </comment>
    <comment ref="I16" authorId="0">
      <text>
        <r>
          <rPr>
            <b/>
            <sz val="8"/>
            <color indexed="81"/>
            <rFont val="Tahoma"/>
            <family val="2"/>
          </rPr>
          <t>Si pb =0, retour à formule matricielle : CTRL+SHIFT+ENTER</t>
        </r>
      </text>
    </comment>
    <comment ref="L16" authorId="0">
      <text>
        <r>
          <rPr>
            <b/>
            <sz val="8"/>
            <color indexed="81"/>
            <rFont val="Tahoma"/>
            <family val="2"/>
          </rPr>
          <t>Si pb =0, retour à formule matricielle : CTRL+SHIFT+ENTER</t>
        </r>
      </text>
    </comment>
    <comment ref="O16" authorId="0">
      <text>
        <r>
          <rPr>
            <b/>
            <sz val="8"/>
            <color indexed="81"/>
            <rFont val="Tahoma"/>
            <family val="2"/>
          </rPr>
          <t>Si pb =0, retour à formule matricielle : CTRL+SHIFT+ENTER</t>
        </r>
      </text>
    </comment>
    <comment ref="S16" authorId="0">
      <text>
        <r>
          <rPr>
            <b/>
            <sz val="8"/>
            <color indexed="81"/>
            <rFont val="Tahoma"/>
            <family val="2"/>
          </rPr>
          <t>Si pb =0, retour à formule matricielle : CTRL+SHIFT+ENTER</t>
        </r>
      </text>
    </comment>
    <comment ref="B17" authorId="0">
      <text>
        <r>
          <rPr>
            <b/>
            <sz val="8"/>
            <color indexed="81"/>
            <rFont val="Tahoma"/>
            <family val="2"/>
          </rPr>
          <t>La somme des % doit être = à 100%, sinon affichée en rouge.</t>
        </r>
      </text>
    </comment>
    <comment ref="F20" authorId="0">
      <text>
        <r>
          <rPr>
            <b/>
            <sz val="8"/>
            <color indexed="81"/>
            <rFont val="Tahoma"/>
            <family val="2"/>
          </rPr>
          <t>Si pb =0, retour à formule matricielle : CTRL+SHIFT+ENTER</t>
        </r>
      </text>
    </comment>
    <comment ref="I20" authorId="0">
      <text>
        <r>
          <rPr>
            <b/>
            <sz val="8"/>
            <color indexed="81"/>
            <rFont val="Tahoma"/>
            <family val="2"/>
          </rPr>
          <t>Si pb =0, retour à formule matricielle : CTRL+SHIFT+ENTER</t>
        </r>
      </text>
    </comment>
    <comment ref="L20" authorId="0">
      <text>
        <r>
          <rPr>
            <b/>
            <sz val="8"/>
            <color indexed="81"/>
            <rFont val="Tahoma"/>
            <family val="2"/>
          </rPr>
          <t>Si pb =0, retour à formule matricielle : CTRL+SHIFT+ENTER</t>
        </r>
      </text>
    </comment>
    <comment ref="O20" authorId="0">
      <text>
        <r>
          <rPr>
            <b/>
            <sz val="8"/>
            <color indexed="81"/>
            <rFont val="Tahoma"/>
            <family val="2"/>
          </rPr>
          <t>Si pb =0, retour à formule matricielle : CTRL+SHIFT+ENTER</t>
        </r>
      </text>
    </comment>
    <comment ref="S20" authorId="0">
      <text>
        <r>
          <rPr>
            <b/>
            <sz val="8"/>
            <color indexed="81"/>
            <rFont val="Tahoma"/>
            <family val="2"/>
          </rPr>
          <t>Si pb =0, retour à formule matricielle : CTRL+SHIFT+ENTER</t>
        </r>
      </text>
    </comment>
    <comment ref="B21" authorId="0">
      <text>
        <r>
          <rPr>
            <b/>
            <sz val="8"/>
            <color indexed="81"/>
            <rFont val="Tahoma"/>
            <family val="2"/>
          </rPr>
          <t>La somme des % doit être = à 100%, sinon affichée en rouge.</t>
        </r>
      </text>
    </comment>
    <comment ref="F24" authorId="0">
      <text>
        <r>
          <rPr>
            <b/>
            <sz val="8"/>
            <color indexed="81"/>
            <rFont val="Tahoma"/>
            <family val="2"/>
          </rPr>
          <t>Si pb =0, retour à formule matricielle : CTRL+SHIFT+ENTER</t>
        </r>
      </text>
    </comment>
    <comment ref="I24" authorId="0">
      <text>
        <r>
          <rPr>
            <b/>
            <sz val="8"/>
            <color indexed="81"/>
            <rFont val="Tahoma"/>
            <family val="2"/>
          </rPr>
          <t>Si pb =0, retour à formule matricielle : CTRL+SHIFT+ENTER</t>
        </r>
      </text>
    </comment>
    <comment ref="L24" authorId="0">
      <text>
        <r>
          <rPr>
            <b/>
            <sz val="8"/>
            <color indexed="81"/>
            <rFont val="Tahoma"/>
            <family val="2"/>
          </rPr>
          <t>Si pb =0, retour à formule matricielle : CTRL+SHIFT+ENTER</t>
        </r>
      </text>
    </comment>
    <comment ref="O24" authorId="0">
      <text>
        <r>
          <rPr>
            <b/>
            <sz val="8"/>
            <color indexed="81"/>
            <rFont val="Tahoma"/>
            <family val="2"/>
          </rPr>
          <t>Si pb =0, retour à formule matricielle : CTRL+SHIFT+ENTER</t>
        </r>
      </text>
    </comment>
    <comment ref="S24" authorId="0">
      <text>
        <r>
          <rPr>
            <b/>
            <sz val="8"/>
            <color indexed="81"/>
            <rFont val="Tahoma"/>
            <family val="2"/>
          </rPr>
          <t>Si pb =0, retour à formule matricielle : CTRL+SHIFT+ENTER</t>
        </r>
      </text>
    </comment>
    <comment ref="B25" authorId="0">
      <text>
        <r>
          <rPr>
            <b/>
            <sz val="8"/>
            <color indexed="81"/>
            <rFont val="Tahoma"/>
            <family val="2"/>
          </rPr>
          <t>La somme des % doit être = à 100%, sinon affichée en rouge.</t>
        </r>
      </text>
    </comment>
    <comment ref="F29" authorId="0">
      <text>
        <r>
          <rPr>
            <b/>
            <sz val="8"/>
            <color indexed="81"/>
            <rFont val="Tahoma"/>
            <family val="2"/>
          </rPr>
          <t>Si pb =0, retour à formule matricielle : CTRL+SHIFT+ENTER</t>
        </r>
      </text>
    </comment>
    <comment ref="I29" authorId="0">
      <text>
        <r>
          <rPr>
            <b/>
            <sz val="8"/>
            <color indexed="81"/>
            <rFont val="Tahoma"/>
            <family val="2"/>
          </rPr>
          <t>Si pb =0, retour à formule matricielle : CTRL+SHIFT+ENTER</t>
        </r>
      </text>
    </comment>
    <comment ref="L29" authorId="0">
      <text>
        <r>
          <rPr>
            <b/>
            <sz val="8"/>
            <color indexed="81"/>
            <rFont val="Tahoma"/>
            <family val="2"/>
          </rPr>
          <t>Si pb =0, retour à formule matricielle : CTRL+SHIFT+ENTER</t>
        </r>
      </text>
    </comment>
    <comment ref="O29" authorId="0">
      <text>
        <r>
          <rPr>
            <b/>
            <sz val="8"/>
            <color indexed="81"/>
            <rFont val="Tahoma"/>
            <family val="2"/>
          </rPr>
          <t>Si pb =0, retour à formule matricielle : CTRL+SHIFT+ENTER</t>
        </r>
      </text>
    </comment>
    <comment ref="S29" authorId="0">
      <text>
        <r>
          <rPr>
            <b/>
            <sz val="8"/>
            <color indexed="81"/>
            <rFont val="Tahoma"/>
            <family val="2"/>
          </rPr>
          <t>Si pb =0, retour à formule matricielle : CTRL+SHIFT+ENTER</t>
        </r>
      </text>
    </comment>
    <comment ref="B30" authorId="0">
      <text>
        <r>
          <rPr>
            <b/>
            <sz val="8"/>
            <color indexed="81"/>
            <rFont val="Tahoma"/>
            <family val="2"/>
          </rPr>
          <t>La somme des % doit être = à 100%, sinon affichée en rouge.</t>
        </r>
      </text>
    </comment>
    <comment ref="F34" authorId="0">
      <text>
        <r>
          <rPr>
            <b/>
            <sz val="8"/>
            <color indexed="81"/>
            <rFont val="Tahoma"/>
            <family val="2"/>
          </rPr>
          <t>Si pb =0, retour à formule matricielle : CTRL+SHIFT+ENTER</t>
        </r>
      </text>
    </comment>
    <comment ref="I34" authorId="0">
      <text>
        <r>
          <rPr>
            <b/>
            <sz val="8"/>
            <color indexed="81"/>
            <rFont val="Tahoma"/>
            <family val="2"/>
          </rPr>
          <t>Si pb =0, retour à formule matricielle : CTRL+SHIFT+ENTER</t>
        </r>
      </text>
    </comment>
    <comment ref="L34" authorId="0">
      <text>
        <r>
          <rPr>
            <b/>
            <sz val="8"/>
            <color indexed="81"/>
            <rFont val="Tahoma"/>
            <family val="2"/>
          </rPr>
          <t>Si pb =0, retour à formule matricielle : CTRL+SHIFT+ENTER</t>
        </r>
      </text>
    </comment>
    <comment ref="N34" authorId="0">
      <text>
        <r>
          <rPr>
            <b/>
            <sz val="8"/>
            <color indexed="81"/>
            <rFont val="Tahoma"/>
            <family val="2"/>
          </rPr>
          <t>Corrections d'anomalies</t>
        </r>
      </text>
    </comment>
    <comment ref="O34" authorId="0">
      <text>
        <r>
          <rPr>
            <b/>
            <sz val="8"/>
            <color indexed="81"/>
            <rFont val="Tahoma"/>
            <family val="2"/>
          </rPr>
          <t>Si pb =0, retour à formule matricielle : CTRL+SHIFT+ENTER</t>
        </r>
      </text>
    </comment>
    <comment ref="S34" authorId="0">
      <text>
        <r>
          <rPr>
            <b/>
            <sz val="8"/>
            <color indexed="81"/>
            <rFont val="Tahoma"/>
            <family val="2"/>
          </rPr>
          <t>Si pb =0, retour à formule matricielle : CTRL+SHIFT+ENTER</t>
        </r>
      </text>
    </comment>
    <comment ref="B35" authorId="0">
      <text>
        <r>
          <rPr>
            <b/>
            <sz val="8"/>
            <color indexed="81"/>
            <rFont val="Tahoma"/>
            <family val="2"/>
          </rPr>
          <t>La somme des % doit être = à 100%, sinon affichée en rouge.</t>
        </r>
      </text>
    </comment>
    <comment ref="F38" authorId="0">
      <text>
        <r>
          <rPr>
            <b/>
            <sz val="8"/>
            <color indexed="81"/>
            <rFont val="Tahoma"/>
            <family val="2"/>
          </rPr>
          <t>Si pb =0, retour à formule matricielle : CTRL+SHIFT+ENTER</t>
        </r>
      </text>
    </comment>
    <comment ref="I38" authorId="0">
      <text>
        <r>
          <rPr>
            <b/>
            <sz val="8"/>
            <color indexed="81"/>
            <rFont val="Tahoma"/>
            <family val="2"/>
          </rPr>
          <t>Si pb =0, retour à formule matricielle : CTRL+SHIFT+ENTER</t>
        </r>
      </text>
    </comment>
    <comment ref="L38" authorId="0">
      <text>
        <r>
          <rPr>
            <b/>
            <sz val="8"/>
            <color indexed="81"/>
            <rFont val="Tahoma"/>
            <family val="2"/>
          </rPr>
          <t>Si pb =0, retour à formule matricielle : CTRL+SHIFT+ENTER</t>
        </r>
      </text>
    </comment>
    <comment ref="O38" authorId="0">
      <text>
        <r>
          <rPr>
            <b/>
            <sz val="8"/>
            <color indexed="81"/>
            <rFont val="Tahoma"/>
            <family val="2"/>
          </rPr>
          <t>Si pb =0, retour à formule matricielle : CTRL+SHIFT+ENTER</t>
        </r>
      </text>
    </comment>
    <comment ref="S38" authorId="0">
      <text>
        <r>
          <rPr>
            <b/>
            <sz val="8"/>
            <color indexed="81"/>
            <rFont val="Tahoma"/>
            <family val="2"/>
          </rPr>
          <t>Si pb =0, retour à formule matricielle : CTRL+SHIFT+ENTER</t>
        </r>
      </text>
    </comment>
    <comment ref="B39" authorId="0">
      <text>
        <r>
          <rPr>
            <b/>
            <sz val="8"/>
            <color indexed="81"/>
            <rFont val="Tahoma"/>
            <family val="2"/>
          </rPr>
          <t>La somme des % doit être = à 100%, sinon affichée en rouge.</t>
        </r>
      </text>
    </comment>
    <comment ref="F42" authorId="0">
      <text>
        <r>
          <rPr>
            <b/>
            <sz val="8"/>
            <color indexed="81"/>
            <rFont val="Tahoma"/>
            <family val="2"/>
          </rPr>
          <t>Si pb =0, retour à formule matricielle : CTRL+SHIFT+ENTER</t>
        </r>
      </text>
    </comment>
    <comment ref="I42" authorId="0">
      <text>
        <r>
          <rPr>
            <b/>
            <sz val="8"/>
            <color indexed="81"/>
            <rFont val="Tahoma"/>
            <family val="2"/>
          </rPr>
          <t>Si pb =0, retour à formule matricielle : CTRL+SHIFT+ENTER</t>
        </r>
      </text>
    </comment>
    <comment ref="L42" authorId="0">
      <text>
        <r>
          <rPr>
            <b/>
            <sz val="8"/>
            <color indexed="81"/>
            <rFont val="Tahoma"/>
            <family val="2"/>
          </rPr>
          <t>Si pb =0, retour à formule matricielle : CTRL+SHIFT+ENTER</t>
        </r>
      </text>
    </comment>
    <comment ref="O42" authorId="0">
      <text>
        <r>
          <rPr>
            <b/>
            <sz val="8"/>
            <color indexed="81"/>
            <rFont val="Tahoma"/>
            <family val="2"/>
          </rPr>
          <t>Si pb =0, retour à formule matricielle : CTRL+SHIFT+ENTER</t>
        </r>
      </text>
    </comment>
    <comment ref="S42" authorId="0">
      <text>
        <r>
          <rPr>
            <b/>
            <sz val="8"/>
            <color indexed="81"/>
            <rFont val="Tahoma"/>
            <family val="2"/>
          </rPr>
          <t>Si pb =0, retour à formule matricielle : CTRL+SHIFT+ENTER</t>
        </r>
      </text>
    </comment>
    <comment ref="B43" authorId="0">
      <text>
        <r>
          <rPr>
            <b/>
            <sz val="8"/>
            <color indexed="81"/>
            <rFont val="Tahoma"/>
            <family val="2"/>
          </rPr>
          <t>La somme des % doit être = à 100%, sinon affichée en rouge.</t>
        </r>
      </text>
    </comment>
    <comment ref="F48" authorId="0">
      <text>
        <r>
          <rPr>
            <b/>
            <sz val="8"/>
            <color indexed="81"/>
            <rFont val="Tahoma"/>
            <family val="2"/>
          </rPr>
          <t>Si pb =0, retour à formule matricielle : CTRL+SHIFT+ENTER</t>
        </r>
      </text>
    </comment>
    <comment ref="I48" authorId="0">
      <text>
        <r>
          <rPr>
            <b/>
            <sz val="8"/>
            <color indexed="81"/>
            <rFont val="Tahoma"/>
            <family val="2"/>
          </rPr>
          <t>Si pb =0, retour à formule matricielle : CTRL+SHIFT+ENTER</t>
        </r>
      </text>
    </comment>
    <comment ref="L48" authorId="0">
      <text>
        <r>
          <rPr>
            <b/>
            <sz val="8"/>
            <color indexed="81"/>
            <rFont val="Tahoma"/>
            <family val="2"/>
          </rPr>
          <t>Si pb =0, retour à formule matricielle : CTRL+SHIFT+ENTER</t>
        </r>
      </text>
    </comment>
    <comment ref="O48" authorId="0">
      <text>
        <r>
          <rPr>
            <b/>
            <sz val="8"/>
            <color indexed="81"/>
            <rFont val="Tahoma"/>
            <family val="2"/>
          </rPr>
          <t>Si pb =0, retour à formule matricielle : CTRL+SHIFT+ENTER</t>
        </r>
      </text>
    </comment>
    <comment ref="S48" authorId="0">
      <text>
        <r>
          <rPr>
            <b/>
            <sz val="8"/>
            <color indexed="81"/>
            <rFont val="Tahoma"/>
            <family val="2"/>
          </rPr>
          <t>Si pb =0, retour à formule matricielle : CTRL+SHIFT+ENTER</t>
        </r>
      </text>
    </comment>
    <comment ref="B49" authorId="0">
      <text>
        <r>
          <rPr>
            <b/>
            <sz val="8"/>
            <color indexed="81"/>
            <rFont val="Tahoma"/>
            <family val="2"/>
          </rPr>
          <t>La somme des % doit être = à 100%, sinon affichée en rouge.</t>
        </r>
      </text>
    </comment>
    <comment ref="F54" authorId="0">
      <text>
        <r>
          <rPr>
            <b/>
            <sz val="8"/>
            <color indexed="81"/>
            <rFont val="Tahoma"/>
            <family val="2"/>
          </rPr>
          <t>Si pb =0, retour à formule matricielle : CTRL+SHIFT+ENTER</t>
        </r>
      </text>
    </comment>
    <comment ref="I54" authorId="0">
      <text>
        <r>
          <rPr>
            <b/>
            <sz val="8"/>
            <color indexed="81"/>
            <rFont val="Tahoma"/>
            <family val="2"/>
          </rPr>
          <t>Si pb =0, retour à formule matricielle : CTRL+SHIFT+ENTER</t>
        </r>
      </text>
    </comment>
    <comment ref="L54" authorId="0">
      <text>
        <r>
          <rPr>
            <b/>
            <sz val="8"/>
            <color indexed="81"/>
            <rFont val="Tahoma"/>
            <family val="2"/>
          </rPr>
          <t>Si pb =0, retour à formule matricielle : CTRL+SHIFT+ENTER</t>
        </r>
      </text>
    </comment>
    <comment ref="O54" authorId="0">
      <text>
        <r>
          <rPr>
            <b/>
            <sz val="8"/>
            <color indexed="81"/>
            <rFont val="Tahoma"/>
            <family val="2"/>
          </rPr>
          <t>Si pb =0, retour à formule matricielle : CTRL+SHIFT+ENTER</t>
        </r>
      </text>
    </comment>
    <comment ref="S54" authorId="0">
      <text>
        <r>
          <rPr>
            <b/>
            <sz val="8"/>
            <color indexed="81"/>
            <rFont val="Tahoma"/>
            <family val="2"/>
          </rPr>
          <t>Si pb =0, retour à formule matricielle : CTRL+SHIFT+ENTER</t>
        </r>
      </text>
    </comment>
    <comment ref="B55" authorId="0">
      <text>
        <r>
          <rPr>
            <b/>
            <sz val="8"/>
            <color indexed="81"/>
            <rFont val="Tahoma"/>
            <family val="2"/>
          </rPr>
          <t>La somme des % doit être = à 100%, sinon affichée en rouge.</t>
        </r>
      </text>
    </comment>
    <comment ref="F59" authorId="0">
      <text>
        <r>
          <rPr>
            <b/>
            <sz val="8"/>
            <color indexed="81"/>
            <rFont val="Tahoma"/>
            <family val="2"/>
          </rPr>
          <t>Si pb =0, retour à formule matricielle : CTRL+SHIFT+ENTER</t>
        </r>
      </text>
    </comment>
    <comment ref="I59" authorId="0">
      <text>
        <r>
          <rPr>
            <b/>
            <sz val="8"/>
            <color indexed="81"/>
            <rFont val="Tahoma"/>
            <family val="2"/>
          </rPr>
          <t>Si pb =0, retour à formule matricielle : CTRL+SHIFT+ENTER</t>
        </r>
      </text>
    </comment>
    <comment ref="L59" authorId="0">
      <text>
        <r>
          <rPr>
            <b/>
            <sz val="8"/>
            <color indexed="81"/>
            <rFont val="Tahoma"/>
            <family val="2"/>
          </rPr>
          <t>Si pb =0, retour à formule matricielle : CTRL+SHIFT+ENTER</t>
        </r>
      </text>
    </comment>
    <comment ref="O59" authorId="0">
      <text>
        <r>
          <rPr>
            <b/>
            <sz val="8"/>
            <color indexed="81"/>
            <rFont val="Tahoma"/>
            <family val="2"/>
          </rPr>
          <t>Si pb =0, retour à formule matricielle : CTRL+SHIFT+ENTER</t>
        </r>
      </text>
    </comment>
    <comment ref="S59" authorId="0">
      <text>
        <r>
          <rPr>
            <b/>
            <sz val="8"/>
            <color indexed="81"/>
            <rFont val="Tahoma"/>
            <family val="2"/>
          </rPr>
          <t>Si pb =0, retour à formule matricielle : CTRL+SHIFT+ENTER</t>
        </r>
      </text>
    </comment>
    <comment ref="B60" authorId="0">
      <text>
        <r>
          <rPr>
            <b/>
            <sz val="8"/>
            <color indexed="81"/>
            <rFont val="Tahoma"/>
            <family val="2"/>
          </rPr>
          <t>La somme des % doit être = à 100%, sinon affichée en rouge.</t>
        </r>
      </text>
    </comment>
    <comment ref="F63" authorId="0">
      <text>
        <r>
          <rPr>
            <b/>
            <sz val="8"/>
            <color indexed="81"/>
            <rFont val="Tahoma"/>
            <family val="2"/>
          </rPr>
          <t>Si pb =0, retour à formule matricielle : CTRL+SHIFT+ENTER</t>
        </r>
      </text>
    </comment>
    <comment ref="I63" authorId="0">
      <text>
        <r>
          <rPr>
            <b/>
            <sz val="8"/>
            <color indexed="81"/>
            <rFont val="Tahoma"/>
            <family val="2"/>
          </rPr>
          <t>Si pb =0, retour à formule matricielle : CTRL+SHIFT+ENTER</t>
        </r>
      </text>
    </comment>
    <comment ref="L63" authorId="0">
      <text>
        <r>
          <rPr>
            <b/>
            <sz val="8"/>
            <color indexed="81"/>
            <rFont val="Tahoma"/>
            <family val="2"/>
          </rPr>
          <t>Si pb =0, retour à formule matricielle : CTRL+SHIFT+ENTER</t>
        </r>
      </text>
    </comment>
    <comment ref="O63" authorId="0">
      <text>
        <r>
          <rPr>
            <b/>
            <sz val="8"/>
            <color indexed="81"/>
            <rFont val="Tahoma"/>
            <family val="2"/>
          </rPr>
          <t>Si pb =0, retour à formule matricielle : CTRL+SHIFT+ENTER</t>
        </r>
      </text>
    </comment>
    <comment ref="S63" authorId="0">
      <text>
        <r>
          <rPr>
            <b/>
            <sz val="8"/>
            <color indexed="81"/>
            <rFont val="Tahoma"/>
            <family val="2"/>
          </rPr>
          <t>Si pb =0, retour à formule matricielle : CTRL+SHIFT+ENTER</t>
        </r>
      </text>
    </comment>
    <comment ref="B64" authorId="0">
      <text>
        <r>
          <rPr>
            <b/>
            <sz val="8"/>
            <color indexed="81"/>
            <rFont val="Tahoma"/>
            <family val="2"/>
          </rPr>
          <t>La somme des % doit être = à 100%, sinon affichée en rouge.</t>
        </r>
      </text>
    </comment>
    <comment ref="B67" authorId="0">
      <text>
        <r>
          <rPr>
            <b/>
            <sz val="9"/>
            <color indexed="81"/>
            <rFont val="Tahoma"/>
            <family val="2"/>
          </rPr>
          <t>= Services vendus</t>
        </r>
      </text>
    </comment>
    <comment ref="D67" authorId="0">
      <text>
        <r>
          <rPr>
            <b/>
            <sz val="8"/>
            <color indexed="81"/>
            <rFont val="Tahoma"/>
            <family val="2"/>
          </rPr>
          <t>à renseigner selon l'échelonnement des prestations spécifiques (services)</t>
        </r>
      </text>
    </comment>
    <comment ref="F67" authorId="0">
      <text>
        <r>
          <rPr>
            <b/>
            <sz val="8"/>
            <color indexed="81"/>
            <rFont val="Tahoma"/>
            <family val="2"/>
          </rPr>
          <t>Si pb =0, retour à formule matricielle : CTRL+SHIFT+ENTER</t>
        </r>
      </text>
    </comment>
    <comment ref="G67" authorId="0">
      <text>
        <r>
          <rPr>
            <b/>
            <sz val="8"/>
            <color indexed="81"/>
            <rFont val="Tahoma"/>
            <family val="2"/>
          </rPr>
          <t>à renseigner selon l'échelonnement des prestations spécifiques (services)</t>
        </r>
      </text>
    </comment>
    <comment ref="I67" authorId="0">
      <text>
        <r>
          <rPr>
            <b/>
            <sz val="8"/>
            <color indexed="81"/>
            <rFont val="Tahoma"/>
            <family val="2"/>
          </rPr>
          <t>Si pb =0, retour à formule matricielle : CTRL+SHIFT+ENTER</t>
        </r>
      </text>
    </comment>
    <comment ref="J67" authorId="0">
      <text>
        <r>
          <rPr>
            <b/>
            <sz val="8"/>
            <color indexed="81"/>
            <rFont val="Tahoma"/>
            <family val="2"/>
          </rPr>
          <t>à renseigner selon l'échelonnement des prestations spécifiques (services)</t>
        </r>
      </text>
    </comment>
    <comment ref="L67" authorId="0">
      <text>
        <r>
          <rPr>
            <b/>
            <sz val="8"/>
            <color indexed="81"/>
            <rFont val="Tahoma"/>
            <family val="2"/>
          </rPr>
          <t>Si pb =0, retour à formule matricielle : CTRL+SHIFT+ENTER</t>
        </r>
      </text>
    </comment>
    <comment ref="M67" authorId="0">
      <text>
        <r>
          <rPr>
            <b/>
            <sz val="8"/>
            <color indexed="81"/>
            <rFont val="Tahoma"/>
            <family val="2"/>
          </rPr>
          <t>à renseigner selon l'échelonnement des prestations spécifiques (services)</t>
        </r>
      </text>
    </comment>
    <comment ref="O67" authorId="0">
      <text>
        <r>
          <rPr>
            <b/>
            <sz val="8"/>
            <color indexed="81"/>
            <rFont val="Tahoma"/>
            <family val="2"/>
          </rPr>
          <t>Si pb =0, retour à formule matricielle : CTRL+SHIFT+ENTER</t>
        </r>
      </text>
    </comment>
    <comment ref="S67" authorId="0">
      <text>
        <r>
          <rPr>
            <b/>
            <sz val="8"/>
            <color indexed="81"/>
            <rFont val="Tahoma"/>
            <family val="2"/>
          </rPr>
          <t>Si pb =0, retour à formule matricielle : CTRL+SHIFT+ENTER</t>
        </r>
      </text>
    </comment>
    <comment ref="B68" authorId="0">
      <text>
        <r>
          <rPr>
            <b/>
            <sz val="8"/>
            <color indexed="81"/>
            <rFont val="Tahoma"/>
            <family val="2"/>
          </rPr>
          <t>La somme des % doit être = à 100%, sinon affichée en rouge.</t>
        </r>
      </text>
    </comment>
    <comment ref="F71" authorId="0">
      <text>
        <r>
          <rPr>
            <b/>
            <sz val="8"/>
            <color indexed="81"/>
            <rFont val="Tahoma"/>
            <family val="2"/>
          </rPr>
          <t>Si pb =0, retour à formule matricielle : CTRL+SHIFT+ENTER</t>
        </r>
      </text>
    </comment>
    <comment ref="I71" authorId="0">
      <text>
        <r>
          <rPr>
            <b/>
            <sz val="8"/>
            <color indexed="81"/>
            <rFont val="Tahoma"/>
            <family val="2"/>
          </rPr>
          <t>Si pb =0, retour à formule matricielle : CTRL+SHIFT+ENTER</t>
        </r>
      </text>
    </comment>
    <comment ref="L71" authorId="0">
      <text>
        <r>
          <rPr>
            <b/>
            <sz val="8"/>
            <color indexed="81"/>
            <rFont val="Tahoma"/>
            <family val="2"/>
          </rPr>
          <t>Si pb =0, retour à formule matricielle : CTRL+SHIFT+ENTER</t>
        </r>
      </text>
    </comment>
    <comment ref="O71" authorId="0">
      <text>
        <r>
          <rPr>
            <b/>
            <sz val="8"/>
            <color indexed="81"/>
            <rFont val="Tahoma"/>
            <family val="2"/>
          </rPr>
          <t>Si pb =0, retour à formule matricielle : CTRL+SHIFT+ENTER</t>
        </r>
      </text>
    </comment>
    <comment ref="S71" authorId="0">
      <text>
        <r>
          <rPr>
            <b/>
            <sz val="8"/>
            <color indexed="81"/>
            <rFont val="Tahoma"/>
            <family val="2"/>
          </rPr>
          <t>Si pb =0, retour à formule matricielle : CTRL+SHIFT+ENTER</t>
        </r>
      </text>
    </comment>
    <comment ref="B72" authorId="0">
      <text>
        <r>
          <rPr>
            <b/>
            <sz val="8"/>
            <color indexed="81"/>
            <rFont val="Tahoma"/>
            <family val="2"/>
          </rPr>
          <t>La somme des % doit être = à 100%, sinon affichée en rouge.</t>
        </r>
      </text>
    </comment>
    <comment ref="F85" authorId="0">
      <text>
        <r>
          <rPr>
            <b/>
            <sz val="8"/>
            <color indexed="81"/>
            <rFont val="Tahoma"/>
            <family val="2"/>
          </rPr>
          <t>Si pb =0, retour à formule matricielle : CTRL+SHIFT+ENTER</t>
        </r>
      </text>
    </comment>
    <comment ref="I85" authorId="0">
      <text>
        <r>
          <rPr>
            <b/>
            <sz val="8"/>
            <color indexed="81"/>
            <rFont val="Tahoma"/>
            <family val="2"/>
          </rPr>
          <t>Si pb =0, retour à formule matricielle : CTRL+SHIFT+ENTER</t>
        </r>
      </text>
    </comment>
    <comment ref="L85" authorId="0">
      <text>
        <r>
          <rPr>
            <b/>
            <sz val="8"/>
            <color indexed="81"/>
            <rFont val="Tahoma"/>
            <family val="2"/>
          </rPr>
          <t>Si pb =0, retour à formule matricielle : CTRL+SHIFT+ENTER</t>
        </r>
      </text>
    </comment>
    <comment ref="O85" authorId="0">
      <text>
        <r>
          <rPr>
            <b/>
            <sz val="8"/>
            <color indexed="81"/>
            <rFont val="Tahoma"/>
            <family val="2"/>
          </rPr>
          <t>Si pb =0, retour à formule matricielle : CTRL+SHIFT+ENTER</t>
        </r>
      </text>
    </comment>
    <comment ref="S85" authorId="0">
      <text>
        <r>
          <rPr>
            <b/>
            <sz val="8"/>
            <color indexed="81"/>
            <rFont val="Tahoma"/>
            <family val="2"/>
          </rPr>
          <t>Si pb =0, retour à formule matricielle : CTRL+SHIFT+ENTER</t>
        </r>
      </text>
    </comment>
    <comment ref="B86" authorId="0">
      <text>
        <r>
          <rPr>
            <b/>
            <sz val="8"/>
            <color indexed="81"/>
            <rFont val="Tahoma"/>
            <family val="2"/>
          </rPr>
          <t>La somme des % doit être = à 100%, sinon affichée en rouge.</t>
        </r>
      </text>
    </comment>
    <comment ref="F130" authorId="0">
      <text>
        <r>
          <rPr>
            <b/>
            <sz val="8"/>
            <color indexed="81"/>
            <rFont val="Tahoma"/>
            <family val="2"/>
          </rPr>
          <t>Charge horaire par seamine en moyenne sur la macro-phase.</t>
        </r>
      </text>
    </comment>
    <comment ref="I130" authorId="0">
      <text>
        <r>
          <rPr>
            <b/>
            <sz val="8"/>
            <color indexed="81"/>
            <rFont val="Tahoma"/>
            <family val="2"/>
          </rPr>
          <t>Charge horaire par seamine en moyenne sur la macro-phase.</t>
        </r>
      </text>
    </comment>
    <comment ref="L130" authorId="0">
      <text>
        <r>
          <rPr>
            <b/>
            <sz val="8"/>
            <color indexed="81"/>
            <rFont val="Tahoma"/>
            <family val="2"/>
          </rPr>
          <t>Charge horaire par seamine en moyenne sur la macro-phase.</t>
        </r>
      </text>
    </comment>
    <comment ref="O130" authorId="0">
      <text>
        <r>
          <rPr>
            <b/>
            <sz val="8"/>
            <color indexed="81"/>
            <rFont val="Tahoma"/>
            <family val="2"/>
          </rPr>
          <t>Charge horaire par seamine en moyenne sur la macro-phase.</t>
        </r>
      </text>
    </comment>
    <comment ref="S130" authorId="0">
      <text>
        <r>
          <rPr>
            <b/>
            <sz val="8"/>
            <color indexed="81"/>
            <rFont val="Tahoma"/>
            <family val="2"/>
          </rPr>
          <t>Charge horaire par seamine en moyenne sur la macro-phase.</t>
        </r>
      </text>
    </comment>
    <comment ref="B131" authorId="0">
      <text>
        <r>
          <rPr>
            <b/>
            <sz val="8"/>
            <color indexed="81"/>
            <rFont val="Tahoma"/>
            <family val="2"/>
          </rPr>
          <t>En gras le responsable pour un rôle donné.</t>
        </r>
      </text>
    </comment>
    <comment ref="C131" authorId="0">
      <text>
        <r>
          <rPr>
            <b/>
            <sz val="8"/>
            <color indexed="81"/>
            <rFont val="Tahoma"/>
            <family val="2"/>
          </rPr>
          <t>Abréviation du rôle principale de la resource.</t>
        </r>
      </text>
    </comment>
    <comment ref="D132" authorId="0">
      <text>
        <r>
          <rPr>
            <b/>
            <sz val="8"/>
            <color indexed="81"/>
            <rFont val="Tahoma"/>
            <family val="2"/>
          </rPr>
          <t>Entrez "R" pour allouer la responsabilité d'un rôle du membre de l'équipe lors de la macro-phase considérée.
Une charge allouée sans "R", est considérée comme un support au coté du responsable du rôle.</t>
        </r>
      </text>
    </comment>
    <comment ref="F132"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G132" authorId="0">
      <text>
        <r>
          <rPr>
            <b/>
            <sz val="8"/>
            <color indexed="81"/>
            <rFont val="Tahoma"/>
            <family val="2"/>
          </rPr>
          <t>Entrez "R" pour allouer la responsabilité d'un rôle du membre de l'équipe lors de la macro-phase considérée.
Une charge allouée sans "R", est considérée comme un support au coté du responsable du rôle.</t>
        </r>
      </text>
    </comment>
    <comment ref="I132"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J132" authorId="0">
      <text>
        <r>
          <rPr>
            <b/>
            <sz val="8"/>
            <color indexed="81"/>
            <rFont val="Tahoma"/>
            <family val="2"/>
          </rPr>
          <t>Entrez "R" pour allouer la responsabilité d'un rôle du membre de l'équipe lors de la macro-phase considérée.
Une charge allouée sans "R", est considérée comme un support au coté du responsable du rôle.</t>
        </r>
      </text>
    </comment>
    <comment ref="L132"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M132" authorId="0">
      <text>
        <r>
          <rPr>
            <b/>
            <sz val="8"/>
            <color indexed="81"/>
            <rFont val="Tahoma"/>
            <family val="2"/>
          </rPr>
          <t>Entrez "R" pour allouer la responsabilité d'un rôle du membre de l'équipe lors de la macro-phase considérée.
Une charge allouée sans "R", est considérée comme un support au coté du responsable du rôle.</t>
        </r>
      </text>
    </comment>
    <comment ref="O132"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Q132" authorId="0">
      <text>
        <r>
          <rPr>
            <b/>
            <sz val="8"/>
            <color indexed="81"/>
            <rFont val="Tahoma"/>
            <family val="2"/>
          </rPr>
          <t>Entrez "R" pour allouer la responsabilité d'un rôle du membre de l'équipe lors de la macro-phase considérée.
Une charge allouée sans "R", est considérée comme un support au coté du responsable du rôle.</t>
        </r>
      </text>
    </comment>
    <comment ref="S132"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B133"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34"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35"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36"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37"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F140"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I140"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L140"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O140"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S140"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B141"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42"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F145"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I145"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L145"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O145"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S145"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B146"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47"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F150"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I150"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L150"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O150"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S150"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B151"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52"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53"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F156"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I156"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L156"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O156"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S156"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B157"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58"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59"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60"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F164"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I164"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L164"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O164"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S164"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B165"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66"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F169"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I169"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L169"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O169"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S169"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B170"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71"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72"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F175"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I175"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L175"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O175"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S175"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B176"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77"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78"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F181"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I181"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L181"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O181"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S181"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B182"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83"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F186"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I186"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L186"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O186"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S186" authorId="0">
      <text>
        <r>
          <rPr>
            <b/>
            <sz val="8"/>
            <color indexed="81"/>
            <rFont val="Tahoma"/>
            <family val="2"/>
          </rPr>
          <t>Nbre d'ETP assurés par la ressource pour le rôle/fonction.
Laissez la cellule vide pour indiquer le reste de la charge, ou la totalité si aucune autre allocation sur le rôle n'a été effectuée.
Attention, si le rôle apparaît plusieurs fois et que les cellules restent vide, les cellules sont affichées en rouge pour demander une entrée. Entrez "0" si vous souhaitez que la distribution se fasse sur les autres intervenants.</t>
        </r>
      </text>
    </comment>
    <comment ref="B187"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 ref="B188" authorId="0">
      <text>
        <r>
          <rPr>
            <b/>
            <sz val="8"/>
            <color indexed="81"/>
            <rFont val="Tahoma"/>
            <family val="2"/>
          </rPr>
          <t>Mettre en gras le rôle rattaché à la resssource qui en est le responsable. Les autres occurrences du même rôle aloué  à d'autres ressouces doivent être représentées en police mode normal.
Si le rôle recherché  est  couvert en totalité par une ou plusieurs ressources, il ne figure pas dans la liste déroulante. Dans ce cas, copiez/collez une cellule contenant le rôle (s'assurer que les rôles "secondaires" ne sont pas en gras), et modifiez la répartition du rôle sur les ressouces concernées.</t>
        </r>
      </text>
    </comment>
  </commentList>
</comments>
</file>

<file path=xl/comments3.xml><?xml version="1.0" encoding="utf-8"?>
<comments xmlns="http://schemas.openxmlformats.org/spreadsheetml/2006/main">
  <authors>
    <author>Capgemini</author>
    <author>capgemini</author>
    <author>V. Dumain</author>
    <author>CAPGEMINI</author>
  </authors>
  <commentList>
    <comment ref="Q1" authorId="0">
      <text>
        <r>
          <rPr>
            <b/>
            <sz val="8"/>
            <color indexed="81"/>
            <rFont val="Tahoma"/>
            <family val="2"/>
          </rPr>
          <t>Durée totale du "suivi" des partenaires et founisseurs.</t>
        </r>
      </text>
    </comment>
    <comment ref="L2" authorId="0">
      <text>
        <r>
          <rPr>
            <b/>
            <sz val="8"/>
            <color indexed="81"/>
            <rFont val="Tahoma"/>
            <family val="2"/>
          </rPr>
          <t xml:space="preserve">Entrez les durées approximative des macro-phases concernant la sous-traitance (celles-ci peuvent être et sont souvent différentes de celles du projet).
</t>
        </r>
        <r>
          <rPr>
            <b/>
            <sz val="8"/>
            <color indexed="10"/>
            <rFont val="Tahoma"/>
            <family val="2"/>
          </rPr>
          <t xml:space="preserve">
Si, selon le partenaire, les durées de suivi sont très différentes, dupliquer le présent onglet pour traiter les différents partenaires.</t>
        </r>
      </text>
    </comment>
    <comment ref="I4" authorId="1">
      <text>
        <r>
          <rPr>
            <b/>
            <sz val="8"/>
            <color indexed="81"/>
            <rFont val="Tahoma"/>
            <family val="2"/>
          </rPr>
          <t>Equivalent temps plein</t>
        </r>
      </text>
    </comment>
    <comment ref="K5" authorId="2">
      <text>
        <r>
          <rPr>
            <b/>
            <sz val="8"/>
            <color indexed="81"/>
            <rFont val="Tahoma"/>
            <family val="2"/>
          </rPr>
          <t>En avant vente</t>
        </r>
      </text>
    </comment>
    <comment ref="L5" authorId="2">
      <text>
        <r>
          <rPr>
            <b/>
            <sz val="8"/>
            <color indexed="81"/>
            <rFont val="Tahoma"/>
            <family val="2"/>
          </rPr>
          <t>Charges sur projet. A recopier dans la cellule Gestion de la sous-traitance dans la feuille "Facteurs_Activités"</t>
        </r>
      </text>
    </comment>
    <comment ref="H6" authorId="2">
      <text>
        <r>
          <rPr>
            <b/>
            <sz val="8"/>
            <color indexed="81"/>
            <rFont val="Tahoma"/>
            <family val="2"/>
          </rPr>
          <t xml:space="preserve">Entrez une durée en heures (sans entrer "h")
</t>
        </r>
      </text>
    </comment>
    <comment ref="K6" authorId="2">
      <text>
        <r>
          <rPr>
            <b/>
            <sz val="8"/>
            <color indexed="81"/>
            <rFont val="Tahoma"/>
            <family val="2"/>
          </rPr>
          <t>Retour au mode formule matricielle : CTRL + SHIFT + ENTER (dans la formule)</t>
        </r>
      </text>
    </comment>
    <comment ref="L6" authorId="2">
      <text>
        <r>
          <rPr>
            <b/>
            <sz val="8"/>
            <color indexed="81"/>
            <rFont val="Tahoma"/>
            <family val="2"/>
          </rPr>
          <t>Retour au mode formule matricielle : CTRL + SHIFT + ENTER (dans la formule)</t>
        </r>
      </text>
    </comment>
    <comment ref="M6" authorId="2">
      <text>
        <r>
          <rPr>
            <b/>
            <sz val="8"/>
            <color indexed="81"/>
            <rFont val="Tahoma"/>
            <family val="2"/>
          </rPr>
          <t>Retour au mode formule matricielle : CTRL + SHIFT + ENTER (dans la formule)</t>
        </r>
      </text>
    </comment>
    <comment ref="N6" authorId="2">
      <text>
        <r>
          <rPr>
            <b/>
            <sz val="8"/>
            <color indexed="81"/>
            <rFont val="Tahoma"/>
            <family val="2"/>
          </rPr>
          <t>Retour au mode formule matricielle : CTRL + SHIFT + ENTER (dans la formule)</t>
        </r>
      </text>
    </comment>
    <comment ref="O6" authorId="2">
      <text>
        <r>
          <rPr>
            <b/>
            <sz val="8"/>
            <color indexed="81"/>
            <rFont val="Tahoma"/>
            <family val="2"/>
          </rPr>
          <t>Retour au mode formule matricielle : CTRL + SHIFT + ENTER (dans la formule)</t>
        </r>
      </text>
    </comment>
    <comment ref="K8" authorId="2">
      <text>
        <r>
          <rPr>
            <b/>
            <sz val="8"/>
            <color indexed="81"/>
            <rFont val="Tahoma"/>
            <family val="2"/>
          </rPr>
          <t>Retour au mode formule matricielle : CTRL + SHIFT + ENTER (dans la formule)</t>
        </r>
      </text>
    </comment>
    <comment ref="L8" authorId="2">
      <text>
        <r>
          <rPr>
            <b/>
            <sz val="8"/>
            <color indexed="81"/>
            <rFont val="Tahoma"/>
            <family val="2"/>
          </rPr>
          <t>Retour au mode formule matricielle : CTRL + SHIFT + ENTER (dans la formule)</t>
        </r>
      </text>
    </comment>
    <comment ref="M8" authorId="2">
      <text>
        <r>
          <rPr>
            <b/>
            <sz val="8"/>
            <color indexed="81"/>
            <rFont val="Tahoma"/>
            <family val="2"/>
          </rPr>
          <t>Retour au mode formule matricielle : CTRL + SHIFT + ENTER (dans la formule)</t>
        </r>
      </text>
    </comment>
    <comment ref="N8" authorId="2">
      <text>
        <r>
          <rPr>
            <b/>
            <sz val="8"/>
            <color indexed="81"/>
            <rFont val="Tahoma"/>
            <family val="2"/>
          </rPr>
          <t>Retour au mode formule matricielle : CTRL + SHIFT + ENTER (dans la formule)</t>
        </r>
      </text>
    </comment>
    <comment ref="O8" authorId="2">
      <text>
        <r>
          <rPr>
            <b/>
            <sz val="8"/>
            <color indexed="81"/>
            <rFont val="Tahoma"/>
            <family val="2"/>
          </rPr>
          <t>Retour au mode formule matricielle : CTRL + SHIFT + ENTER (dans la formule)</t>
        </r>
      </text>
    </comment>
    <comment ref="E13" authorId="2">
      <text>
        <r>
          <rPr>
            <sz val="9"/>
            <color indexed="81"/>
            <rFont val="Tahoma"/>
            <family val="2"/>
          </rPr>
          <t>ex. En C++, productivité d'environ 50 lignes/h.jour (CTU + conception + test + intégration + doc.), soit 10 000/50 = 200 jours (voir éléments de cacul de charge de gestion des sous-traitants ci-dessous (ligne peut être cachée)</t>
        </r>
      </text>
    </comment>
    <comment ref="G13" authorId="2">
      <text>
        <r>
          <rPr>
            <b/>
            <sz val="8"/>
            <color indexed="81"/>
            <rFont val="Tahoma"/>
            <family val="2"/>
          </rPr>
          <t xml:space="preserve">Entrez ici la charge approximative (h.j) à sous-traiter. </t>
        </r>
      </text>
    </comment>
    <comment ref="H13" authorId="2">
      <text>
        <r>
          <rPr>
            <sz val="8"/>
            <color indexed="81"/>
            <rFont val="Tahoma"/>
            <family val="2"/>
          </rPr>
          <t>% de la charge de sous traitance a affecter au suivi du sous-traitant</t>
        </r>
        <r>
          <rPr>
            <b/>
            <sz val="8"/>
            <color indexed="81"/>
            <rFont val="Tahoma"/>
            <family val="2"/>
          </rPr>
          <t xml:space="preserve"> issu de l'approche globale
</t>
        </r>
        <r>
          <rPr>
            <sz val="8"/>
            <color indexed="81"/>
            <rFont val="Tahoma"/>
            <family val="2"/>
          </rPr>
          <t xml:space="preserve">
A rapprocher du même critère obtenu par l'approche détaillée =&gt; la zone apparaît sur fond orange si écart supérieur à 5%</t>
        </r>
      </text>
    </comment>
    <comment ref="E14" authorId="2">
      <text>
        <r>
          <rPr>
            <b/>
            <u/>
            <sz val="9"/>
            <color indexed="81"/>
            <rFont val="Tahoma"/>
            <family val="2"/>
          </rPr>
          <t>Facteurs augmentant la difficulté de gestion d'un sous-traitant si avérés et inversement</t>
        </r>
        <r>
          <rPr>
            <b/>
            <sz val="9"/>
            <color indexed="81"/>
            <rFont val="Tahoma"/>
            <family val="2"/>
          </rPr>
          <t xml:space="preserve"> : 
- Nous n'avons pas l'habitude de travailler avec ce sous-traitant ou nous savons qu'il n'est pas facile à gérer
- maturité faible du sous-traitant (processus, méthodologie, organisation, autonomie),
- levier faible de négociation, de pression sur le sous-traitant.
Si le coût (charge) de gestion de sous-traitance s'avère plus élevée que prévue, l'intérêt de sous-traiter le développement peut être remis en cause (si Capgemini a la possibilité de développer la solution à un coût moins élevé en tenant compte des coûts de gestion de la sous-traitance).</t>
        </r>
      </text>
    </comment>
    <comment ref="G14" authorId="2">
      <text>
        <r>
          <rPr>
            <b/>
            <sz val="8"/>
            <color indexed="81"/>
            <rFont val="Tahoma"/>
            <family val="2"/>
          </rPr>
          <t>Choisissez une valeur dans la liste déroulante.</t>
        </r>
      </text>
    </comment>
    <comment ref="H15" authorId="2">
      <text>
        <r>
          <rPr>
            <sz val="8"/>
            <color indexed="81"/>
            <rFont val="Tahoma"/>
            <family val="2"/>
          </rPr>
          <t>% de la charge de sous traitance a affecter au suivi du sous-traitant</t>
        </r>
        <r>
          <rPr>
            <b/>
            <sz val="8"/>
            <color indexed="81"/>
            <rFont val="Tahoma"/>
            <family val="2"/>
          </rPr>
          <t xml:space="preserve"> issu de l'approche détaillée </t>
        </r>
        <r>
          <rPr>
            <sz val="8"/>
            <color indexed="81"/>
            <rFont val="Tahoma"/>
            <family val="2"/>
          </rPr>
          <t xml:space="preserve">
A rapprocher du même critère obtenu par l'approche globale =&gt; la zone apparaît sur fond orange si écart supérieur à 5%</t>
        </r>
      </text>
    </comment>
    <comment ref="K15" authorId="3">
      <text>
        <r>
          <rPr>
            <sz val="8"/>
            <color indexed="81"/>
            <rFont val="Tahoma"/>
            <family val="2"/>
          </rPr>
          <t>Cellule en rouge si écart de + de 5% par rapport à l'approche globale pour cette macro phase</t>
        </r>
      </text>
    </comment>
    <comment ref="L15" authorId="3">
      <text>
        <r>
          <rPr>
            <b/>
            <sz val="8"/>
            <color indexed="81"/>
            <rFont val="Tahoma"/>
            <family val="2"/>
          </rPr>
          <t>Cellule en rouge si écart de + de 5% par rapport à l'approche globale pour cette macro phase</t>
        </r>
      </text>
    </comment>
    <comment ref="M15" authorId="3">
      <text>
        <r>
          <rPr>
            <b/>
            <sz val="8"/>
            <color indexed="81"/>
            <rFont val="Tahoma"/>
            <family val="2"/>
          </rPr>
          <t>Cellule en rouge si écart de + de 5% par rapport à l'approche globale pour cette macro phase</t>
        </r>
      </text>
    </comment>
    <comment ref="N15" authorId="3">
      <text>
        <r>
          <rPr>
            <b/>
            <sz val="8"/>
            <color indexed="81"/>
            <rFont val="Tahoma"/>
            <family val="2"/>
          </rPr>
          <t>Cellule en rouge si écart de + de 5% par rapport à l'approche globale pour cette macro phase</t>
        </r>
      </text>
    </comment>
    <comment ref="O15" authorId="3">
      <text>
        <r>
          <rPr>
            <b/>
            <sz val="8"/>
            <color indexed="81"/>
            <rFont val="Tahoma"/>
            <family val="2"/>
          </rPr>
          <t>Cellule en rouge si écart de + de 5% par rapport à l'approche globale pour cette macro phase</t>
        </r>
      </text>
    </comment>
    <comment ref="G21" authorId="0">
      <text>
        <r>
          <rPr>
            <b/>
            <sz val="8"/>
            <color indexed="81"/>
            <rFont val="Tahoma"/>
            <family val="2"/>
          </rPr>
          <t>Calculé en à partir des durées des macro-phases partenaire/fournisseur entrées ci-dessus</t>
        </r>
      </text>
    </comment>
    <comment ref="L22" authorId="2">
      <text>
        <r>
          <rPr>
            <b/>
            <sz val="8"/>
            <color indexed="81"/>
            <rFont val="Tahoma"/>
            <family val="2"/>
          </rPr>
          <t>Somme sur les 4 phase = 100%, sinon fond orange.</t>
        </r>
      </text>
    </comment>
    <comment ref="L23" authorId="2">
      <text>
        <r>
          <rPr>
            <b/>
            <sz val="8"/>
            <color indexed="81"/>
            <rFont val="Tahoma"/>
            <family val="2"/>
          </rPr>
          <t>Somme sur les 4 phase = 100%, sinon fond orange.</t>
        </r>
      </text>
    </comment>
    <comment ref="L24" authorId="2">
      <text>
        <r>
          <rPr>
            <b/>
            <sz val="8"/>
            <color indexed="81"/>
            <rFont val="Tahoma"/>
            <family val="2"/>
          </rPr>
          <t>Somme sur les 4 phase = 100%, sinon fond orange.</t>
        </r>
      </text>
    </comment>
    <comment ref="L25" authorId="2">
      <text>
        <r>
          <rPr>
            <b/>
            <sz val="8"/>
            <color indexed="81"/>
            <rFont val="Tahoma"/>
            <family val="2"/>
          </rPr>
          <t>Somme sur les 4 phase = 100%, sinon fond orange.</t>
        </r>
      </text>
    </comment>
    <comment ref="L26" authorId="2">
      <text>
        <r>
          <rPr>
            <b/>
            <sz val="8"/>
            <color indexed="81"/>
            <rFont val="Tahoma"/>
            <family val="2"/>
          </rPr>
          <t>Somme sur les 4 phase = 100%, sinon fond orange.</t>
        </r>
      </text>
    </comment>
    <comment ref="L27" authorId="2">
      <text>
        <r>
          <rPr>
            <b/>
            <sz val="8"/>
            <color indexed="81"/>
            <rFont val="Tahoma"/>
            <family val="2"/>
          </rPr>
          <t>Somme sur les 4 phase = 100%, sinon fond orange.</t>
        </r>
      </text>
    </comment>
    <comment ref="L28" authorId="2">
      <text>
        <r>
          <rPr>
            <b/>
            <sz val="8"/>
            <color indexed="81"/>
            <rFont val="Tahoma"/>
            <family val="2"/>
          </rPr>
          <t>Somme sur les 4 phase = 100%, sinon fond orange.</t>
        </r>
      </text>
    </comment>
    <comment ref="L29" authorId="2">
      <text>
        <r>
          <rPr>
            <b/>
            <sz val="8"/>
            <color indexed="81"/>
            <rFont val="Tahoma"/>
            <family val="2"/>
          </rPr>
          <t>Somme sur les 4 phase = 100%, sinon fond orange.</t>
        </r>
      </text>
    </comment>
    <comment ref="K31" authorId="2">
      <text>
        <r>
          <rPr>
            <b/>
            <sz val="8"/>
            <color indexed="81"/>
            <rFont val="Tahoma"/>
            <family val="2"/>
          </rPr>
          <t>Retour au mode formule matricielle : CTRL + SHIFT + ENTER (dans la formule)</t>
        </r>
      </text>
    </comment>
    <comment ref="L31" authorId="2">
      <text>
        <r>
          <rPr>
            <b/>
            <sz val="8"/>
            <color indexed="81"/>
            <rFont val="Tahoma"/>
            <family val="2"/>
          </rPr>
          <t>Retour au mode formule matricielle : CTRL + SHIFT + ENTER (dans la formule)</t>
        </r>
      </text>
    </comment>
    <comment ref="M31" authorId="2">
      <text>
        <r>
          <rPr>
            <b/>
            <sz val="8"/>
            <color indexed="81"/>
            <rFont val="Tahoma"/>
            <family val="2"/>
          </rPr>
          <t>Retour au mode formule matricielle : CTRL + SHIFT + ENTER (dans la formule)</t>
        </r>
      </text>
    </comment>
    <comment ref="N31" authorId="2">
      <text>
        <r>
          <rPr>
            <b/>
            <sz val="8"/>
            <color indexed="81"/>
            <rFont val="Tahoma"/>
            <family val="2"/>
          </rPr>
          <t>Retour au mode formule matricielle : CTRL + SHIFT + ENTER (dans la formule)</t>
        </r>
      </text>
    </comment>
    <comment ref="O31" authorId="2">
      <text>
        <r>
          <rPr>
            <b/>
            <sz val="8"/>
            <color indexed="81"/>
            <rFont val="Tahoma"/>
            <family val="2"/>
          </rPr>
          <t>Retour au mode formule matricielle : CTRL + SHIFT + ENTER (dans la formule)</t>
        </r>
      </text>
    </comment>
    <comment ref="E33" authorId="2">
      <text>
        <r>
          <rPr>
            <sz val="9"/>
            <color indexed="81"/>
            <rFont val="Tahoma"/>
            <family val="2"/>
          </rPr>
          <t>On entend par services associés d'éventuelles prestations de support, de maintenance, de formation, d'installation sur site, etc... qui ont pu être négociées au moment de l'achat du produit du fournisseur et qu'il faut suivre notamment si il y a des niveaux de services associés</t>
        </r>
      </text>
    </comment>
    <comment ref="E34" authorId="2">
      <text>
        <r>
          <rPr>
            <b/>
            <sz val="9"/>
            <color indexed="10"/>
            <rFont val="Tahoma"/>
            <family val="2"/>
          </rPr>
          <t>Ne garder qu'une de ces 3 lignes, celle qui correspond au niveau de service du fournisseur.</t>
        </r>
        <r>
          <rPr>
            <sz val="9"/>
            <color indexed="81"/>
            <rFont val="Tahoma"/>
            <family val="2"/>
          </rPr>
          <t xml:space="preserve">
Le fournisseur assure seulement un service de maintenance et/ou de support sur une période inférieure à 6 mois</t>
        </r>
      </text>
    </comment>
    <comment ref="E35" authorId="2">
      <text>
        <r>
          <rPr>
            <b/>
            <sz val="9"/>
            <color indexed="10"/>
            <rFont val="Tahoma"/>
            <family val="2"/>
          </rPr>
          <t>Ne garder qu'une de ces 3 lignes, celle qui correspond au niveau de service du fournisseur.</t>
        </r>
        <r>
          <rPr>
            <sz val="9"/>
            <color indexed="81"/>
            <rFont val="Tahoma"/>
            <family val="2"/>
          </rPr>
          <t xml:space="preserve">
Le fournisseur :
- soit assure un service de maintenance et/ou de support sur une période allant de 6 mois à un an
- soit assure un service de maintenance et/ou de support sur une période inférieure à 6 mois et également d'autres services tels que de la formation, des installations sur site, etc...</t>
        </r>
      </text>
    </comment>
    <comment ref="E36" authorId="2">
      <text>
        <r>
          <rPr>
            <b/>
            <sz val="9"/>
            <color indexed="10"/>
            <rFont val="Tahoma"/>
            <family val="2"/>
          </rPr>
          <t>Ne garder qu'une de ces 3 lignes, celle qui correspond au niveau de service du fournisseur.</t>
        </r>
        <r>
          <rPr>
            <sz val="9"/>
            <color indexed="81"/>
            <rFont val="Tahoma"/>
            <family val="2"/>
          </rPr>
          <t xml:space="preserve">
Le fournisseur :
- soit assure un service de maintenance et/ou de support sur une période supérieur à un an
- soit assure un service de maintenance et/ou de support sur une période allant de  6 mois à un an et également d'autres services tels que de la formation, des installations sur site, etc...</t>
        </r>
      </text>
    </comment>
    <comment ref="E37" authorId="2">
      <text>
        <r>
          <rPr>
            <b/>
            <sz val="9"/>
            <color indexed="10"/>
            <rFont val="Tahoma"/>
            <family val="2"/>
          </rPr>
          <t>Ne garder qu'une de ces 3 lignes, celle qui correspond au niveau de service du fournisseur.</t>
        </r>
        <r>
          <rPr>
            <sz val="9"/>
            <color indexed="81"/>
            <rFont val="Tahoma"/>
            <family val="2"/>
          </rPr>
          <t xml:space="preserve">
Le fournisseur :
- soit assure un service de maintenance et/ou de support sur une période supérieur à un an
- soit assure un service de maintenance et/ou de support sur une période allant de  6 mois à un an et également d'autres services tels que de la formation, des installations sur site, etc...</t>
        </r>
      </text>
    </comment>
    <comment ref="L41" authorId="2">
      <text>
        <r>
          <rPr>
            <b/>
            <sz val="8"/>
            <color indexed="81"/>
            <rFont val="Tahoma"/>
            <family val="2"/>
          </rPr>
          <t>Somme sur les 4 phase = 100%, sinon fond orange.</t>
        </r>
      </text>
    </comment>
    <comment ref="L42" authorId="2">
      <text>
        <r>
          <rPr>
            <b/>
            <sz val="8"/>
            <color indexed="81"/>
            <rFont val="Tahoma"/>
            <family val="2"/>
          </rPr>
          <t>Somme sur les 4 phase = 100%, sinon fond orange.</t>
        </r>
      </text>
    </comment>
    <comment ref="L43" authorId="2">
      <text>
        <r>
          <rPr>
            <b/>
            <sz val="8"/>
            <color indexed="81"/>
            <rFont val="Tahoma"/>
            <family val="2"/>
          </rPr>
          <t>Somme sur les 4 phase = 100%, sinon fond orange.</t>
        </r>
      </text>
    </comment>
    <comment ref="E44" authorId="3">
      <text>
        <r>
          <rPr>
            <b/>
            <sz val="9"/>
            <color indexed="81"/>
            <rFont val="Tahoma"/>
            <family val="2"/>
          </rPr>
          <t>Le suivi des demandes de supprot recouvre aussi bien la définition éventuelle du processus avec le fournisseur, le choix et l'implémentation de l'outil retenu, la formation des collaborateurs, à cet outil, la rédaction et le suivi des demandes  via l"outil et enfin le suivi des éventuels indicateurs de niveau de service sur lesquels le fournisseur s'est engagé</t>
        </r>
      </text>
    </comment>
    <comment ref="E45" authorId="3">
      <text>
        <r>
          <rPr>
            <b/>
            <sz val="9"/>
            <color indexed="81"/>
            <rFont val="Tahoma"/>
            <family val="2"/>
          </rPr>
          <t>Le suivi des demandes de maintenance recouvre aussi bien la définition éventuelle du processus avec le fournisseur, le choix et l'implémentation de l'outil retenu, la formation des collaborateurs, à cet outil, la rédaction et le suivi des demandes  via l"outil et enfin le suivi des éventuels indicateurs de niveau de service sur lesquels le fournisseur s'est engagé</t>
        </r>
      </text>
    </comment>
    <comment ref="E46" authorId="3">
      <text>
        <r>
          <rPr>
            <b/>
            <sz val="9"/>
            <color indexed="81"/>
            <rFont val="Tahoma"/>
            <family val="2"/>
          </rPr>
          <t>La charge peut s'entendre  par poste ou par serveur ou plus globalement par site</t>
        </r>
      </text>
    </comment>
    <comment ref="E47" authorId="3">
      <text>
        <r>
          <rPr>
            <b/>
            <sz val="8"/>
            <color indexed="81"/>
            <rFont val="Tahoma"/>
            <family val="2"/>
          </rPr>
          <t>Le suivi d'une formation  recouvre aussi bien la définition de son contenu, la validation des supports proposés par le fournisseur, la logistique d'organisation et  le suivi administratif</t>
        </r>
      </text>
    </comment>
  </commentList>
</comments>
</file>

<file path=xl/comments4.xml><?xml version="1.0" encoding="utf-8"?>
<comments xmlns="http://schemas.openxmlformats.org/spreadsheetml/2006/main">
  <authors>
    <author>V. Dumain</author>
  </authors>
  <commentList>
    <comment ref="A2" authorId="0">
      <text>
        <r>
          <rPr>
            <b/>
            <sz val="8"/>
            <color indexed="81"/>
            <rFont val="Tahoma"/>
            <family val="2"/>
          </rPr>
          <t>Hors planification globale et suivi global du projet.</t>
        </r>
      </text>
    </comment>
    <comment ref="B2" authorId="0">
      <text>
        <r>
          <rPr>
            <b/>
            <sz val="9"/>
            <color indexed="60"/>
            <rFont val="Tahoma"/>
            <family val="2"/>
          </rPr>
          <t>Accroissement de A 
Implique
accroissement de B</t>
        </r>
        <r>
          <rPr>
            <sz val="9"/>
            <color indexed="60"/>
            <rFont val="Tahoma"/>
            <family val="2"/>
          </rPr>
          <t xml:space="preserve">
et
</t>
        </r>
        <r>
          <rPr>
            <b/>
            <sz val="9"/>
            <color indexed="60"/>
            <rFont val="Tahoma"/>
            <family val="2"/>
          </rPr>
          <t>Réduction de A
implique
réduction de B</t>
        </r>
      </text>
    </comment>
    <comment ref="B3" authorId="0">
      <text>
        <r>
          <rPr>
            <b/>
            <sz val="9"/>
            <color indexed="60"/>
            <rFont val="Tahoma"/>
            <family val="2"/>
          </rPr>
          <t>Accroissement de A 
Implique
accroissement de B</t>
        </r>
        <r>
          <rPr>
            <sz val="9"/>
            <color indexed="60"/>
            <rFont val="Tahoma"/>
            <family val="2"/>
          </rPr>
          <t xml:space="preserve">
et
</t>
        </r>
        <r>
          <rPr>
            <b/>
            <sz val="9"/>
            <color indexed="60"/>
            <rFont val="Tahoma"/>
            <family val="2"/>
          </rPr>
          <t>Réduction de A
implique
réduction de B</t>
        </r>
      </text>
    </comment>
    <comment ref="C4" authorId="0">
      <text>
        <r>
          <rPr>
            <b/>
            <sz val="9"/>
            <color indexed="60"/>
            <rFont val="Tahoma"/>
            <family val="2"/>
          </rPr>
          <t>Accroissement de B 
exige
accroissement de A</t>
        </r>
        <r>
          <rPr>
            <sz val="9"/>
            <color indexed="60"/>
            <rFont val="Tahoma"/>
            <family val="2"/>
          </rPr>
          <t xml:space="preserve">
et
</t>
        </r>
        <r>
          <rPr>
            <b/>
            <sz val="9"/>
            <color indexed="60"/>
            <rFont val="Tahoma"/>
            <family val="2"/>
          </rPr>
          <t>Réduction de B
permet
réduction de A</t>
        </r>
      </text>
    </comment>
    <comment ref="B5" authorId="0">
      <text>
        <r>
          <rPr>
            <b/>
            <sz val="9"/>
            <color indexed="60"/>
            <rFont val="Tahoma"/>
            <family val="2"/>
          </rPr>
          <t>Accroissement de A 
Implique
accroissement de B</t>
        </r>
        <r>
          <rPr>
            <sz val="9"/>
            <color indexed="60"/>
            <rFont val="Tahoma"/>
            <family val="2"/>
          </rPr>
          <t xml:space="preserve">
et
</t>
        </r>
        <r>
          <rPr>
            <b/>
            <sz val="9"/>
            <color indexed="60"/>
            <rFont val="Tahoma"/>
            <family val="2"/>
          </rPr>
          <t>Réduction de A
implique
réduction de B</t>
        </r>
      </text>
    </comment>
    <comment ref="C5" authorId="0">
      <text>
        <r>
          <rPr>
            <b/>
            <sz val="9"/>
            <color indexed="60"/>
            <rFont val="Tahoma"/>
            <family val="2"/>
          </rPr>
          <t>Accroissement de B 
exige
accroissement de A</t>
        </r>
        <r>
          <rPr>
            <sz val="9"/>
            <color indexed="60"/>
            <rFont val="Tahoma"/>
            <family val="2"/>
          </rPr>
          <t xml:space="preserve">
et
</t>
        </r>
        <r>
          <rPr>
            <b/>
            <sz val="9"/>
            <color indexed="60"/>
            <rFont val="Tahoma"/>
            <family val="2"/>
          </rPr>
          <t>Réduction de B
permet
réduction de A</t>
        </r>
      </text>
    </comment>
    <comment ref="D5" authorId="0">
      <text>
        <r>
          <rPr>
            <b/>
            <sz val="9"/>
            <color indexed="60"/>
            <rFont val="Tahoma"/>
            <family val="2"/>
          </rPr>
          <t>Accroissement de B 
souvent associé à
accroissement de A</t>
        </r>
        <r>
          <rPr>
            <sz val="9"/>
            <color indexed="60"/>
            <rFont val="Tahoma"/>
            <family val="2"/>
          </rPr>
          <t xml:space="preserve">
et
</t>
        </r>
        <r>
          <rPr>
            <b/>
            <sz val="9"/>
            <color indexed="60"/>
            <rFont val="Tahoma"/>
            <family val="2"/>
          </rPr>
          <t>Réduction de B
permet souvent une
réduction de A</t>
        </r>
      </text>
    </comment>
    <comment ref="B6" authorId="0">
      <text>
        <r>
          <rPr>
            <b/>
            <sz val="9"/>
            <color indexed="60"/>
            <rFont val="Tahoma"/>
            <family val="2"/>
          </rPr>
          <t>Accroissement de A 
Implique
réduction de B
et 
Diminution de A
Implique
Augmentation de B</t>
        </r>
      </text>
    </comment>
    <comment ref="C6" authorId="0">
      <text>
        <r>
          <rPr>
            <b/>
            <sz val="9"/>
            <color indexed="60"/>
            <rFont val="Tahoma"/>
            <family val="2"/>
          </rPr>
          <t>Accroissement de B 
exige
accroissement de A</t>
        </r>
        <r>
          <rPr>
            <sz val="9"/>
            <color indexed="60"/>
            <rFont val="Tahoma"/>
            <family val="2"/>
          </rPr>
          <t xml:space="preserve">
et
</t>
        </r>
        <r>
          <rPr>
            <b/>
            <sz val="9"/>
            <color indexed="60"/>
            <rFont val="Tahoma"/>
            <family val="2"/>
          </rPr>
          <t>Réduction de B
permet
réduction de A</t>
        </r>
      </text>
    </comment>
    <comment ref="B7" authorId="0">
      <text>
        <r>
          <rPr>
            <b/>
            <sz val="9"/>
            <color indexed="60"/>
            <rFont val="Tahoma"/>
            <family val="2"/>
          </rPr>
          <t>Accroissement de A 
Implique
accroissement de B</t>
        </r>
        <r>
          <rPr>
            <sz val="9"/>
            <color indexed="60"/>
            <rFont val="Tahoma"/>
            <family val="2"/>
          </rPr>
          <t xml:space="preserve">
et
</t>
        </r>
        <r>
          <rPr>
            <b/>
            <sz val="9"/>
            <color indexed="60"/>
            <rFont val="Tahoma"/>
            <family val="2"/>
          </rPr>
          <t>Réduction de A
implique
réduction de B</t>
        </r>
      </text>
    </comment>
    <comment ref="B8" authorId="0">
      <text>
        <r>
          <rPr>
            <b/>
            <sz val="9"/>
            <color indexed="60"/>
            <rFont val="Tahoma"/>
            <family val="2"/>
          </rPr>
          <t>Accroissement de A 
Implique
accroissement de B</t>
        </r>
        <r>
          <rPr>
            <sz val="9"/>
            <color indexed="60"/>
            <rFont val="Tahoma"/>
            <family val="2"/>
          </rPr>
          <t xml:space="preserve">
et
</t>
        </r>
        <r>
          <rPr>
            <b/>
            <sz val="9"/>
            <color indexed="60"/>
            <rFont val="Tahoma"/>
            <family val="2"/>
          </rPr>
          <t>Réduction de A
implique
réduction de B</t>
        </r>
      </text>
    </comment>
    <comment ref="E8" authorId="0">
      <text>
        <r>
          <rPr>
            <b/>
            <sz val="9"/>
            <color indexed="60"/>
            <rFont val="Tahoma"/>
            <family val="2"/>
          </rPr>
          <t>Accroissement de A 
Implique
accroissement de B</t>
        </r>
        <r>
          <rPr>
            <sz val="9"/>
            <color indexed="60"/>
            <rFont val="Tahoma"/>
            <family val="2"/>
          </rPr>
          <t xml:space="preserve">
et
</t>
        </r>
        <r>
          <rPr>
            <b/>
            <sz val="9"/>
            <color indexed="60"/>
            <rFont val="Tahoma"/>
            <family val="2"/>
          </rPr>
          <t>Réduction de A
implique
réduction de B</t>
        </r>
      </text>
    </comment>
    <comment ref="B9" authorId="0">
      <text>
        <r>
          <rPr>
            <b/>
            <sz val="9"/>
            <color indexed="60"/>
            <rFont val="Tahoma"/>
            <family val="2"/>
          </rPr>
          <t>Accroissement de A 
Implique
accroissement de B</t>
        </r>
        <r>
          <rPr>
            <sz val="9"/>
            <color indexed="60"/>
            <rFont val="Tahoma"/>
            <family val="2"/>
          </rPr>
          <t xml:space="preserve">
et
</t>
        </r>
        <r>
          <rPr>
            <b/>
            <sz val="9"/>
            <color indexed="60"/>
            <rFont val="Tahoma"/>
            <family val="2"/>
          </rPr>
          <t>Réduction de A
implique
réduction de B</t>
        </r>
      </text>
    </comment>
    <comment ref="E9" authorId="0">
      <text>
        <r>
          <rPr>
            <b/>
            <sz val="9"/>
            <color indexed="60"/>
            <rFont val="Tahoma"/>
            <family val="2"/>
          </rPr>
          <t>Accroissement de A 
Implique
accroissement de B</t>
        </r>
        <r>
          <rPr>
            <sz val="9"/>
            <color indexed="60"/>
            <rFont val="Tahoma"/>
            <family val="2"/>
          </rPr>
          <t xml:space="preserve">
et
</t>
        </r>
        <r>
          <rPr>
            <b/>
            <sz val="9"/>
            <color indexed="60"/>
            <rFont val="Tahoma"/>
            <family val="2"/>
          </rPr>
          <t>Réduction de A
implique
réduction de B</t>
        </r>
      </text>
    </comment>
    <comment ref="F9" authorId="0">
      <text>
        <r>
          <rPr>
            <b/>
            <sz val="9"/>
            <color indexed="60"/>
            <rFont val="Tahoma"/>
            <family val="2"/>
          </rPr>
          <t>Accroissement de A 
Implique
accroissement de B</t>
        </r>
        <r>
          <rPr>
            <sz val="9"/>
            <color indexed="60"/>
            <rFont val="Tahoma"/>
            <family val="2"/>
          </rPr>
          <t xml:space="preserve">
et
</t>
        </r>
        <r>
          <rPr>
            <b/>
            <sz val="9"/>
            <color indexed="60"/>
            <rFont val="Tahoma"/>
            <family val="2"/>
          </rPr>
          <t>Réduction de A
implique
réduction de B</t>
        </r>
      </text>
    </comment>
    <comment ref="B10" authorId="0">
      <text>
        <r>
          <rPr>
            <b/>
            <sz val="9"/>
            <color indexed="60"/>
            <rFont val="Tahoma"/>
            <family val="2"/>
          </rPr>
          <t>Accroissement de A 
Implique
accroissement de B</t>
        </r>
        <r>
          <rPr>
            <sz val="9"/>
            <color indexed="60"/>
            <rFont val="Tahoma"/>
            <family val="2"/>
          </rPr>
          <t xml:space="preserve">
et
</t>
        </r>
        <r>
          <rPr>
            <b/>
            <sz val="9"/>
            <color indexed="60"/>
            <rFont val="Tahoma"/>
            <family val="2"/>
          </rPr>
          <t>Réduction de A
implique
réduction de B</t>
        </r>
      </text>
    </comment>
  </commentList>
</comments>
</file>

<file path=xl/comments5.xml><?xml version="1.0" encoding="utf-8"?>
<comments xmlns="http://schemas.openxmlformats.org/spreadsheetml/2006/main">
  <authors>
    <author>V. Dumain</author>
  </authors>
  <commentList>
    <comment ref="A1" authorId="0">
      <text>
        <r>
          <rPr>
            <b/>
            <sz val="8"/>
            <color indexed="81"/>
            <rFont val="Tahoma"/>
            <family val="2"/>
          </rPr>
          <t>Hors planification globale et suivi global du projet.</t>
        </r>
      </text>
    </comment>
    <comment ref="C13" authorId="0">
      <text>
        <r>
          <rPr>
            <b/>
            <sz val="8"/>
            <color indexed="81"/>
            <rFont val="Tahoma"/>
            <family val="2"/>
          </rPr>
          <t>Hors planification globale et suivi global du projet.</t>
        </r>
      </text>
    </comment>
  </commentList>
</comments>
</file>

<file path=xl/sharedStrings.xml><?xml version="1.0" encoding="utf-8"?>
<sst xmlns="http://schemas.openxmlformats.org/spreadsheetml/2006/main" count="675" uniqueCount="255">
  <si>
    <t xml:space="preserve">Estimation de la difficulté probable de gestion du sous-traitant  (voir commentaire)
</t>
  </si>
  <si>
    <t xml:space="preserve">Recherche des partenaires à consulter (charge en b)
</t>
  </si>
  <si>
    <t xml:space="preserve">Rédaction cahier des charges  (charge en b)
</t>
  </si>
  <si>
    <t xml:space="preserve">Constitution de la liste des exigences de réalisation de la prestation à rédiger  (charge en b)
</t>
  </si>
  <si>
    <t xml:space="preserve">Durée (mois) de la prestation = du suivi pour la sous-traitance (en a) - peut être différent de la durée du projet
</t>
  </si>
  <si>
    <t xml:space="preserve">Finalisation des plans et contrats, compléments de négociation, validation, réunion de lancement (préparation, participation, CR)
</t>
  </si>
  <si>
    <t xml:space="preserve">Suivi administratif (référencement dans GPS, n? DA, suivi règlements) (charge en b)
</t>
  </si>
  <si>
    <t xml:space="preserve">b) clôture : évaluation du sous-traitant, référencement et capitalisation dans la base de la BU Sud.
</t>
  </si>
  <si>
    <t xml:space="preserve">b) provision de charge pour résolution de problème (10%? de la charge des autres charges de gestion/suivi du partenaire durant le projet.
</t>
  </si>
  <si>
    <t xml:space="preserve">Rédaction cahier des charges
</t>
  </si>
  <si>
    <t xml:space="preserve">Négociation conditions et termes du contrat (établissement et validation) 
</t>
  </si>
  <si>
    <r>
      <t xml:space="preserve">a) Nbre de réponses 
</t>
    </r>
    <r>
      <rPr>
        <b/>
        <sz val="10"/>
        <color indexed="17"/>
        <rFont val="Arial"/>
        <family val="2"/>
      </rPr>
      <t xml:space="preserve">b) Charge moyenne pour le dépouillement, l'analyse et l'évaluation de chaque réponse, justification, constitution short-list, mise à jour des critères de sélection.
</t>
    </r>
  </si>
  <si>
    <r>
      <t xml:space="preserve">a) Nbre de partenaires retenus en négociation finale
</t>
    </r>
    <r>
      <rPr>
        <b/>
        <sz val="10"/>
        <color indexed="17"/>
        <rFont val="Arial"/>
        <family val="2"/>
      </rPr>
      <t xml:space="preserve">b) Charge par soumissionnaire de négociation des conditions et termes du contrat (établissement et validation)
</t>
    </r>
  </si>
  <si>
    <r>
      <t>a) Nbre Réunions d'avancement avec Ss-Tr (fréquence /mois)</t>
    </r>
    <r>
      <rPr>
        <b/>
        <sz val="10"/>
        <rFont val="Arial"/>
        <family val="2"/>
      </rPr>
      <t xml:space="preserve">
</t>
    </r>
    <r>
      <rPr>
        <b/>
        <sz val="10"/>
        <color indexed="17"/>
        <rFont val="Arial"/>
        <family val="2"/>
      </rPr>
      <t xml:space="preserve">b) charge moyenne par réunion (préparation + participation + CR) (suivi très sérré : 4 , suivi mini = 1 réu./mois)
</t>
    </r>
  </si>
  <si>
    <r>
      <t>a) Nbre d'audits</t>
    </r>
    <r>
      <rPr>
        <b/>
        <sz val="10"/>
        <rFont val="Arial"/>
        <family val="2"/>
      </rPr>
      <t xml:space="preserve">
</t>
    </r>
    <r>
      <rPr>
        <b/>
        <sz val="10"/>
        <color indexed="17"/>
        <rFont val="Arial"/>
        <family val="2"/>
      </rPr>
      <t xml:space="preserve">b) charges associées (préparation + participation (toutes ressources) + CR) 
</t>
    </r>
  </si>
  <si>
    <r>
      <t>a) Nbre de réception (validation + revue de conformité)</t>
    </r>
    <r>
      <rPr>
        <b/>
        <sz val="10"/>
        <rFont val="Arial"/>
        <family val="2"/>
      </rPr>
      <t xml:space="preserve">
</t>
    </r>
    <r>
      <rPr>
        <b/>
        <sz val="10"/>
        <color indexed="17"/>
        <rFont val="Arial"/>
        <family val="2"/>
      </rPr>
      <t xml:space="preserve">b) Charge moyenne par réception
</t>
    </r>
  </si>
  <si>
    <r>
      <t>a) Nbre de réunions spécifique Xxxxx (ligne à dupliquer si nécessaire)</t>
    </r>
    <r>
      <rPr>
        <b/>
        <sz val="10"/>
        <rFont val="Arial"/>
        <family val="2"/>
      </rPr>
      <t xml:space="preserve">
</t>
    </r>
    <r>
      <rPr>
        <b/>
        <sz val="10"/>
        <color indexed="17"/>
        <rFont val="Arial"/>
        <family val="2"/>
      </rPr>
      <t xml:space="preserve">b) charge moyenne par réunion (préparation + participation + CR)
</t>
    </r>
  </si>
  <si>
    <r>
      <t>a) Nbre de réception (revue de conformité et/ou recette)</t>
    </r>
    <r>
      <rPr>
        <b/>
        <sz val="10"/>
        <rFont val="Arial"/>
        <family val="2"/>
      </rPr>
      <t xml:space="preserve">
</t>
    </r>
    <r>
      <rPr>
        <b/>
        <sz val="10"/>
        <color indexed="17"/>
        <rFont val="Arial"/>
        <family val="2"/>
      </rPr>
      <t>b) Charge moyenne par réception</t>
    </r>
    <r>
      <rPr>
        <b/>
        <sz val="10"/>
        <rFont val="Arial"/>
        <family val="2"/>
      </rPr>
      <t xml:space="preserve">
(répartition sur les phases à déterminer selon le plan de réception).
</t>
    </r>
  </si>
  <si>
    <r>
      <t>a) Nbre de réunions d'avancement</t>
    </r>
    <r>
      <rPr>
        <b/>
        <sz val="10"/>
        <rFont val="Arial"/>
        <family val="2"/>
      </rPr>
      <t xml:space="preserve">
</t>
    </r>
    <r>
      <rPr>
        <b/>
        <sz val="10"/>
        <color indexed="17"/>
        <rFont val="Arial"/>
        <family val="2"/>
      </rPr>
      <t xml:space="preserve">b) charge moyenne par réunion (préparation + participation + CR)
</t>
    </r>
  </si>
  <si>
    <r>
      <t xml:space="preserve">Suivi des demandes de support (c.f. commentaire) :
</t>
    </r>
    <r>
      <rPr>
        <b/>
        <sz val="10"/>
        <color indexed="60"/>
        <rFont val="Arial"/>
        <family val="2"/>
      </rPr>
      <t>a) Nbre de mois de support</t>
    </r>
    <r>
      <rPr>
        <b/>
        <sz val="10"/>
        <rFont val="Arial"/>
        <family val="2"/>
      </rPr>
      <t xml:space="preserve">
</t>
    </r>
    <r>
      <rPr>
        <b/>
        <sz val="10"/>
        <color indexed="17"/>
        <rFont val="Arial"/>
        <family val="2"/>
      </rPr>
      <t xml:space="preserve">b) Charge par mois
</t>
    </r>
  </si>
  <si>
    <r>
      <t xml:space="preserve">Suivi des demandes de  maintenance (c.f. commentaire) :
</t>
    </r>
    <r>
      <rPr>
        <b/>
        <sz val="10"/>
        <color indexed="60"/>
        <rFont val="Arial"/>
        <family val="2"/>
      </rPr>
      <t>a) Nbre de mois de maintenance</t>
    </r>
    <r>
      <rPr>
        <b/>
        <sz val="10"/>
        <rFont val="Arial"/>
        <family val="2"/>
      </rPr>
      <t xml:space="preserve">
</t>
    </r>
    <r>
      <rPr>
        <b/>
        <sz val="10"/>
        <color indexed="17"/>
        <rFont val="Arial"/>
        <family val="2"/>
      </rPr>
      <t xml:space="preserve">b) Charge par mois
</t>
    </r>
  </si>
  <si>
    <r>
      <t xml:space="preserve">Suivi des installations par le fournisseur (c.f. commentaire) : 
</t>
    </r>
    <r>
      <rPr>
        <b/>
        <sz val="10"/>
        <color indexed="60"/>
        <rFont val="Arial"/>
        <family val="2"/>
      </rPr>
      <t>a) Nbre d'installations a effectuer par le fournisseur</t>
    </r>
    <r>
      <rPr>
        <b/>
        <sz val="10"/>
        <rFont val="Arial"/>
        <family val="2"/>
      </rPr>
      <t xml:space="preserve">
</t>
    </r>
    <r>
      <rPr>
        <b/>
        <sz val="10"/>
        <color indexed="17"/>
        <rFont val="Arial"/>
        <family val="2"/>
      </rPr>
      <t xml:space="preserve">b) charge moyenne d'une installation
</t>
    </r>
  </si>
  <si>
    <r>
      <t>Suivi des formations dispensées par le fournisseur (c.f. commentaire)</t>
    </r>
    <r>
      <rPr>
        <b/>
        <sz val="10"/>
        <color indexed="60"/>
        <rFont val="Arial"/>
        <family val="2"/>
      </rPr>
      <t xml:space="preserve">
a) Nbre de formations à suivre</t>
    </r>
    <r>
      <rPr>
        <b/>
        <sz val="10"/>
        <rFont val="Arial"/>
        <family val="2"/>
      </rPr>
      <t xml:space="preserve">
</t>
    </r>
    <r>
      <rPr>
        <b/>
        <sz val="10"/>
        <color indexed="17"/>
        <rFont val="Arial"/>
        <family val="2"/>
      </rPr>
      <t xml:space="preserve">b) Charge moyenne de suivi d'une formation
</t>
    </r>
  </si>
  <si>
    <r>
      <t>Commun à tous les besoins candidat au recours à un partenaires</t>
    </r>
    <r>
      <rPr>
        <sz val="10"/>
        <color indexed="60"/>
        <rFont val="Arial"/>
        <family val="2"/>
      </rPr>
      <t xml:space="preserve">
a) Nombre de besoins nécessitant une reflexion sur l'opportunité de faire appel ou non à un partenaire
</t>
    </r>
    <r>
      <rPr>
        <sz val="10"/>
        <rFont val="Arial"/>
        <family val="2"/>
      </rPr>
      <t xml:space="preserve">
</t>
    </r>
    <r>
      <rPr>
        <sz val="10"/>
        <color indexed="17"/>
        <rFont val="Arial"/>
        <family val="2"/>
      </rPr>
      <t xml:space="preserve">b) charge moyenne nécessaire à chaque besoin pour statuer sur l'opportunité ou non de faire appel a un partenaire
</t>
    </r>
  </si>
  <si>
    <t>Total</t>
  </si>
  <si>
    <t>Partenaire XXX_1</t>
  </si>
  <si>
    <t>Estimation des charges de sélection, suivi/gestion des partenaires/fournisseurs en avant-vente et sur projet</t>
  </si>
  <si>
    <t>Charges (h.j.)</t>
  </si>
  <si>
    <r>
      <t xml:space="preserve">Nombre moyen d'heures constaté pour identifier,contractualiser, suivre, réceptionner et évaluer un fournisseur </t>
    </r>
    <r>
      <rPr>
        <b/>
        <sz val="10"/>
        <color indexed="17"/>
        <rFont val="Arial"/>
        <family val="2"/>
      </rPr>
      <t>sans services associés</t>
    </r>
    <r>
      <rPr>
        <sz val="10"/>
        <color indexed="17"/>
        <rFont val="Arial"/>
        <family val="2"/>
      </rPr>
      <t xml:space="preserve"> (voir commentaire)</t>
    </r>
  </si>
  <si>
    <r>
      <t xml:space="preserve">Niveau de service </t>
    </r>
    <r>
      <rPr>
        <b/>
        <sz val="10"/>
        <color indexed="17"/>
        <rFont val="Arial"/>
        <family val="2"/>
      </rPr>
      <t>faible</t>
    </r>
    <r>
      <rPr>
        <sz val="10"/>
        <color indexed="17"/>
        <rFont val="Arial"/>
        <family val="2"/>
      </rPr>
      <t xml:space="preserve"> (voir commentaire)</t>
    </r>
  </si>
  <si>
    <r>
      <t xml:space="preserve">Niveau de service </t>
    </r>
    <r>
      <rPr>
        <b/>
        <sz val="10"/>
        <color indexed="17"/>
        <rFont val="Arial"/>
        <family val="2"/>
      </rPr>
      <t>moyen</t>
    </r>
    <r>
      <rPr>
        <sz val="10"/>
        <color indexed="17"/>
        <rFont val="Arial"/>
        <family val="2"/>
      </rPr>
      <t xml:space="preserve"> (voir commentaire)</t>
    </r>
  </si>
  <si>
    <r>
      <t xml:space="preserve">Niveau de service </t>
    </r>
    <r>
      <rPr>
        <b/>
        <sz val="10"/>
        <color indexed="17"/>
        <rFont val="Arial"/>
        <family val="2"/>
      </rPr>
      <t>élevé</t>
    </r>
    <r>
      <rPr>
        <sz val="10"/>
        <color indexed="17"/>
        <rFont val="Arial"/>
        <family val="2"/>
      </rPr>
      <t xml:space="preserve"> (voir commentaire)</t>
    </r>
  </si>
  <si>
    <t>Faible</t>
  </si>
  <si>
    <t>Charge (h.j)</t>
  </si>
  <si>
    <t>Niveau de risque</t>
  </si>
  <si>
    <t>Complexité de l'environnement Client de gestion de projet</t>
  </si>
  <si>
    <t>Niveau d'exigences d'assurance et contrôle qualité</t>
  </si>
  <si>
    <t>Volume de documentation et exigences associées</t>
  </si>
  <si>
    <t>Précision, complétude, qualité des exigences en entrée</t>
  </si>
  <si>
    <t>Contraintes d'installation</t>
  </si>
  <si>
    <t>Type de cycle de vie projet</t>
  </si>
  <si>
    <t>Exigences liées à la garantie</t>
  </si>
  <si>
    <t>Garantie (mois)</t>
  </si>
  <si>
    <t>Par rapport à la  taille du projet : complexité de l'environnement de gestion de projet coté client, nbre d'interlocuteurs du CdP, solidité de la MOE du client.</t>
  </si>
  <si>
    <t>Complexité de l'environnement Delivery Capgemini</t>
  </si>
  <si>
    <t xml:space="preserve">01 Planif. Initiale : Établissement du plan au sens large (Plan projet, Estimations, Planning, Ressources, Engagements et Implication, etc.). En début de projet, le plan est revue et mis à jour en repartant de la base construite en avant-vente. Réunions de lancement, etc. En cours de projet, seules les modifications majeures du plan font partie de cette activité. </t>
  </si>
  <si>
    <t>02 Suivi Projet : Suivi et contrôle itératif de projet, réunions d'avancement, gestion des actions, des problèmes, des risques. Suivi des engagements et implication des parties prenantes, relation client, reporting interne et externe. Ne comprend pas les replanifications et réorganisation majeures.</t>
  </si>
  <si>
    <t>03 G. Sous-traitance : Gestion des sous-traitants et fournisseurs.</t>
  </si>
  <si>
    <t>04 Mesures-Analyse : Collecte, analyse et remontée des indicateurs. Peut être inclus dans le suivi de projet.</t>
  </si>
  <si>
    <t>06 Spéc-Exigences : Gestion des exigences, traçabilité. Spécifications (hors conception). Développement complémentaire des exigences avec le clients si nécessaire.</t>
  </si>
  <si>
    <t>07 Conception :  Développement des exigences en architecture système et applicative et en conception technique générale.</t>
  </si>
  <si>
    <t xml:space="preserve">08 CTU : Codage et tests unitaires. Dans la plupart des cas, comprend la conception (très) détaillée assurée par le développeur.  </t>
  </si>
  <si>
    <t>09 Intégration-Tests : intégration usine des composants de l'application et, si nécessaire, du système. Si nécessaire, intégration complémentaire sur site avec les applications tiers et composants système du client. Préparation de la livraison (scripts d'installation, tests associés, etc.).</t>
  </si>
  <si>
    <t>11 Recette-Validation : recette interne usine, recette usine avec le client avant livraison, recette site de validation. La VABF (Vérification d'Aptitude au Bon Fonctionnement) fait partie de ce type d'activité.</t>
  </si>
  <si>
    <t>12 G. Configuration : Gestion de configuration, de documentation, des modifications (faits techniques).</t>
  </si>
  <si>
    <t>13 G. Moyens : Gestion des moyens internes de réalisation propres au projet (matériels : installation, configuration serveurs ; logiciels : installation, configuration des outils de l'environnement projet).</t>
  </si>
  <si>
    <t>14 Formation-Coaching : la formation, le coaching, l'auto-formation et la montée en compétence ne doivent pas être inclus dans la charge de l'activité objet de cette formation-coaching.</t>
  </si>
  <si>
    <t>15 Prestations spécifiques : toutes prestations supplémentaires demandées par le client (ex. formation, support sur site, etc.).</t>
  </si>
  <si>
    <t>16 Garantie : la garantie comprend un provision pour l'analyse/qualification de fait techniques - la corrections des anomalies, leur intégration, leur test de non-régression et la gestion de projet associé.  La VSR (Vérification de Service Régulier) peut faire partie de ce type d'activité.</t>
  </si>
  <si>
    <t>99 Act. Composée" : Activité composée de plusieurs types d'activités - utilisation à éviter.</t>
  </si>
  <si>
    <t>C/C++</t>
  </si>
  <si>
    <t>Java</t>
  </si>
  <si>
    <t>.Net</t>
  </si>
  <si>
    <t>Legacy</t>
  </si>
  <si>
    <t>Script</t>
  </si>
  <si>
    <t xml:space="preserve">Complexité de l'architecture (Application et Système) </t>
  </si>
  <si>
    <t>Exigences de sécurité</t>
  </si>
  <si>
    <t xml:space="preserve">Delivery distribué géographiquement, sur plusieurs unités ? (Ex. un gros projet dont le développement est réparti sur 2 ou 3 unités co-localisées sera associé à "Moyen"). 
(complexité du montage partenaire traitée dans gestion sous-traitance). </t>
  </si>
  <si>
    <t>(hors documentation, voir ci-dessous).
Les revues, audits, indicateurs exigés par le client sont-ils  nombreux ? Valeur "Très faible" retirée car pas en accord avec les directives Capgemini.</t>
  </si>
  <si>
    <t>Documentation volumineuse, complexe, formats spécifiques, répartition sur un grand nombre de petits documents,…
Valeur "Très faible" retirée car pas en accord avec les directives Capgemini.</t>
  </si>
  <si>
    <t>Cycle Y</t>
  </si>
  <si>
    <t>Cycle V</t>
  </si>
  <si>
    <t>Cycle AM</t>
  </si>
  <si>
    <t>ETP (équivalent temps plein)</t>
  </si>
  <si>
    <t xml:space="preserve">Langage dominant (Liste 1) </t>
  </si>
  <si>
    <t>i</t>
  </si>
  <si>
    <r>
      <t xml:space="preserve">++ </t>
    </r>
    <r>
      <rPr>
        <sz val="16"/>
        <rFont val="Wingdings"/>
        <charset val="2"/>
      </rPr>
      <t>ò</t>
    </r>
  </si>
  <si>
    <r>
      <t xml:space="preserve">+ </t>
    </r>
    <r>
      <rPr>
        <sz val="16"/>
        <rFont val="Wingdings"/>
        <charset val="2"/>
      </rPr>
      <t>ò</t>
    </r>
  </si>
  <si>
    <r>
      <t xml:space="preserve">- - </t>
    </r>
    <r>
      <rPr>
        <sz val="16"/>
        <rFont val="Wingdings"/>
        <charset val="2"/>
      </rPr>
      <t>ò</t>
    </r>
  </si>
  <si>
    <r>
      <t>ï</t>
    </r>
    <r>
      <rPr>
        <sz val="16"/>
        <rFont val="Arial Black"/>
        <family val="2"/>
      </rPr>
      <t xml:space="preserve"> +</t>
    </r>
  </si>
  <si>
    <t>Complexité de l'archi-tecture</t>
  </si>
  <si>
    <t>Complexité de l'architecture</t>
  </si>
  <si>
    <t>A</t>
  </si>
  <si>
    <t>B</t>
  </si>
  <si>
    <r>
      <t>ï</t>
    </r>
    <r>
      <rPr>
        <sz val="16"/>
        <rFont val="Arial Black"/>
        <family val="2"/>
      </rPr>
      <t xml:space="preserve"> (+)</t>
    </r>
  </si>
  <si>
    <t>Corrélations entre facteurs dimensionnants</t>
  </si>
  <si>
    <t>c.f. commentaires associés aux cellules indiquant
 les corrélations positives ou négatives</t>
  </si>
  <si>
    <t>Charges médianes (hors CTU)</t>
  </si>
  <si>
    <t>Ligne à masquer</t>
  </si>
  <si>
    <t>ELABORATION</t>
  </si>
  <si>
    <t>CONSTRUCTION</t>
  </si>
  <si>
    <t>TRANSITION</t>
  </si>
  <si>
    <t>Garantie</t>
  </si>
  <si>
    <t>Toutes activités</t>
  </si>
  <si>
    <t>Durées (mois) :</t>
  </si>
  <si>
    <t>&lt;&lt; total % hors garantie</t>
  </si>
  <si>
    <t>Chef de Projet</t>
  </si>
  <si>
    <t>Bid Manager</t>
  </si>
  <si>
    <t>Ingénieur Qualité</t>
  </si>
  <si>
    <t>Architecte</t>
  </si>
  <si>
    <t>CRI / CRIC</t>
  </si>
  <si>
    <t>--</t>
  </si>
  <si>
    <t>Engagement Executive</t>
  </si>
  <si>
    <t>Resp. Gestion des Exigences</t>
  </si>
  <si>
    <t>Resp. Fonctionnel</t>
  </si>
  <si>
    <t>Resp. Technique</t>
  </si>
  <si>
    <t>Resp. Validation et Vérification</t>
  </si>
  <si>
    <t>Resp. Suivi des Modifications</t>
  </si>
  <si>
    <t>Resp. Gestion de Configuration</t>
  </si>
  <si>
    <t>Resp. Gestion de Documentation</t>
  </si>
  <si>
    <t>Rôles / Fonctions</t>
  </si>
  <si>
    <t>05 Qualité : Assurance et contrôle qualité, y compris l'initialisation de la gestion de la qualité en début de projet, la partcipation aux remontées d'indicateurs (partie qualité de mesures et analyse) et, en général, participation aux autres activtés au titre de l'assurance et le contrôle qualité. Les tâches de PMO, support à la gestion de projet doivent être comptabilisées dans les activités du domaine de gestion de projet.</t>
  </si>
  <si>
    <t>10 Vérif-Revues : Revues identifiées dans le plans de contrôle, audits exceptionnels (hors revue de phase (gestion de projet), hors participation au titre de l'assurance et le contrôle qualité).</t>
  </si>
  <si>
    <t>Autre à définir</t>
  </si>
  <si>
    <t>ETP</t>
  </si>
  <si>
    <t>…</t>
  </si>
  <si>
    <t>IQ</t>
  </si>
  <si>
    <t>EE</t>
  </si>
  <si>
    <t>PMO</t>
  </si>
  <si>
    <t>Charges</t>
  </si>
  <si>
    <t>Coach (Xxxx)</t>
  </si>
  <si>
    <t>RÔLES/MACRO-PHASES</t>
  </si>
  <si>
    <t>Resp. Fonctionnel + Exigences + Valid.</t>
  </si>
  <si>
    <t xml:space="preserve">Dev. appli 2 </t>
  </si>
  <si>
    <t>Dev. appli 1</t>
  </si>
  <si>
    <t>CP</t>
  </si>
  <si>
    <t>RF+Exi+Val</t>
  </si>
  <si>
    <t>Archi,++</t>
  </si>
  <si>
    <t>RT+GCO</t>
  </si>
  <si>
    <t>Coach</t>
  </si>
  <si>
    <t>CRI(C)</t>
  </si>
  <si>
    <t>Activité AVV en //</t>
  </si>
  <si>
    <t>Activité AVV en // (TBD)</t>
  </si>
  <si>
    <t>RESSOURCES/RÔLES/MACRO-PHASES</t>
  </si>
  <si>
    <t>heures/sem</t>
  </si>
  <si>
    <t>LANCEMENT</t>
  </si>
  <si>
    <t>% sur tot.</t>
  </si>
  <si>
    <t>% hors poste 15</t>
  </si>
  <si>
    <t>&lt;&lt; durée hors garantie</t>
  </si>
  <si>
    <t>D. SAINTIER</t>
  </si>
  <si>
    <t>F. TRICOT</t>
  </si>
  <si>
    <t>P. DELPOUX</t>
  </si>
  <si>
    <t>N. LARZILIERE</t>
  </si>
  <si>
    <t>G. CAUMES</t>
  </si>
  <si>
    <t>---</t>
  </si>
  <si>
    <t>B. FORESTIER</t>
  </si>
  <si>
    <t>Autres CRI/CRIC</t>
  </si>
  <si>
    <t>Avant Vente</t>
  </si>
  <si>
    <t>Lancement</t>
  </si>
  <si>
    <t>Elaboration</t>
  </si>
  <si>
    <t>Construction</t>
  </si>
  <si>
    <t>Transition</t>
  </si>
  <si>
    <t>Critères dimensionnants</t>
  </si>
  <si>
    <t>Impacts</t>
  </si>
  <si>
    <t>Nbre d'unités</t>
  </si>
  <si>
    <t>Charge unitaire (heure)</t>
  </si>
  <si>
    <t>Charge totale (heures)</t>
  </si>
  <si>
    <t>Copier/Insérer au dessus de la ligne rouge</t>
  </si>
  <si>
    <t>Insérer au dessus de la ligne rouge</t>
  </si>
  <si>
    <t>R</t>
  </si>
  <si>
    <t>GARANTIE</t>
  </si>
  <si>
    <t>Elevée</t>
  </si>
  <si>
    <t>Modérée</t>
  </si>
  <si>
    <t>Très élevée</t>
  </si>
  <si>
    <t>Fournisseurs 1</t>
  </si>
  <si>
    <t>Max des 2 approches ==&gt;</t>
  </si>
  <si>
    <t>Approche globale</t>
  </si>
  <si>
    <t>Ratios habituellement observés 
pour le suivi d'un partenaire</t>
  </si>
  <si>
    <t>Approche détaillée</t>
  </si>
  <si>
    <t>Ligne à cacher - ne pas supprimer</t>
  </si>
  <si>
    <t>Suivi administratif (référencement dans GPS, DA, suivi règlements) (charge en b)</t>
  </si>
  <si>
    <t>Legacy = Fortran, Cobol, Ada.</t>
  </si>
  <si>
    <t xml:space="preserve">
PAS PRIS EN COMPTE POUR L'INSTANT</t>
  </si>
  <si>
    <t>PAS PRIS EN COMPTE POUR L'INSTANT</t>
  </si>
  <si>
    <t>50..199K€</t>
  </si>
  <si>
    <t>200..499K€</t>
  </si>
  <si>
    <t>500..999K€</t>
  </si>
  <si>
    <t>1M€..2M€</t>
  </si>
  <si>
    <t xml:space="preserve">  &gt; 2M€</t>
  </si>
  <si>
    <t xml:space="preserve">  &lt; 50 K€</t>
  </si>
  <si>
    <t>Projet XXXX</t>
  </si>
  <si>
    <t>TJM et CA approx. :</t>
  </si>
  <si>
    <t>Colonne</t>
  </si>
  <si>
    <t>à masquer</t>
  </si>
  <si>
    <t>Elévé, car phase de scoping en amont (WP1) avant M5</t>
  </si>
  <si>
    <t>Coeff. "net":</t>
  </si>
  <si>
    <t>Macro-phases du suivi partenaire/fournisseur</t>
  </si>
  <si>
    <t>Durées (mois)</t>
  </si>
  <si>
    <t>ETP(h.j./sem.) &gt;</t>
  </si>
  <si>
    <t>Phase amont - analyse opportunités de sous-traitance</t>
  </si>
  <si>
    <t xml:space="preserve">Estimation de la charge sous-traitée en h.j (à mettre à jour après réception des offres des sous-traitants)
</t>
  </si>
  <si>
    <t>Risk Level</t>
  </si>
  <si>
    <t>Project size</t>
  </si>
  <si>
    <t>customer's project management environment complexity</t>
  </si>
  <si>
    <t xml:space="preserve">Level of mandatory quality </t>
  </si>
  <si>
    <t>Documentation level</t>
  </si>
  <si>
    <t>accuratness, quality and completness of requirements</t>
  </si>
  <si>
    <t>Development difficulty</t>
  </si>
  <si>
    <t>Setup constraint</t>
  </si>
  <si>
    <t>Architecture complexity (system and application)</t>
  </si>
  <si>
    <t>Coaching and training needs</t>
  </si>
  <si>
    <t>Project lifecycle type</t>
  </si>
  <si>
    <t>major language</t>
  </si>
  <si>
    <t>% activity groups &amp; coeff.</t>
  </si>
  <si>
    <t>% total load</t>
  </si>
  <si>
    <t>specific values</t>
  </si>
  <si>
    <t>trigers</t>
  </si>
  <si>
    <t>Security needs</t>
  </si>
  <si>
    <t>Garantee</t>
  </si>
  <si>
    <t>Requirement due to garantee</t>
  </si>
  <si>
    <t>A-LU CDC CMS</t>
  </si>
  <si>
    <r>
      <t xml:space="preserve">Ratio mini </t>
    </r>
    <r>
      <rPr>
        <sz val="10"/>
        <color indexed="55"/>
        <rFont val="宋体"/>
        <family val="2"/>
        <scheme val="minor"/>
      </rPr>
      <t>accepté (%min / %median)</t>
    </r>
  </si>
  <si>
    <r>
      <t>Ratio min</t>
    </r>
    <r>
      <rPr>
        <sz val="10"/>
        <color indexed="55"/>
        <rFont val="宋体"/>
        <family val="2"/>
        <scheme val="minor"/>
      </rPr>
      <t xml:space="preserve"> accepté (%min / %median)</t>
    </r>
  </si>
  <si>
    <t>Levels of nesting</t>
  </si>
  <si>
    <t>(Min_test)</t>
  </si>
  <si>
    <t>(Median_test)</t>
  </si>
  <si>
    <t>(MAX_test)</t>
  </si>
  <si>
    <t>Level of project risk (definition and determination in the BCS). R1 = Very low or Low = average R2, R3 = High; R4 = Very High. The additional charge (for R3 and R4) is to take action to reduce risk, the cost must be significantly lower than the risks (= sum of costs of the negative impacts of risk factors * probabilities).</t>
  </si>
  <si>
    <t>very low</t>
  </si>
  <si>
    <t>low</t>
  </si>
  <si>
    <t>average</t>
  </si>
  <si>
    <t>very high</t>
  </si>
  <si>
    <t>high</t>
  </si>
  <si>
    <t>What is the size of the project in which this project is integrated (can gain pooling of resources and activities in a project / program</t>
  </si>
  <si>
    <t>delivery environment complexity</t>
  </si>
  <si>
    <t>Delivery geographically distributed over several units? (Eg a large project whose development is spread over two or three units co-located will be associated with "Medium").
 (complexity of the assembly partner treated in managing outsourcing).</t>
  </si>
  <si>
    <t>Voluminous, complex, specific formats, distributed on a large number of small documents, ...
 Value "Very Low" because not withdrawn in accordance with the guidelines.</t>
  </si>
  <si>
    <t>(excluding documentation, see below).
 Reviews, audits, indicators required by the customer are there many? Value "Very Low" because not withdrawn in accordance with the guidelines.</t>
  </si>
  <si>
    <t>Specifications and proposal there are clear and complete? Transfer to a management tool and requirements Will it be easy? The requirements do they meet quality criteria: atomicity, uniqueness, etc..</t>
  </si>
  <si>
    <t>The integration is it difficult (relative to project size) or is she a particularly low or high achieving?</t>
  </si>
  <si>
    <t>Installation should it be highly automated, repeated on many sites (complex automation scripts), with different parameters, ...?</t>
  </si>
  <si>
    <t>At the application, on the number of layers of different types and complosants the complexity of the interdependence therebetween. System level, depends on the number of server types, the number of protocols and the complexity of the network (LAN, MAN, WAN) in which the system / application must be integrated.</t>
  </si>
  <si>
    <t>Higher if a negative difference between the average skill level of members of the teams and the project needs all activities.
 Very low if the team is very experienced in all areas.</t>
  </si>
  <si>
    <t>Cycle Y (relative to V cycle): more work on the specifications (models, prototypes (which is part of the development of CTU), but months of effort and risk in the downstream phase (validation, revenue ).
 AM: Weight of CTU and greater integration.</t>
  </si>
  <si>
    <t>undefine</t>
  </si>
  <si>
    <t>Safety requirements must also be taken into account in estimating the burden of coding-Test-Unit. To avoid cumulative effects, if requirements are already imposed considerable burdens CTU, the value of this factor must be "Medium" with a comment below cons.</t>
  </si>
  <si>
    <t>Duration (in months) of the guarantee, including, for some clients, the RSV (regular service check). Reference duration (median) = 6 months. Load = f (time) nonlinear. Last cell in yellow: specific value information. The guarantee is an activity consisting of other types of activities (project management, specs, CTU, integration, validation, etc..).</t>
  </si>
  <si>
    <t>The response time they are very short (for any specific penalty encryption). Indicators requested by the customer or are there many process management technical facts are they complex, etc..</t>
  </si>
  <si>
    <t>ACTIVITES/ROLES/MACRO-PHASES</t>
  </si>
  <si>
    <t>% Defined median levels below</t>
  </si>
  <si>
    <t>Median% (unadjusted fct dimensioning factors) on total</t>
  </si>
  <si>
    <t>Min of total</t>
  </si>
  <si>
    <t>Max of total</t>
  </si>
  <si>
    <t>Synthetic ratio of charges</t>
  </si>
  <si>
    <t>Estimated median out of CTU</t>
  </si>
  <si>
    <t>and specific services</t>
  </si>
  <si>
    <t>% Min. lower levels</t>
  </si>
  <si>
    <t>% Max levels below</t>
  </si>
  <si>
    <t>Adjusted% lower levels</t>
  </si>
  <si>
    <t>% Of the duration of the project concerned</t>
  </si>
  <si>
    <t>hours / week</t>
  </si>
  <si>
    <t>FTE (full time equivalent)</t>
  </si>
  <si>
    <t>Employees (FTE), duration of the project</t>
  </si>
  <si>
    <t>calculated</t>
  </si>
  <si>
    <t>fixed</t>
  </si>
</sst>
</file>

<file path=xl/styles.xml><?xml version="1.0" encoding="utf-8"?>
<styleSheet xmlns="http://schemas.openxmlformats.org/spreadsheetml/2006/main">
  <numFmts count="30">
    <numFmt numFmtId="176" formatCode="_-* #,##0.00\ &quot;€&quot;_-;\-* #,##0.00\ &quot;€&quot;_-;_-* &quot;-&quot;??\ &quot;€&quot;_-;_-@_-"/>
    <numFmt numFmtId="177" formatCode="0.0"/>
    <numFmt numFmtId="178" formatCode="#,##0.#"/>
    <numFmt numFmtId="179" formatCode="0.0%"/>
    <numFmt numFmtId="180" formatCode="0.#%"/>
    <numFmt numFmtId="181" formatCode="dd/mm/yy;@"/>
    <numFmt numFmtId="182" formatCode="0.#&quot; mois&quot;"/>
    <numFmt numFmtId="183" formatCode="[&lt;5]0.0;0"/>
    <numFmt numFmtId="184" formatCode="[&lt;0.1]0.#%;0%"/>
    <numFmt numFmtId="185" formatCode="#,##0&quot; h.j&quot;"/>
    <numFmt numFmtId="186" formatCode="#,##0.0"/>
    <numFmt numFmtId="187" formatCode="&quot;rôles et fonctions (&quot;General\%&quot;)&quot;"/>
    <numFmt numFmtId="188" formatCode="?%"/>
    <numFmt numFmtId="189" formatCode="[&gt;1]0.?&quot; ETP&quot;;0.???&quot; ETP&quot;"/>
    <numFmt numFmtId="190" formatCode="[&gt;1]0.?&quot; ETP&quot;;[&lt;0.01]0.???&quot; ETP&quot;;0.??&quot; ETP&quot;"/>
    <numFmt numFmtId="191" formatCode="#,##0&quot; h&quot;"/>
    <numFmt numFmtId="192" formatCode="0&quot; réu./mois&quot;"/>
    <numFmt numFmtId="193" formatCode="General&quot; h.&quot;"/>
    <numFmt numFmtId="194" formatCode="#,##0&quot; h.&quot;"/>
    <numFmt numFmtId="195" formatCode="0.#&quot; h.j.&quot;"/>
    <numFmt numFmtId="196" formatCode="General&quot; h.j&quot;"/>
    <numFmt numFmtId="197" formatCode="0.#&quot; h.&quot;"/>
    <numFmt numFmtId="198" formatCode="#,##0.0&quot; h.j&quot;"/>
    <numFmt numFmtId="199" formatCode="_-* #,##0\ &quot;€&quot;_-;\-* #,##0\ &quot;€&quot;_-;_-* &quot;-&quot;??\ &quot;€&quot;_-;_-@_-"/>
    <numFmt numFmtId="200" formatCode="#,##0\ &quot;€&quot;"/>
    <numFmt numFmtId="201" formatCode="[&lt;10]0.##;#,##0.0"/>
    <numFmt numFmtId="202" formatCode="0.##&quot; mois&quot;"/>
    <numFmt numFmtId="203" formatCode="0.0&quot; ETP&quot;"/>
    <numFmt numFmtId="204" formatCode="0&quot; h.j.&quot;"/>
    <numFmt numFmtId="205" formatCode="0.#"/>
  </numFmts>
  <fonts count="128">
    <font>
      <sz val="10"/>
      <name val="Arial"/>
    </font>
    <font>
      <sz val="10"/>
      <name val="Arial"/>
      <family val="2"/>
    </font>
    <font>
      <b/>
      <sz val="10"/>
      <name val="Arial"/>
      <family val="2"/>
    </font>
    <font>
      <sz val="8"/>
      <name val="Arial"/>
      <family val="2"/>
    </font>
    <font>
      <sz val="8"/>
      <color indexed="81"/>
      <name val="Tahoma"/>
      <family val="2"/>
    </font>
    <font>
      <b/>
      <sz val="8"/>
      <color indexed="81"/>
      <name val="Tahoma"/>
      <family val="2"/>
    </font>
    <font>
      <sz val="8"/>
      <color indexed="12"/>
      <name val="Arial"/>
      <family val="2"/>
    </font>
    <font>
      <sz val="10"/>
      <color indexed="12"/>
      <name val="Arial"/>
      <family val="2"/>
    </font>
    <font>
      <b/>
      <sz val="10"/>
      <color indexed="12"/>
      <name val="Arial"/>
      <family val="2"/>
    </font>
    <font>
      <b/>
      <sz val="11"/>
      <color indexed="12"/>
      <name val="Arial"/>
      <family val="2"/>
    </font>
    <font>
      <sz val="9"/>
      <name val="Arial"/>
      <family val="2"/>
    </font>
    <font>
      <sz val="12"/>
      <color indexed="60"/>
      <name val="Arial Black"/>
      <family val="2"/>
    </font>
    <font>
      <sz val="11"/>
      <name val="Arial Black"/>
      <family val="2"/>
    </font>
    <font>
      <sz val="10"/>
      <name val="Arial"/>
      <family val="2"/>
    </font>
    <font>
      <sz val="9"/>
      <color indexed="16"/>
      <name val="Arial"/>
      <family val="2"/>
    </font>
    <font>
      <sz val="9"/>
      <color indexed="12"/>
      <name val="Arial"/>
      <family val="2"/>
    </font>
    <font>
      <sz val="9"/>
      <name val="Arial"/>
      <family val="2"/>
    </font>
    <font>
      <sz val="8"/>
      <name val="Arial Narrow"/>
      <family val="2"/>
    </font>
    <font>
      <sz val="12"/>
      <name val="Arial Black"/>
      <family val="2"/>
    </font>
    <font>
      <sz val="16"/>
      <name val="Wingdings"/>
      <charset val="2"/>
    </font>
    <font>
      <sz val="16"/>
      <name val="Arial Black"/>
      <family val="2"/>
    </font>
    <font>
      <b/>
      <sz val="11"/>
      <name val="Arial"/>
      <family val="2"/>
    </font>
    <font>
      <sz val="10"/>
      <color indexed="60"/>
      <name val="Arial Black"/>
      <family val="2"/>
    </font>
    <font>
      <b/>
      <sz val="9"/>
      <color indexed="60"/>
      <name val="Tahoma"/>
      <family val="2"/>
    </font>
    <font>
      <sz val="9"/>
      <color indexed="60"/>
      <name val="Tahoma"/>
      <family val="2"/>
    </font>
    <font>
      <sz val="8"/>
      <color indexed="16"/>
      <name val="Arial"/>
      <family val="2"/>
    </font>
    <font>
      <b/>
      <sz val="9"/>
      <name val="Arial"/>
      <family val="2"/>
    </font>
    <font>
      <b/>
      <sz val="9"/>
      <color indexed="12"/>
      <name val="Arial"/>
      <family val="2"/>
    </font>
    <font>
      <b/>
      <sz val="10"/>
      <color indexed="9"/>
      <name val="Arial"/>
      <family val="2"/>
    </font>
    <font>
      <sz val="9"/>
      <color indexed="12"/>
      <name val="Arial"/>
      <family val="2"/>
    </font>
    <font>
      <sz val="8"/>
      <color indexed="49"/>
      <name val="Arial"/>
      <family val="2"/>
    </font>
    <font>
      <sz val="10"/>
      <color indexed="49"/>
      <name val="Arial"/>
      <family val="2"/>
    </font>
    <font>
      <b/>
      <sz val="10"/>
      <color indexed="16"/>
      <name val="Arial"/>
      <family val="2"/>
    </font>
    <font>
      <sz val="9"/>
      <name val="Arial Narrow"/>
      <family val="2"/>
    </font>
    <font>
      <sz val="10"/>
      <color indexed="9"/>
      <name val="Arial"/>
      <family val="2"/>
    </font>
    <font>
      <sz val="10"/>
      <name val="Arial Narrow"/>
      <family val="2"/>
    </font>
    <font>
      <u/>
      <sz val="10"/>
      <color indexed="12"/>
      <name val="Arial"/>
      <family val="2"/>
    </font>
    <font>
      <b/>
      <sz val="10"/>
      <color indexed="60"/>
      <name val="Arial"/>
      <family val="2"/>
    </font>
    <font>
      <sz val="10"/>
      <color indexed="60"/>
      <name val="Arial"/>
      <family val="2"/>
    </font>
    <font>
      <b/>
      <sz val="10"/>
      <color indexed="10"/>
      <name val="Arial"/>
      <family val="2"/>
    </font>
    <font>
      <b/>
      <sz val="10"/>
      <color indexed="60"/>
      <name val="Arial"/>
      <family val="2"/>
    </font>
    <font>
      <sz val="8"/>
      <color indexed="9"/>
      <name val="Arial"/>
      <family val="2"/>
    </font>
    <font>
      <b/>
      <sz val="8"/>
      <name val="Arial"/>
      <family val="2"/>
    </font>
    <font>
      <b/>
      <sz val="8"/>
      <color indexed="16"/>
      <name val="Arial"/>
      <family val="2"/>
    </font>
    <font>
      <b/>
      <sz val="11"/>
      <color indexed="9"/>
      <name val="Arial"/>
      <family val="2"/>
    </font>
    <font>
      <b/>
      <sz val="9"/>
      <color indexed="9"/>
      <name val="Arial"/>
      <family val="2"/>
    </font>
    <font>
      <sz val="10"/>
      <color indexed="23"/>
      <name val="Arial"/>
      <family val="2"/>
    </font>
    <font>
      <sz val="10"/>
      <color indexed="60"/>
      <name val="Arial"/>
      <family val="2"/>
    </font>
    <font>
      <b/>
      <sz val="9"/>
      <color indexed="60"/>
      <name val="Arial"/>
      <family val="2"/>
    </font>
    <font>
      <sz val="9"/>
      <color indexed="81"/>
      <name val="Tahoma"/>
      <family val="2"/>
    </font>
    <font>
      <b/>
      <sz val="9"/>
      <color indexed="81"/>
      <name val="Tahoma"/>
      <family val="2"/>
    </font>
    <font>
      <sz val="12"/>
      <color indexed="9"/>
      <name val="Arial Black"/>
      <family val="2"/>
    </font>
    <font>
      <sz val="11"/>
      <color indexed="55"/>
      <name val="Arial Black"/>
      <family val="2"/>
    </font>
    <font>
      <i/>
      <sz val="10"/>
      <name val="Arial"/>
      <family val="2"/>
    </font>
    <font>
      <i/>
      <sz val="10"/>
      <color indexed="60"/>
      <name val="Arial"/>
      <family val="2"/>
    </font>
    <font>
      <i/>
      <sz val="9"/>
      <name val="Arial"/>
      <family val="2"/>
    </font>
    <font>
      <b/>
      <i/>
      <sz val="10"/>
      <color indexed="12"/>
      <name val="Arial"/>
      <family val="2"/>
    </font>
    <font>
      <b/>
      <u/>
      <sz val="9"/>
      <color indexed="81"/>
      <name val="Tahoma"/>
      <family val="2"/>
    </font>
    <font>
      <b/>
      <i/>
      <sz val="9"/>
      <color indexed="12"/>
      <name val="Arial"/>
      <family val="2"/>
    </font>
    <font>
      <i/>
      <sz val="9"/>
      <color indexed="12"/>
      <name val="Arial"/>
      <family val="2"/>
    </font>
    <font>
      <b/>
      <sz val="9"/>
      <color indexed="10"/>
      <name val="Tahoma"/>
      <family val="2"/>
    </font>
    <font>
      <sz val="10"/>
      <color indexed="23"/>
      <name val="Arial"/>
      <family val="2"/>
    </font>
    <font>
      <b/>
      <sz val="9"/>
      <color indexed="9"/>
      <name val="Tahoma"/>
      <family val="2"/>
    </font>
    <font>
      <b/>
      <sz val="8"/>
      <color indexed="9"/>
      <name val="Tahoma"/>
      <family val="2"/>
    </font>
    <font>
      <b/>
      <sz val="10"/>
      <color indexed="9"/>
      <name val="Tahoma"/>
      <family val="2"/>
    </font>
    <font>
      <u/>
      <sz val="12"/>
      <color indexed="12"/>
      <name val="Arial Black"/>
      <family val="2"/>
    </font>
    <font>
      <b/>
      <sz val="10"/>
      <color indexed="13"/>
      <name val="Tahoma"/>
      <family val="2"/>
    </font>
    <font>
      <b/>
      <sz val="8"/>
      <color indexed="12"/>
      <name val="Arial"/>
      <family val="2"/>
    </font>
    <font>
      <sz val="8"/>
      <color indexed="22"/>
      <name val="Arial"/>
      <family val="2"/>
    </font>
    <font>
      <b/>
      <sz val="8"/>
      <color indexed="60"/>
      <name val="Arial"/>
      <family val="2"/>
    </font>
    <font>
      <b/>
      <sz val="8"/>
      <color indexed="17"/>
      <name val="Arial"/>
      <family val="2"/>
    </font>
    <font>
      <sz val="10"/>
      <color indexed="17"/>
      <name val="Arial"/>
      <family val="2"/>
    </font>
    <font>
      <sz val="11"/>
      <color indexed="60"/>
      <name val="Arial"/>
      <family val="2"/>
    </font>
    <font>
      <b/>
      <sz val="10"/>
      <color indexed="17"/>
      <name val="Arial"/>
      <family val="2"/>
    </font>
    <font>
      <b/>
      <sz val="8"/>
      <color indexed="63"/>
      <name val="Arial"/>
      <family val="2"/>
    </font>
    <font>
      <sz val="8"/>
      <color indexed="41"/>
      <name val="Arial"/>
      <family val="2"/>
    </font>
    <font>
      <b/>
      <sz val="8"/>
      <color indexed="23"/>
      <name val="Arial Narrow"/>
      <family val="2"/>
    </font>
    <font>
      <sz val="10"/>
      <color indexed="9"/>
      <name val="Tahoma"/>
      <family val="2"/>
    </font>
    <font>
      <sz val="11"/>
      <color indexed="60"/>
      <name val="Arial Black"/>
      <family val="2"/>
    </font>
    <font>
      <b/>
      <sz val="11"/>
      <color indexed="60"/>
      <name val="Arial"/>
      <family val="2"/>
    </font>
    <font>
      <b/>
      <sz val="8"/>
      <color indexed="10"/>
      <name val="Tahoma"/>
      <family val="2"/>
    </font>
    <font>
      <b/>
      <sz val="10"/>
      <color indexed="81"/>
      <name val="Tahoma"/>
      <family val="2"/>
    </font>
    <font>
      <b/>
      <sz val="10"/>
      <color indexed="12"/>
      <name val="Tahoma"/>
      <family val="2"/>
    </font>
    <font>
      <b/>
      <sz val="10"/>
      <color indexed="53"/>
      <name val="Tahoma"/>
      <family val="2"/>
    </font>
    <font>
      <sz val="10"/>
      <color indexed="81"/>
      <name val="Tahoma"/>
      <family val="2"/>
    </font>
    <font>
      <sz val="10"/>
      <color indexed="9"/>
      <name val="宋体"/>
      <family val="2"/>
      <scheme val="minor"/>
    </font>
    <font>
      <sz val="10"/>
      <name val="宋体"/>
      <family val="2"/>
      <scheme val="minor"/>
    </font>
    <font>
      <sz val="9"/>
      <color indexed="12"/>
      <name val="宋体"/>
      <family val="2"/>
      <scheme val="minor"/>
    </font>
    <font>
      <b/>
      <sz val="9"/>
      <color indexed="12"/>
      <name val="宋体"/>
      <family val="2"/>
      <scheme val="minor"/>
    </font>
    <font>
      <b/>
      <sz val="11"/>
      <name val="宋体"/>
      <family val="2"/>
      <scheme val="minor"/>
    </font>
    <font>
      <b/>
      <sz val="10"/>
      <name val="宋体"/>
      <family val="2"/>
      <scheme val="minor"/>
    </font>
    <font>
      <b/>
      <sz val="10"/>
      <color indexed="9"/>
      <name val="宋体"/>
      <family val="2"/>
      <scheme val="minor"/>
    </font>
    <font>
      <sz val="11"/>
      <color indexed="57"/>
      <name val="宋体"/>
      <family val="2"/>
      <scheme val="minor"/>
    </font>
    <font>
      <sz val="9"/>
      <color indexed="17"/>
      <name val="宋体"/>
      <family val="2"/>
      <scheme val="minor"/>
    </font>
    <font>
      <sz val="9"/>
      <color indexed="60"/>
      <name val="宋体"/>
      <family val="2"/>
      <scheme val="minor"/>
    </font>
    <font>
      <b/>
      <sz val="9"/>
      <color indexed="60"/>
      <name val="宋体"/>
      <family val="2"/>
      <scheme val="minor"/>
    </font>
    <font>
      <sz val="14"/>
      <color indexed="58"/>
      <name val="宋体"/>
      <family val="2"/>
      <scheme val="minor"/>
    </font>
    <font>
      <sz val="10"/>
      <color indexed="60"/>
      <name val="宋体"/>
      <family val="2"/>
      <scheme val="minor"/>
    </font>
    <font>
      <b/>
      <sz val="9"/>
      <color indexed="48"/>
      <name val="宋体"/>
      <family val="2"/>
      <scheme val="minor"/>
    </font>
    <font>
      <b/>
      <sz val="9"/>
      <color indexed="62"/>
      <name val="宋体"/>
      <family val="2"/>
      <scheme val="minor"/>
    </font>
    <font>
      <sz val="9"/>
      <color indexed="48"/>
      <name val="宋体"/>
      <family val="2"/>
      <scheme val="minor"/>
    </font>
    <font>
      <sz val="8"/>
      <name val="宋体"/>
      <family val="2"/>
      <scheme val="minor"/>
    </font>
    <font>
      <b/>
      <sz val="11"/>
      <color indexed="12"/>
      <name val="宋体"/>
      <family val="2"/>
      <scheme val="minor"/>
    </font>
    <font>
      <b/>
      <sz val="11"/>
      <color indexed="60"/>
      <name val="宋体"/>
      <family val="2"/>
      <scheme val="minor"/>
    </font>
    <font>
      <sz val="9"/>
      <name val="宋体"/>
      <family val="2"/>
      <scheme val="minor"/>
    </font>
    <font>
      <sz val="10"/>
      <color indexed="55"/>
      <name val="宋体"/>
      <family val="2"/>
      <scheme val="minor"/>
    </font>
    <font>
      <b/>
      <sz val="10"/>
      <color indexed="55"/>
      <name val="宋体"/>
      <family val="2"/>
      <scheme val="minor"/>
    </font>
    <font>
      <sz val="9"/>
      <color indexed="55"/>
      <name val="宋体"/>
      <family val="2"/>
      <scheme val="minor"/>
    </font>
    <font>
      <sz val="10"/>
      <color indexed="57"/>
      <name val="宋体"/>
      <family val="2"/>
      <scheme val="minor"/>
    </font>
    <font>
      <sz val="10"/>
      <color indexed="12"/>
      <name val="宋体"/>
      <family val="2"/>
      <scheme val="minor"/>
    </font>
    <font>
      <sz val="10"/>
      <color indexed="23"/>
      <name val="宋体"/>
      <family val="2"/>
      <scheme val="minor"/>
    </font>
    <font>
      <b/>
      <sz val="10"/>
      <color indexed="12"/>
      <name val="宋体"/>
      <family val="2"/>
      <scheme val="minor"/>
    </font>
    <font>
      <b/>
      <sz val="9"/>
      <color indexed="55"/>
      <name val="宋体"/>
      <family val="2"/>
      <scheme val="minor"/>
    </font>
    <font>
      <sz val="11"/>
      <color indexed="12"/>
      <name val="宋体"/>
      <family val="2"/>
      <scheme val="minor"/>
    </font>
    <font>
      <sz val="12"/>
      <color indexed="60"/>
      <name val="宋体"/>
      <family val="2"/>
      <scheme val="minor"/>
    </font>
    <font>
      <sz val="11"/>
      <name val="宋体"/>
      <family val="2"/>
      <scheme val="minor"/>
    </font>
    <font>
      <b/>
      <sz val="9"/>
      <name val="宋体"/>
      <family val="2"/>
      <scheme val="minor"/>
    </font>
    <font>
      <b/>
      <sz val="10"/>
      <color indexed="48"/>
      <name val="宋体"/>
      <family val="2"/>
      <scheme val="minor"/>
    </font>
    <font>
      <b/>
      <sz val="10"/>
      <color indexed="62"/>
      <name val="宋体"/>
      <family val="2"/>
      <scheme val="minor"/>
    </font>
    <font>
      <b/>
      <sz val="11"/>
      <color indexed="41"/>
      <name val="宋体"/>
      <family val="2"/>
      <scheme val="minor"/>
    </font>
    <font>
      <sz val="10"/>
      <color indexed="58"/>
      <name val="宋体"/>
      <family val="2"/>
      <scheme val="minor"/>
    </font>
    <font>
      <sz val="10"/>
      <color indexed="48"/>
      <name val="宋体"/>
      <family val="2"/>
      <scheme val="minor"/>
    </font>
    <font>
      <b/>
      <sz val="8"/>
      <color indexed="58"/>
      <name val="宋体"/>
      <family val="2"/>
      <scheme val="minor"/>
    </font>
    <font>
      <sz val="8"/>
      <color indexed="12"/>
      <name val="宋体"/>
      <family val="2"/>
      <scheme val="minor"/>
    </font>
    <font>
      <sz val="14"/>
      <name val="宋体"/>
      <family val="2"/>
      <scheme val="minor"/>
    </font>
    <font>
      <sz val="10"/>
      <color indexed="15"/>
      <name val="宋体"/>
      <family val="2"/>
      <scheme val="minor"/>
    </font>
    <font>
      <b/>
      <sz val="10"/>
      <color indexed="15"/>
      <name val="宋体"/>
      <family val="2"/>
      <scheme val="minor"/>
    </font>
    <font>
      <b/>
      <i/>
      <sz val="10"/>
      <color indexed="9"/>
      <name val="宋体"/>
      <family val="2"/>
      <scheme val="minor"/>
    </font>
  </fonts>
  <fills count="29">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9"/>
        <bgColor indexed="64"/>
      </patternFill>
    </fill>
    <fill>
      <patternFill patternType="solid">
        <fgColor indexed="22"/>
        <bgColor indexed="64"/>
      </patternFill>
    </fill>
    <fill>
      <patternFill patternType="solid">
        <fgColor indexed="41"/>
        <bgColor indexed="64"/>
      </patternFill>
    </fill>
    <fill>
      <patternFill patternType="solid">
        <fgColor indexed="47"/>
        <bgColor indexed="64"/>
      </patternFill>
    </fill>
    <fill>
      <patternFill patternType="solid">
        <fgColor indexed="55"/>
        <bgColor indexed="64"/>
      </patternFill>
    </fill>
    <fill>
      <patternFill patternType="solid">
        <fgColor indexed="62"/>
        <bgColor indexed="64"/>
      </patternFill>
    </fill>
    <fill>
      <patternFill patternType="solid">
        <fgColor indexed="53"/>
        <bgColor indexed="64"/>
      </patternFill>
    </fill>
    <fill>
      <patternFill patternType="solid">
        <fgColor indexed="26"/>
        <bgColor indexed="64"/>
      </patternFill>
    </fill>
    <fill>
      <patternFill patternType="solid">
        <fgColor indexed="31"/>
        <bgColor indexed="64"/>
      </patternFill>
    </fill>
    <fill>
      <patternFill patternType="solid">
        <fgColor indexed="23"/>
        <bgColor indexed="64"/>
      </patternFill>
    </fill>
    <fill>
      <patternFill patternType="solid">
        <fgColor indexed="51"/>
        <bgColor indexed="64"/>
      </patternFill>
    </fill>
    <fill>
      <patternFill patternType="solid">
        <fgColor indexed="10"/>
        <bgColor indexed="64"/>
      </patternFill>
    </fill>
    <fill>
      <patternFill patternType="gray0625">
        <bgColor indexed="22"/>
      </patternFill>
    </fill>
    <fill>
      <patternFill patternType="solid">
        <fgColor indexed="44"/>
        <bgColor indexed="64"/>
      </patternFill>
    </fill>
    <fill>
      <patternFill patternType="darkVertical">
        <fgColor indexed="10"/>
        <bgColor indexed="9"/>
      </patternFill>
    </fill>
    <fill>
      <patternFill patternType="solid">
        <fgColor indexed="52"/>
        <bgColor indexed="64"/>
      </patternFill>
    </fill>
    <fill>
      <patternFill patternType="solid">
        <fgColor indexed="24"/>
        <bgColor indexed="64"/>
      </patternFill>
    </fill>
    <fill>
      <patternFill patternType="solid">
        <fgColor indexed="58"/>
        <bgColor indexed="64"/>
      </patternFill>
    </fill>
    <fill>
      <patternFill patternType="solid">
        <fgColor indexed="50"/>
        <bgColor indexed="64"/>
      </patternFill>
    </fill>
    <fill>
      <patternFill patternType="solid">
        <fgColor indexed="57"/>
        <bgColor indexed="64"/>
      </patternFill>
    </fill>
    <fill>
      <patternFill patternType="solid">
        <fgColor indexed="40"/>
        <bgColor indexed="64"/>
      </patternFill>
    </fill>
    <fill>
      <patternFill patternType="solid">
        <fgColor indexed="15"/>
        <bgColor indexed="64"/>
      </patternFill>
    </fill>
    <fill>
      <patternFill patternType="solid">
        <fgColor indexed="13"/>
        <bgColor indexed="64"/>
      </patternFill>
    </fill>
    <fill>
      <patternFill patternType="solid">
        <fgColor indexed="49"/>
        <bgColor indexed="64"/>
      </patternFill>
    </fill>
    <fill>
      <patternFill patternType="solid">
        <fgColor indexed="12"/>
        <bgColor indexed="64"/>
      </patternFill>
    </fill>
  </fills>
  <borders count="228">
    <border>
      <left/>
      <right/>
      <top/>
      <bottom/>
      <diagonal/>
    </border>
    <border>
      <left style="thin">
        <color indexed="22"/>
      </left>
      <right style="thin">
        <color indexed="22"/>
      </right>
      <top style="thin">
        <color indexed="22"/>
      </top>
      <bottom style="thin">
        <color indexed="22"/>
      </bottom>
      <diagonal/>
    </border>
    <border>
      <left style="thin">
        <color indexed="60"/>
      </left>
      <right style="thin">
        <color indexed="60"/>
      </right>
      <top style="thin">
        <color indexed="60"/>
      </top>
      <bottom style="thin">
        <color indexed="60"/>
      </bottom>
      <diagonal/>
    </border>
    <border>
      <left style="thin">
        <color indexed="22"/>
      </left>
      <right style="thin">
        <color indexed="22"/>
      </right>
      <top style="thin">
        <color indexed="52"/>
      </top>
      <bottom style="thin">
        <color indexed="22"/>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right/>
      <top/>
      <bottom style="thin">
        <color indexed="22"/>
      </bottom>
      <diagonal/>
    </border>
    <border>
      <left/>
      <right/>
      <top style="thin">
        <color indexed="22"/>
      </top>
      <bottom style="thin">
        <color indexed="22"/>
      </bottom>
      <diagonal/>
    </border>
    <border>
      <left/>
      <right/>
      <top style="thin">
        <color indexed="22"/>
      </top>
      <bottom style="thin">
        <color indexed="9"/>
      </bottom>
      <diagonal/>
    </border>
    <border>
      <left/>
      <right/>
      <top style="thin">
        <color indexed="17"/>
      </top>
      <bottom style="thin">
        <color indexed="17"/>
      </bottom>
      <diagonal/>
    </border>
    <border>
      <left style="thin">
        <color indexed="52"/>
      </left>
      <right style="thin">
        <color indexed="52"/>
      </right>
      <top style="thin">
        <color indexed="52"/>
      </top>
      <bottom style="thin">
        <color indexed="52"/>
      </bottom>
      <diagonal/>
    </border>
    <border>
      <left style="thin">
        <color indexed="31"/>
      </left>
      <right style="thin">
        <color indexed="31"/>
      </right>
      <top style="thin">
        <color indexed="31"/>
      </top>
      <bottom style="thin">
        <color indexed="31"/>
      </bottom>
      <diagonal/>
    </border>
    <border>
      <left/>
      <right style="thin">
        <color indexed="31"/>
      </right>
      <top style="thin">
        <color indexed="31"/>
      </top>
      <bottom style="thin">
        <color indexed="31"/>
      </bottom>
      <diagonal/>
    </border>
    <border>
      <left style="thin">
        <color indexed="52"/>
      </left>
      <right style="thin">
        <color indexed="52"/>
      </right>
      <top/>
      <bottom style="thin">
        <color indexed="52"/>
      </bottom>
      <diagonal/>
    </border>
    <border>
      <left style="medium">
        <color indexed="52"/>
      </left>
      <right style="medium">
        <color indexed="52"/>
      </right>
      <top style="medium">
        <color indexed="52"/>
      </top>
      <bottom style="medium">
        <color indexed="52"/>
      </bottom>
      <diagonal/>
    </border>
    <border>
      <left style="thin">
        <color indexed="52"/>
      </left>
      <right style="thin">
        <color indexed="52"/>
      </right>
      <top style="thin">
        <color indexed="52"/>
      </top>
      <bottom/>
      <diagonal/>
    </border>
    <border>
      <left/>
      <right/>
      <top style="thin">
        <color indexed="12"/>
      </top>
      <bottom style="thin">
        <color indexed="12"/>
      </bottom>
      <diagonal/>
    </border>
    <border>
      <left style="medium">
        <color indexed="12"/>
      </left>
      <right style="medium">
        <color indexed="12"/>
      </right>
      <top style="medium">
        <color indexed="12"/>
      </top>
      <bottom style="medium">
        <color indexed="12"/>
      </bottom>
      <diagonal/>
    </border>
    <border>
      <left style="medium">
        <color indexed="12"/>
      </left>
      <right/>
      <top/>
      <bottom/>
      <diagonal/>
    </border>
    <border>
      <left style="thin">
        <color indexed="64"/>
      </left>
      <right style="thin">
        <color indexed="64"/>
      </right>
      <top style="thin">
        <color indexed="64"/>
      </top>
      <bottom style="thin">
        <color indexed="64"/>
      </bottom>
      <diagonal/>
    </border>
    <border>
      <left style="thin">
        <color indexed="12"/>
      </left>
      <right style="medium">
        <color indexed="12"/>
      </right>
      <top style="thin">
        <color indexed="10"/>
      </top>
      <bottom style="thin">
        <color indexed="10"/>
      </bottom>
      <diagonal/>
    </border>
    <border>
      <left style="medium">
        <color indexed="12"/>
      </left>
      <right/>
      <top style="medium">
        <color indexed="10"/>
      </top>
      <bottom/>
      <diagonal/>
    </border>
    <border>
      <left/>
      <right/>
      <top/>
      <bottom style="medium">
        <color indexed="10"/>
      </bottom>
      <diagonal/>
    </border>
    <border>
      <left style="medium">
        <color indexed="12"/>
      </left>
      <right style="thin">
        <color indexed="12"/>
      </right>
      <top style="thin">
        <color indexed="12"/>
      </top>
      <bottom/>
      <diagonal/>
    </border>
    <border>
      <left style="thin">
        <color indexed="12"/>
      </left>
      <right style="medium">
        <color indexed="12"/>
      </right>
      <top style="thin">
        <color indexed="10"/>
      </top>
      <bottom/>
      <diagonal/>
    </border>
    <border>
      <left style="thin">
        <color indexed="12"/>
      </left>
      <right style="thin">
        <color indexed="12"/>
      </right>
      <top style="thin">
        <color indexed="12"/>
      </top>
      <bottom style="thin">
        <color indexed="12"/>
      </bottom>
      <diagonal/>
    </border>
    <border>
      <left style="medium">
        <color indexed="17"/>
      </left>
      <right style="thin">
        <color indexed="17"/>
      </right>
      <top/>
      <bottom style="thin">
        <color indexed="17"/>
      </bottom>
      <diagonal/>
    </border>
    <border>
      <left style="medium">
        <color indexed="12"/>
      </left>
      <right/>
      <top style="thin">
        <color indexed="48"/>
      </top>
      <bottom/>
      <diagonal/>
    </border>
    <border>
      <left/>
      <right/>
      <top/>
      <bottom style="thin">
        <color indexed="48"/>
      </bottom>
      <diagonal/>
    </border>
    <border>
      <left style="thin">
        <color indexed="55"/>
      </left>
      <right style="medium">
        <color indexed="12"/>
      </right>
      <top style="thin">
        <color indexed="22"/>
      </top>
      <bottom style="thin">
        <color indexed="22"/>
      </bottom>
      <diagonal/>
    </border>
    <border>
      <left style="thin">
        <color indexed="17"/>
      </left>
      <right style="medium">
        <color indexed="17"/>
      </right>
      <top/>
      <bottom style="thin">
        <color indexed="17"/>
      </bottom>
      <diagonal/>
    </border>
    <border>
      <left style="thin">
        <color indexed="17"/>
      </left>
      <right style="medium">
        <color indexed="17"/>
      </right>
      <top style="thin">
        <color indexed="17"/>
      </top>
      <bottom style="thin">
        <color indexed="17"/>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22"/>
      </top>
      <bottom/>
      <diagonal/>
    </border>
    <border>
      <left style="thin">
        <color indexed="12"/>
      </left>
      <right/>
      <top style="thin">
        <color indexed="12"/>
      </top>
      <bottom style="thin">
        <color indexed="12"/>
      </bottom>
      <diagonal/>
    </border>
    <border>
      <left style="thin">
        <color indexed="53"/>
      </left>
      <right style="thin">
        <color indexed="53"/>
      </right>
      <top style="thin">
        <color indexed="53"/>
      </top>
      <bottom style="thin">
        <color indexed="53"/>
      </bottom>
      <diagonal/>
    </border>
    <border>
      <left style="medium">
        <color indexed="12"/>
      </left>
      <right style="medium">
        <color indexed="12"/>
      </right>
      <top style="thin">
        <color indexed="48"/>
      </top>
      <bottom style="thin">
        <color indexed="48"/>
      </bottom>
      <diagonal/>
    </border>
    <border>
      <left style="thin">
        <color indexed="55"/>
      </left>
      <right style="thin">
        <color indexed="55"/>
      </right>
      <top style="thin">
        <color indexed="55"/>
      </top>
      <bottom style="thin">
        <color indexed="55"/>
      </bottom>
      <diagonal/>
    </border>
    <border>
      <left/>
      <right style="medium">
        <color indexed="9"/>
      </right>
      <top/>
      <bottom/>
      <diagonal/>
    </border>
    <border>
      <left style="hair">
        <color indexed="12"/>
      </left>
      <right style="hair">
        <color indexed="12"/>
      </right>
      <top style="hair">
        <color indexed="12"/>
      </top>
      <bottom style="thin">
        <color indexed="12"/>
      </bottom>
      <diagonal/>
    </border>
    <border>
      <left/>
      <right/>
      <top/>
      <bottom style="medium">
        <color indexed="12"/>
      </bottom>
      <diagonal/>
    </border>
    <border>
      <left style="medium">
        <color indexed="12"/>
      </left>
      <right style="thin">
        <color indexed="12"/>
      </right>
      <top style="medium">
        <color indexed="12"/>
      </top>
      <bottom style="thin">
        <color indexed="12"/>
      </bottom>
      <diagonal/>
    </border>
    <border>
      <left style="thin">
        <color indexed="12"/>
      </left>
      <right style="thin">
        <color indexed="12"/>
      </right>
      <top style="medium">
        <color indexed="12"/>
      </top>
      <bottom style="thin">
        <color indexed="12"/>
      </bottom>
      <diagonal/>
    </border>
    <border>
      <left style="thin">
        <color indexed="12"/>
      </left>
      <right style="thin">
        <color indexed="12"/>
      </right>
      <top/>
      <bottom style="thin">
        <color indexed="12"/>
      </bottom>
      <diagonal/>
    </border>
    <border>
      <left/>
      <right style="medium">
        <color indexed="9"/>
      </right>
      <top/>
      <bottom style="medium">
        <color indexed="9"/>
      </bottom>
      <diagonal/>
    </border>
    <border>
      <left style="thin">
        <color indexed="31"/>
      </left>
      <right style="thin">
        <color indexed="31"/>
      </right>
      <top/>
      <bottom/>
      <diagonal/>
    </border>
    <border>
      <left style="thin">
        <color indexed="9"/>
      </left>
      <right style="thin">
        <color indexed="9"/>
      </right>
      <top style="thin">
        <color indexed="9"/>
      </top>
      <bottom style="thin">
        <color indexed="9"/>
      </bottom>
      <diagonal/>
    </border>
    <border>
      <left style="thick">
        <color indexed="13"/>
      </left>
      <right style="thick">
        <color indexed="13"/>
      </right>
      <top style="thick">
        <color indexed="13"/>
      </top>
      <bottom style="thick">
        <color indexed="13"/>
      </bottom>
      <diagonal/>
    </border>
    <border>
      <left style="thin">
        <color indexed="31"/>
      </left>
      <right style="thin">
        <color indexed="31"/>
      </right>
      <top style="thin">
        <color indexed="9"/>
      </top>
      <bottom style="thin">
        <color indexed="9"/>
      </bottom>
      <diagonal/>
    </border>
    <border>
      <left style="thin">
        <color indexed="12"/>
      </left>
      <right style="thin">
        <color indexed="12"/>
      </right>
      <top style="thin">
        <color indexed="12"/>
      </top>
      <bottom/>
      <diagonal/>
    </border>
    <border>
      <left/>
      <right/>
      <top style="thin">
        <color indexed="53"/>
      </top>
      <bottom style="thin">
        <color indexed="53"/>
      </bottom>
      <diagonal/>
    </border>
    <border>
      <left style="thin">
        <color indexed="22"/>
      </left>
      <right style="thin">
        <color indexed="22"/>
      </right>
      <top style="thin">
        <color indexed="53"/>
      </top>
      <bottom style="thin">
        <color indexed="53"/>
      </bottom>
      <diagonal/>
    </border>
    <border>
      <left style="thin">
        <color indexed="22"/>
      </left>
      <right/>
      <top style="thin">
        <color indexed="53"/>
      </top>
      <bottom style="thin">
        <color indexed="53"/>
      </bottom>
      <diagonal/>
    </border>
    <border>
      <left/>
      <right style="thin">
        <color indexed="12"/>
      </right>
      <top style="thin">
        <color indexed="53"/>
      </top>
      <bottom style="thin">
        <color indexed="53"/>
      </bottom>
      <diagonal/>
    </border>
    <border>
      <left style="thin">
        <color indexed="9"/>
      </left>
      <right style="medium">
        <color indexed="12"/>
      </right>
      <top style="thin">
        <color indexed="12"/>
      </top>
      <bottom style="thin">
        <color indexed="12"/>
      </bottom>
      <diagonal/>
    </border>
    <border>
      <left style="medium">
        <color indexed="12"/>
      </left>
      <right/>
      <top style="thin">
        <color indexed="22"/>
      </top>
      <bottom style="thin">
        <color indexed="22"/>
      </bottom>
      <diagonal/>
    </border>
    <border>
      <left/>
      <right style="thin">
        <color indexed="55"/>
      </right>
      <top style="thin">
        <color indexed="22"/>
      </top>
      <bottom style="thin">
        <color indexed="22"/>
      </bottom>
      <diagonal/>
    </border>
    <border>
      <left style="thin">
        <color indexed="12"/>
      </left>
      <right/>
      <top style="thin">
        <color indexed="12"/>
      </top>
      <bottom/>
      <diagonal/>
    </border>
    <border>
      <left/>
      <right/>
      <top style="thin">
        <color indexed="12"/>
      </top>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style="thick">
        <color indexed="13"/>
      </left>
      <right style="thick">
        <color indexed="13"/>
      </right>
      <top style="thick">
        <color indexed="13"/>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diagonal/>
    </border>
    <border>
      <left/>
      <right style="medium">
        <color indexed="9"/>
      </right>
      <top style="medium">
        <color indexed="9"/>
      </top>
      <bottom style="medium">
        <color indexed="9"/>
      </bottom>
      <diagonal/>
    </border>
    <border>
      <left/>
      <right style="thin">
        <color indexed="22"/>
      </right>
      <top/>
      <bottom/>
      <diagonal/>
    </border>
    <border>
      <left style="thin">
        <color indexed="55"/>
      </left>
      <right style="thin">
        <color indexed="55"/>
      </right>
      <top style="thin">
        <color indexed="55"/>
      </top>
      <bottom/>
      <diagonal/>
    </border>
    <border>
      <left style="thin">
        <color indexed="55"/>
      </left>
      <right/>
      <top style="thin">
        <color indexed="55"/>
      </top>
      <bottom/>
      <diagonal/>
    </border>
    <border>
      <left/>
      <right style="thin">
        <color indexed="55"/>
      </right>
      <top style="thin">
        <color indexed="55"/>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style="thin">
        <color indexed="48"/>
      </left>
      <right/>
      <top/>
      <bottom/>
      <diagonal/>
    </border>
    <border>
      <left style="thin">
        <color indexed="48"/>
      </left>
      <right/>
      <top/>
      <bottom style="thin">
        <color indexed="48"/>
      </bottom>
      <diagonal/>
    </border>
    <border>
      <left style="hair">
        <color indexed="12"/>
      </left>
      <right/>
      <top style="hair">
        <color indexed="12"/>
      </top>
      <bottom style="thin">
        <color indexed="12"/>
      </bottom>
      <diagonal/>
    </border>
    <border>
      <left style="thin">
        <color indexed="9"/>
      </left>
      <right style="thin">
        <color indexed="9"/>
      </right>
      <top style="thin">
        <color indexed="12"/>
      </top>
      <bottom style="thin">
        <color indexed="9"/>
      </bottom>
      <diagonal/>
    </border>
    <border>
      <left/>
      <right style="thin">
        <color indexed="12"/>
      </right>
      <top style="thin">
        <color indexed="12"/>
      </top>
      <bottom/>
      <diagonal/>
    </border>
    <border>
      <left/>
      <right style="thin">
        <color indexed="12"/>
      </right>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right style="thin">
        <color indexed="9"/>
      </right>
      <top style="thin">
        <color indexed="9"/>
      </top>
      <bottom/>
      <diagonal/>
    </border>
    <border>
      <left style="thin">
        <color indexed="9"/>
      </left>
      <right/>
      <top style="thin">
        <color indexed="9"/>
      </top>
      <bottom/>
      <diagonal/>
    </border>
    <border>
      <left style="thin">
        <color indexed="9"/>
      </left>
      <right style="thin">
        <color indexed="48"/>
      </right>
      <top style="thin">
        <color indexed="9"/>
      </top>
      <bottom/>
      <diagonal/>
    </border>
    <border>
      <left/>
      <right style="thin">
        <color indexed="9"/>
      </right>
      <top style="thin">
        <color indexed="9"/>
      </top>
      <bottom style="thin">
        <color indexed="23"/>
      </bottom>
      <diagonal/>
    </border>
    <border>
      <left/>
      <right style="thin">
        <color indexed="9"/>
      </right>
      <top/>
      <bottom style="thin">
        <color indexed="9"/>
      </bottom>
      <diagonal/>
    </border>
    <border>
      <left/>
      <right/>
      <top style="thin">
        <color indexed="11"/>
      </top>
      <bottom style="thin">
        <color indexed="9"/>
      </bottom>
      <diagonal/>
    </border>
    <border>
      <left/>
      <right style="thin">
        <color indexed="11"/>
      </right>
      <top style="thin">
        <color indexed="11"/>
      </top>
      <bottom style="thin">
        <color indexed="9"/>
      </bottom>
      <diagonal/>
    </border>
    <border>
      <left/>
      <right/>
      <top style="thin">
        <color indexed="9"/>
      </top>
      <bottom style="thin">
        <color indexed="9"/>
      </bottom>
      <diagonal/>
    </border>
    <border>
      <left/>
      <right style="thin">
        <color indexed="11"/>
      </right>
      <top style="thin">
        <color indexed="9"/>
      </top>
      <bottom style="thin">
        <color indexed="9"/>
      </bottom>
      <diagonal/>
    </border>
    <border>
      <left/>
      <right/>
      <top style="thin">
        <color indexed="9"/>
      </top>
      <bottom style="thin">
        <color indexed="12"/>
      </bottom>
      <diagonal/>
    </border>
    <border>
      <left/>
      <right style="thin">
        <color indexed="11"/>
      </right>
      <top style="thin">
        <color indexed="9"/>
      </top>
      <bottom style="thin">
        <color indexed="12"/>
      </bottom>
      <diagonal/>
    </border>
    <border>
      <left/>
      <right style="thin">
        <color indexed="9"/>
      </right>
      <top style="thin">
        <color indexed="11"/>
      </top>
      <bottom style="thin">
        <color indexed="9"/>
      </bottom>
      <diagonal/>
    </border>
    <border>
      <left style="thin">
        <color indexed="9"/>
      </left>
      <right style="thin">
        <color indexed="9"/>
      </right>
      <top style="thin">
        <color indexed="11"/>
      </top>
      <bottom style="thin">
        <color indexed="9"/>
      </bottom>
      <diagonal/>
    </border>
    <border>
      <left/>
      <right style="thin">
        <color indexed="9"/>
      </right>
      <top style="thin">
        <color indexed="9"/>
      </top>
      <bottom style="thin">
        <color indexed="9"/>
      </bottom>
      <diagonal/>
    </border>
    <border>
      <left/>
      <right style="thin">
        <color indexed="9"/>
      </right>
      <top style="thin">
        <color indexed="9"/>
      </top>
      <bottom style="thin">
        <color indexed="12"/>
      </bottom>
      <diagonal/>
    </border>
    <border>
      <left style="thin">
        <color indexed="9"/>
      </left>
      <right style="thin">
        <color indexed="9"/>
      </right>
      <top style="thin">
        <color indexed="9"/>
      </top>
      <bottom style="thin">
        <color indexed="12"/>
      </bottom>
      <diagonal/>
    </border>
    <border>
      <left/>
      <right/>
      <top style="thin">
        <color indexed="23"/>
      </top>
      <bottom/>
      <diagonal/>
    </border>
    <border>
      <left/>
      <right/>
      <top style="thin">
        <color indexed="12"/>
      </top>
      <bottom style="thin">
        <color indexed="9"/>
      </bottom>
      <diagonal/>
    </border>
    <border>
      <left/>
      <right style="thin">
        <color indexed="9"/>
      </right>
      <top style="thin">
        <color indexed="12"/>
      </top>
      <bottom style="thin">
        <color indexed="9"/>
      </bottom>
      <diagonal/>
    </border>
    <border>
      <left style="thin">
        <color indexed="12"/>
      </left>
      <right/>
      <top style="thin">
        <color indexed="9"/>
      </top>
      <bottom style="thin">
        <color indexed="9"/>
      </bottom>
      <diagonal/>
    </border>
    <border>
      <left style="thin">
        <color indexed="48"/>
      </left>
      <right/>
      <top style="thin">
        <color indexed="11"/>
      </top>
      <bottom style="thin">
        <color indexed="9"/>
      </bottom>
      <diagonal/>
    </border>
    <border>
      <left/>
      <right/>
      <top style="thin">
        <color indexed="9"/>
      </top>
      <bottom/>
      <diagonal/>
    </border>
    <border>
      <left style="thin">
        <color indexed="12"/>
      </left>
      <right/>
      <top style="thin">
        <color indexed="9"/>
      </top>
      <bottom/>
      <diagonal/>
    </border>
    <border>
      <left/>
      <right style="thin">
        <color indexed="17"/>
      </right>
      <top/>
      <bottom style="thin">
        <color indexed="17"/>
      </bottom>
      <diagonal/>
    </border>
    <border>
      <left style="thin">
        <color indexed="50"/>
      </left>
      <right style="thin">
        <color indexed="50"/>
      </right>
      <top style="thin">
        <color indexed="17"/>
      </top>
      <bottom style="thin">
        <color indexed="17"/>
      </bottom>
      <diagonal/>
    </border>
    <border>
      <left style="medium">
        <color indexed="17"/>
      </left>
      <right style="thin">
        <color indexed="50"/>
      </right>
      <top style="thin">
        <color indexed="17"/>
      </top>
      <bottom style="thin">
        <color indexed="17"/>
      </bottom>
      <diagonal/>
    </border>
    <border>
      <left style="thin">
        <color indexed="50"/>
      </left>
      <right/>
      <top style="thin">
        <color indexed="17"/>
      </top>
      <bottom style="thin">
        <color indexed="17"/>
      </bottom>
      <diagonal/>
    </border>
    <border>
      <left/>
      <right/>
      <top style="medium">
        <color indexed="17"/>
      </top>
      <bottom style="medium">
        <color indexed="17"/>
      </bottom>
      <diagonal/>
    </border>
    <border>
      <left style="medium">
        <color indexed="17"/>
      </left>
      <right style="medium">
        <color indexed="17"/>
      </right>
      <top style="thin">
        <color indexed="17"/>
      </top>
      <bottom style="thin">
        <color indexed="17"/>
      </bottom>
      <diagonal/>
    </border>
    <border>
      <left style="medium">
        <color indexed="17"/>
      </left>
      <right style="thin">
        <color indexed="17"/>
      </right>
      <top style="thin">
        <color indexed="17"/>
      </top>
      <bottom style="thin">
        <color indexed="17"/>
      </bottom>
      <diagonal/>
    </border>
    <border>
      <left style="thin">
        <color indexed="9"/>
      </left>
      <right style="thin">
        <color indexed="9"/>
      </right>
      <top style="thin">
        <color indexed="23"/>
      </top>
      <bottom style="thin">
        <color indexed="9"/>
      </bottom>
      <diagonal/>
    </border>
    <border>
      <left style="thin">
        <color indexed="9"/>
      </left>
      <right/>
      <top/>
      <bottom style="thin">
        <color indexed="9"/>
      </bottom>
      <diagonal/>
    </border>
    <border>
      <left style="thin">
        <color indexed="9"/>
      </left>
      <right/>
      <top style="thin">
        <color indexed="9"/>
      </top>
      <bottom style="thin">
        <color indexed="23"/>
      </bottom>
      <diagonal/>
    </border>
    <border>
      <left style="thin">
        <color indexed="9"/>
      </left>
      <right style="thin">
        <color indexed="48"/>
      </right>
      <top/>
      <bottom style="thin">
        <color indexed="9"/>
      </bottom>
      <diagonal/>
    </border>
    <border>
      <left/>
      <right/>
      <top style="thin">
        <color indexed="55"/>
      </top>
      <bottom/>
      <diagonal/>
    </border>
    <border>
      <left style="thin">
        <color indexed="60"/>
      </left>
      <right style="thin">
        <color indexed="60"/>
      </right>
      <top style="thin">
        <color indexed="60"/>
      </top>
      <bottom/>
      <diagonal/>
    </border>
    <border>
      <left/>
      <right style="thin">
        <color indexed="12"/>
      </right>
      <top style="thin">
        <color indexed="12"/>
      </top>
      <bottom style="thin">
        <color indexed="12"/>
      </bottom>
      <diagonal/>
    </border>
    <border>
      <left/>
      <right/>
      <top/>
      <bottom style="thin">
        <color indexed="12"/>
      </bottom>
      <diagonal/>
    </border>
    <border>
      <left style="thin">
        <color indexed="48"/>
      </left>
      <right style="thin">
        <color indexed="48"/>
      </right>
      <top style="thin">
        <color indexed="48"/>
      </top>
      <bottom style="thin">
        <color indexed="48"/>
      </bottom>
      <diagonal/>
    </border>
    <border>
      <left style="medium">
        <color indexed="12"/>
      </left>
      <right style="medium">
        <color indexed="12"/>
      </right>
      <top style="thin">
        <color indexed="48"/>
      </top>
      <bottom style="thin">
        <color indexed="12"/>
      </bottom>
      <diagonal/>
    </border>
    <border>
      <left style="thin">
        <color indexed="55"/>
      </left>
      <right/>
      <top/>
      <bottom style="thin">
        <color indexed="55"/>
      </bottom>
      <diagonal/>
    </border>
    <border>
      <left style="thin">
        <color indexed="22"/>
      </left>
      <right style="thin">
        <color indexed="22"/>
      </right>
      <top/>
      <bottom style="thin">
        <color indexed="22"/>
      </bottom>
      <diagonal/>
    </border>
    <border>
      <left style="thick">
        <color indexed="13"/>
      </left>
      <right style="thick">
        <color indexed="13"/>
      </right>
      <top style="medium">
        <color indexed="55"/>
      </top>
      <bottom style="medium">
        <color indexed="55"/>
      </bottom>
      <diagonal/>
    </border>
    <border>
      <left/>
      <right style="medium">
        <color indexed="9"/>
      </right>
      <top style="medium">
        <color indexed="9"/>
      </top>
      <bottom/>
      <diagonal/>
    </border>
    <border>
      <left style="thin">
        <color indexed="22"/>
      </left>
      <right style="thin">
        <color indexed="22"/>
      </right>
      <top style="thin">
        <color indexed="22"/>
      </top>
      <bottom/>
      <diagonal/>
    </border>
    <border>
      <left style="thin">
        <color indexed="31"/>
      </left>
      <right style="thin">
        <color indexed="31"/>
      </right>
      <top style="thin">
        <color indexed="9"/>
      </top>
      <bottom/>
      <diagonal/>
    </border>
    <border>
      <left style="thin">
        <color indexed="9"/>
      </left>
      <right/>
      <top style="medium">
        <color indexed="55"/>
      </top>
      <bottom/>
      <diagonal/>
    </border>
    <border>
      <left/>
      <right/>
      <top style="medium">
        <color indexed="55"/>
      </top>
      <bottom/>
      <diagonal/>
    </border>
    <border>
      <left/>
      <right style="thick">
        <color indexed="13"/>
      </right>
      <top style="medium">
        <color indexed="55"/>
      </top>
      <bottom style="medium">
        <color indexed="55"/>
      </bottom>
      <diagonal/>
    </border>
    <border>
      <left/>
      <right style="thin">
        <color indexed="12"/>
      </right>
      <top/>
      <bottom style="thin">
        <color indexed="12"/>
      </bottom>
      <diagonal/>
    </border>
    <border>
      <left style="thin">
        <color indexed="12"/>
      </left>
      <right style="thin">
        <color indexed="12"/>
      </right>
      <top style="medium">
        <color indexed="12"/>
      </top>
      <bottom style="medium">
        <color indexed="12"/>
      </bottom>
      <diagonal/>
    </border>
    <border>
      <left style="thin">
        <color indexed="55"/>
      </left>
      <right style="thin">
        <color indexed="55"/>
      </right>
      <top style="thin">
        <color indexed="22"/>
      </top>
      <bottom style="thin">
        <color indexed="22"/>
      </bottom>
      <diagonal/>
    </border>
    <border>
      <left/>
      <right/>
      <top style="medium">
        <color indexed="55"/>
      </top>
      <bottom style="medium">
        <color indexed="55"/>
      </bottom>
      <diagonal/>
    </border>
    <border>
      <left/>
      <right style="medium">
        <color indexed="9"/>
      </right>
      <top style="thin">
        <color indexed="22"/>
      </top>
      <bottom style="thin">
        <color indexed="22"/>
      </bottom>
      <diagonal/>
    </border>
    <border>
      <left style="thin">
        <color indexed="40"/>
      </left>
      <right style="thin">
        <color indexed="40"/>
      </right>
      <top style="thin">
        <color indexed="48"/>
      </top>
      <bottom style="thin">
        <color indexed="12"/>
      </bottom>
      <diagonal/>
    </border>
    <border>
      <left style="medium">
        <color indexed="12"/>
      </left>
      <right style="thin">
        <color indexed="12"/>
      </right>
      <top style="thin">
        <color indexed="12"/>
      </top>
      <bottom style="thin">
        <color indexed="12"/>
      </bottom>
      <diagonal/>
    </border>
    <border>
      <left style="thin">
        <color indexed="12"/>
      </left>
      <right style="medium">
        <color indexed="12"/>
      </right>
      <top style="thin">
        <color indexed="12"/>
      </top>
      <bottom style="thin">
        <color indexed="12"/>
      </bottom>
      <diagonal/>
    </border>
    <border>
      <left style="medium">
        <color indexed="12"/>
      </left>
      <right style="thin">
        <color indexed="12"/>
      </right>
      <top/>
      <bottom style="thin">
        <color indexed="12"/>
      </bottom>
      <diagonal/>
    </border>
    <border>
      <left style="thin">
        <color indexed="12"/>
      </left>
      <right style="medium">
        <color indexed="12"/>
      </right>
      <top/>
      <bottom style="thin">
        <color indexed="12"/>
      </bottom>
      <diagonal/>
    </border>
    <border>
      <left style="thin">
        <color indexed="12"/>
      </left>
      <right style="medium">
        <color indexed="12"/>
      </right>
      <top style="thin">
        <color indexed="12"/>
      </top>
      <bottom/>
      <diagonal/>
    </border>
    <border>
      <left style="thin">
        <color indexed="55"/>
      </left>
      <right style="thin">
        <color indexed="55"/>
      </right>
      <top style="thin">
        <color indexed="22"/>
      </top>
      <bottom/>
      <diagonal/>
    </border>
    <border>
      <left style="thin">
        <color indexed="55"/>
      </left>
      <right style="thin">
        <color indexed="55"/>
      </right>
      <top/>
      <bottom style="thin">
        <color indexed="22"/>
      </bottom>
      <diagonal/>
    </border>
    <border>
      <left style="thin">
        <color indexed="55"/>
      </left>
      <right style="thin">
        <color indexed="55"/>
      </right>
      <top style="thin">
        <color indexed="22"/>
      </top>
      <bottom style="medium">
        <color indexed="55"/>
      </bottom>
      <diagonal/>
    </border>
    <border>
      <left style="thin">
        <color indexed="55"/>
      </left>
      <right style="thin">
        <color indexed="55"/>
      </right>
      <top style="medium">
        <color indexed="55"/>
      </top>
      <bottom style="thin">
        <color indexed="22"/>
      </bottom>
      <diagonal/>
    </border>
    <border>
      <left style="medium">
        <color indexed="12"/>
      </left>
      <right style="medium">
        <color indexed="12"/>
      </right>
      <top/>
      <bottom style="thin">
        <color indexed="12"/>
      </bottom>
      <diagonal/>
    </border>
    <border>
      <left style="hair">
        <color indexed="12"/>
      </left>
      <right style="thin">
        <color indexed="12"/>
      </right>
      <top style="thin">
        <color indexed="12"/>
      </top>
      <bottom style="thin">
        <color indexed="12"/>
      </bottom>
      <diagonal/>
    </border>
    <border>
      <left style="medium">
        <color indexed="12"/>
      </left>
      <right style="medium">
        <color indexed="12"/>
      </right>
      <top style="thin">
        <color indexed="12"/>
      </top>
      <bottom/>
      <diagonal/>
    </border>
    <border>
      <left style="medium">
        <color indexed="12"/>
      </left>
      <right style="medium">
        <color indexed="12"/>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diagonal/>
    </border>
    <border>
      <left style="hair">
        <color indexed="12"/>
      </left>
      <right style="hair">
        <color indexed="12"/>
      </right>
      <top/>
      <bottom style="thin">
        <color indexed="44"/>
      </bottom>
      <diagonal/>
    </border>
    <border>
      <left style="medium">
        <color indexed="12"/>
      </left>
      <right style="thin">
        <color indexed="40"/>
      </right>
      <top/>
      <bottom style="thin">
        <color indexed="12"/>
      </bottom>
      <diagonal/>
    </border>
    <border>
      <left style="thin">
        <color indexed="40"/>
      </left>
      <right style="thin">
        <color indexed="40"/>
      </right>
      <top/>
      <bottom style="thin">
        <color indexed="12"/>
      </bottom>
      <diagonal/>
    </border>
    <border>
      <left style="thin">
        <color indexed="40"/>
      </left>
      <right style="medium">
        <color indexed="12"/>
      </right>
      <top/>
      <bottom style="thin">
        <color indexed="12"/>
      </bottom>
      <diagonal/>
    </border>
    <border>
      <left style="thin">
        <color indexed="17"/>
      </left>
      <right style="thin">
        <color indexed="17"/>
      </right>
      <top style="thin">
        <color indexed="17"/>
      </top>
      <bottom/>
      <diagonal/>
    </border>
    <border>
      <left style="thin">
        <color indexed="17"/>
      </left>
      <right style="thin">
        <color indexed="17"/>
      </right>
      <top/>
      <bottom style="thin">
        <color indexed="17"/>
      </bottom>
      <diagonal/>
    </border>
    <border>
      <left style="thin">
        <color indexed="40"/>
      </left>
      <right/>
      <top/>
      <bottom style="thin">
        <color indexed="40"/>
      </bottom>
      <diagonal/>
    </border>
    <border>
      <left/>
      <right style="thin">
        <color indexed="40"/>
      </right>
      <top/>
      <bottom style="thin">
        <color indexed="40"/>
      </bottom>
      <diagonal/>
    </border>
    <border>
      <left style="thin">
        <color indexed="52"/>
      </left>
      <right style="thin">
        <color indexed="52"/>
      </right>
      <top style="thin">
        <color indexed="17"/>
      </top>
      <bottom/>
      <diagonal/>
    </border>
    <border>
      <left/>
      <right/>
      <top style="thin">
        <color indexed="17"/>
      </top>
      <bottom/>
      <diagonal/>
    </border>
    <border>
      <left/>
      <right/>
      <top/>
      <bottom style="thin">
        <color indexed="60"/>
      </bottom>
      <diagonal/>
    </border>
    <border>
      <left style="thin">
        <color indexed="52"/>
      </left>
      <right style="thin">
        <color indexed="52"/>
      </right>
      <top style="medium">
        <color indexed="17"/>
      </top>
      <bottom/>
      <diagonal/>
    </border>
    <border>
      <left style="thin">
        <color indexed="17"/>
      </left>
      <right style="thin">
        <color indexed="17"/>
      </right>
      <top/>
      <bottom/>
      <diagonal/>
    </border>
    <border>
      <left style="thin">
        <color indexed="9"/>
      </left>
      <right/>
      <top style="thin">
        <color indexed="9"/>
      </top>
      <bottom style="thin">
        <color indexed="9"/>
      </bottom>
      <diagonal/>
    </border>
    <border>
      <left/>
      <right style="thin">
        <color indexed="60"/>
      </right>
      <top style="thin">
        <color indexed="9"/>
      </top>
      <bottom style="thin">
        <color indexed="9"/>
      </bottom>
      <diagonal/>
    </border>
    <border>
      <left style="thin">
        <color indexed="9"/>
      </left>
      <right/>
      <top/>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style="thin">
        <color indexed="60"/>
      </right>
      <top style="thin">
        <color indexed="55"/>
      </top>
      <bottom style="thin">
        <color indexed="55"/>
      </bottom>
      <diagonal/>
    </border>
    <border>
      <left style="thin">
        <color indexed="9"/>
      </left>
      <right/>
      <top/>
      <bottom style="thin">
        <color indexed="55"/>
      </bottom>
      <diagonal/>
    </border>
    <border>
      <left/>
      <right style="thin">
        <color indexed="22"/>
      </right>
      <top/>
      <bottom style="thin">
        <color indexed="55"/>
      </bottom>
      <diagonal/>
    </border>
    <border>
      <left style="thin">
        <color indexed="55"/>
      </left>
      <right/>
      <top style="thin">
        <color indexed="60"/>
      </top>
      <bottom/>
      <diagonal/>
    </border>
    <border>
      <left/>
      <right style="thin">
        <color indexed="55"/>
      </right>
      <top style="thin">
        <color indexed="60"/>
      </top>
      <bottom/>
      <diagonal/>
    </border>
    <border>
      <left style="thin">
        <color indexed="55"/>
      </left>
      <right/>
      <top/>
      <bottom/>
      <diagonal/>
    </border>
    <border>
      <left/>
      <right style="thin">
        <color indexed="55"/>
      </right>
      <top/>
      <bottom/>
      <diagonal/>
    </border>
    <border>
      <left style="thin">
        <color indexed="55"/>
      </left>
      <right/>
      <top/>
      <bottom style="thin">
        <color indexed="60"/>
      </bottom>
      <diagonal/>
    </border>
    <border>
      <left/>
      <right style="thin">
        <color indexed="55"/>
      </right>
      <top/>
      <bottom style="thin">
        <color indexed="60"/>
      </bottom>
      <diagonal/>
    </border>
    <border>
      <left style="thin">
        <color indexed="9"/>
      </left>
      <right/>
      <top style="thin">
        <color indexed="55"/>
      </top>
      <bottom/>
      <diagonal/>
    </border>
    <border>
      <left/>
      <right style="thin">
        <color indexed="22"/>
      </right>
      <top style="thin">
        <color indexed="55"/>
      </top>
      <bottom/>
      <diagonal/>
    </border>
    <border>
      <left/>
      <right style="thin">
        <color indexed="17"/>
      </right>
      <top/>
      <bottom/>
      <diagonal/>
    </border>
    <border>
      <left style="thin">
        <color indexed="17"/>
      </left>
      <right style="thin">
        <color indexed="52"/>
      </right>
      <top/>
      <bottom style="thin">
        <color indexed="17"/>
      </bottom>
      <diagonal/>
    </border>
    <border>
      <left style="thin">
        <color indexed="52"/>
      </left>
      <right style="thin">
        <color indexed="52"/>
      </right>
      <top/>
      <bottom style="thin">
        <color indexed="17"/>
      </bottom>
      <diagonal/>
    </border>
    <border>
      <left style="thin">
        <color indexed="52"/>
      </left>
      <right style="thin">
        <color indexed="17"/>
      </right>
      <top/>
      <bottom style="thin">
        <color indexed="17"/>
      </bottom>
      <diagonal/>
    </border>
    <border>
      <left style="thin">
        <color indexed="12"/>
      </left>
      <right/>
      <top/>
      <bottom/>
      <diagonal/>
    </border>
    <border>
      <left style="thin">
        <color indexed="12"/>
      </left>
      <right/>
      <top/>
      <bottom style="thin">
        <color indexed="12"/>
      </bottom>
      <diagonal/>
    </border>
    <border>
      <left style="hair">
        <color indexed="12"/>
      </left>
      <right style="hair">
        <color indexed="12"/>
      </right>
      <top style="hair">
        <color indexed="12"/>
      </top>
      <bottom style="hair">
        <color indexed="12"/>
      </bottom>
      <diagonal/>
    </border>
    <border>
      <left style="hair">
        <color indexed="12"/>
      </left>
      <right style="thin">
        <color indexed="12"/>
      </right>
      <top style="hair">
        <color indexed="12"/>
      </top>
      <bottom style="hair">
        <color indexed="12"/>
      </bottom>
      <diagonal/>
    </border>
    <border>
      <left/>
      <right style="thin">
        <color indexed="55"/>
      </right>
      <top/>
      <bottom style="thin">
        <color indexed="55"/>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48"/>
      </top>
      <bottom style="thin">
        <color indexed="48"/>
      </bottom>
      <diagonal/>
    </border>
    <border>
      <left/>
      <right/>
      <top style="medium">
        <color indexed="10"/>
      </top>
      <bottom/>
      <diagonal/>
    </border>
    <border>
      <left style="medium">
        <color indexed="12"/>
      </left>
      <right/>
      <top style="thin">
        <color indexed="12"/>
      </top>
      <bottom style="thin">
        <color indexed="12"/>
      </bottom>
      <diagonal/>
    </border>
    <border>
      <left/>
      <right style="medium">
        <color indexed="12"/>
      </right>
      <top style="thin">
        <color indexed="12"/>
      </top>
      <bottom style="thin">
        <color indexed="12"/>
      </bottom>
      <diagonal/>
    </border>
    <border>
      <left style="thin">
        <color indexed="53"/>
      </left>
      <right/>
      <top style="thin">
        <color indexed="53"/>
      </top>
      <bottom style="thin">
        <color indexed="5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12"/>
      </left>
      <right/>
      <top style="medium">
        <color indexed="12"/>
      </top>
      <bottom style="medium">
        <color indexed="12"/>
      </bottom>
      <diagonal/>
    </border>
    <border>
      <left/>
      <right/>
      <top style="medium">
        <color indexed="12"/>
      </top>
      <bottom style="medium">
        <color indexed="12"/>
      </bottom>
      <diagonal/>
    </border>
    <border>
      <left/>
      <right style="medium">
        <color indexed="12"/>
      </right>
      <top style="medium">
        <color indexed="12"/>
      </top>
      <bottom style="medium">
        <color indexed="12"/>
      </bottom>
      <diagonal/>
    </border>
    <border>
      <left style="medium">
        <color indexed="17"/>
      </left>
      <right/>
      <top style="medium">
        <color indexed="17"/>
      </top>
      <bottom style="medium">
        <color indexed="17"/>
      </bottom>
      <diagonal/>
    </border>
    <border>
      <left/>
      <right style="medium">
        <color indexed="17"/>
      </right>
      <top style="medium">
        <color indexed="17"/>
      </top>
      <bottom style="medium">
        <color indexed="17"/>
      </bottom>
      <diagonal/>
    </border>
    <border>
      <left/>
      <right style="thin">
        <color indexed="55"/>
      </right>
      <top style="thin">
        <color indexed="55"/>
      </top>
      <bottom style="thin">
        <color indexed="55"/>
      </bottom>
      <diagonal/>
    </border>
    <border>
      <left/>
      <right style="thin">
        <color indexed="12"/>
      </right>
      <top style="medium">
        <color indexed="12"/>
      </top>
      <bottom style="medium">
        <color indexed="12"/>
      </bottom>
      <diagonal/>
    </border>
    <border>
      <left style="thin">
        <color indexed="12"/>
      </left>
      <right/>
      <top style="medium">
        <color indexed="12"/>
      </top>
      <bottom style="medium">
        <color indexed="12"/>
      </bottom>
      <diagonal/>
    </border>
    <border>
      <left style="thin">
        <color indexed="31"/>
      </left>
      <right/>
      <top style="thin">
        <color indexed="9"/>
      </top>
      <bottom style="thin">
        <color indexed="9"/>
      </bottom>
      <diagonal/>
    </border>
    <border>
      <left/>
      <right style="thin">
        <color indexed="31"/>
      </right>
      <top style="thin">
        <color indexed="9"/>
      </top>
      <bottom style="thin">
        <color indexed="9"/>
      </bottom>
      <diagonal/>
    </border>
    <border>
      <left style="thin">
        <color indexed="31"/>
      </left>
      <right/>
      <top/>
      <bottom/>
      <diagonal/>
    </border>
    <border>
      <left/>
      <right style="thin">
        <color indexed="31"/>
      </right>
      <top/>
      <bottom/>
      <diagonal/>
    </border>
    <border>
      <left style="thin">
        <color indexed="31"/>
      </left>
      <right/>
      <top/>
      <bottom style="thin">
        <color indexed="9"/>
      </bottom>
      <diagonal/>
    </border>
    <border>
      <left/>
      <right/>
      <top/>
      <bottom style="thin">
        <color indexed="9"/>
      </bottom>
      <diagonal/>
    </border>
    <border>
      <left/>
      <right style="thin">
        <color indexed="31"/>
      </right>
      <top/>
      <bottom style="thin">
        <color indexed="9"/>
      </bottom>
      <diagonal/>
    </border>
    <border>
      <left style="thin">
        <color indexed="31"/>
      </left>
      <right/>
      <top style="thin">
        <color indexed="55"/>
      </top>
      <bottom/>
      <diagonal/>
    </border>
    <border>
      <left/>
      <right style="thin">
        <color indexed="31"/>
      </right>
      <top style="thin">
        <color indexed="55"/>
      </top>
      <bottom/>
      <diagonal/>
    </border>
    <border>
      <left style="thin">
        <color indexed="55"/>
      </left>
      <right/>
      <top style="medium">
        <color indexed="55"/>
      </top>
      <bottom style="medium">
        <color indexed="55"/>
      </bottom>
      <diagonal/>
    </border>
    <border>
      <left/>
      <right style="thick">
        <color indexed="13"/>
      </right>
      <top/>
      <bottom/>
      <diagonal/>
    </border>
    <border>
      <left style="thin">
        <color indexed="64"/>
      </left>
      <right style="thin">
        <color indexed="64"/>
      </right>
      <top/>
      <bottom/>
      <diagonal/>
    </border>
    <border>
      <left style="medium">
        <color indexed="52"/>
      </left>
      <right/>
      <top style="medium">
        <color indexed="52"/>
      </top>
      <bottom style="medium">
        <color indexed="52"/>
      </bottom>
      <diagonal/>
    </border>
    <border>
      <left/>
      <right/>
      <top style="medium">
        <color indexed="52"/>
      </top>
      <bottom style="medium">
        <color indexed="52"/>
      </bottom>
      <diagonal/>
    </border>
    <border>
      <left/>
      <right style="medium">
        <color indexed="52"/>
      </right>
      <top style="medium">
        <color indexed="52"/>
      </top>
      <bottom style="medium">
        <color indexed="52"/>
      </bottom>
      <diagonal/>
    </border>
  </borders>
  <cellStyleXfs count="4">
    <xf numFmtId="0" fontId="0" fillId="0" borderId="0"/>
    <xf numFmtId="176" fontId="1" fillId="0" borderId="0" applyFont="0" applyFill="0" applyBorder="0" applyAlignment="0" applyProtection="0"/>
    <xf numFmtId="0" fontId="36" fillId="0" borderId="0" applyNumberFormat="0" applyFill="0" applyBorder="0" applyAlignment="0" applyProtection="0">
      <alignment vertical="top"/>
      <protection locked="0"/>
    </xf>
    <xf numFmtId="9" fontId="1" fillId="0" borderId="0" applyFont="0" applyFill="0" applyBorder="0" applyAlignment="0" applyProtection="0"/>
  </cellStyleXfs>
  <cellXfs count="624">
    <xf numFmtId="0" fontId="0" fillId="0" borderId="0" xfId="0"/>
    <xf numFmtId="0" fontId="0" fillId="0" borderId="0" xfId="0" applyAlignment="1">
      <alignment vertical="center"/>
    </xf>
    <xf numFmtId="0" fontId="2" fillId="6" borderId="10" xfId="0" applyFont="1" applyFill="1" applyBorder="1" applyAlignment="1">
      <alignment horizontal="center" vertical="center" wrapText="1"/>
    </xf>
    <xf numFmtId="0" fontId="2" fillId="6" borderId="10" xfId="0" applyFont="1" applyFill="1" applyBorder="1" applyAlignment="1">
      <alignment horizontal="left" vertical="center" wrapText="1"/>
    </xf>
    <xf numFmtId="0" fontId="17" fillId="0" borderId="0" xfId="0" applyFont="1" applyAlignment="1">
      <alignment horizontal="center"/>
    </xf>
    <xf numFmtId="49" fontId="18" fillId="0" borderId="0" xfId="0" applyNumberFormat="1" applyFont="1" applyAlignment="1">
      <alignment horizontal="center" vertical="center"/>
    </xf>
    <xf numFmtId="49" fontId="18" fillId="0" borderId="11" xfId="0" applyNumberFormat="1" applyFont="1" applyBorder="1" applyAlignment="1">
      <alignment horizontal="center" vertical="center"/>
    </xf>
    <xf numFmtId="49" fontId="20" fillId="7" borderId="11" xfId="0" applyNumberFormat="1" applyFont="1" applyFill="1" applyBorder="1" applyAlignment="1">
      <alignment horizontal="center" vertical="center"/>
    </xf>
    <xf numFmtId="49" fontId="19" fillId="7" borderId="11" xfId="0" applyNumberFormat="1" applyFont="1" applyFill="1" applyBorder="1" applyAlignment="1">
      <alignment horizontal="center" vertical="center"/>
    </xf>
    <xf numFmtId="49" fontId="20" fillId="7" borderId="12" xfId="0" quotePrefix="1" applyNumberFormat="1" applyFont="1" applyFill="1" applyBorder="1" applyAlignment="1">
      <alignment horizontal="center" vertical="center"/>
    </xf>
    <xf numFmtId="49" fontId="20" fillId="7" borderId="12" xfId="0" applyNumberFormat="1" applyFont="1" applyFill="1" applyBorder="1" applyAlignment="1">
      <alignment horizontal="center" vertical="center"/>
    </xf>
    <xf numFmtId="49" fontId="18" fillId="0" borderId="12" xfId="0" applyNumberFormat="1" applyFont="1" applyBorder="1" applyAlignment="1">
      <alignment horizontal="center" vertical="center"/>
    </xf>
    <xf numFmtId="0" fontId="13" fillId="6" borderId="10" xfId="0" applyFont="1" applyFill="1" applyBorder="1" applyAlignment="1">
      <alignment horizontal="left" vertical="center" wrapText="1"/>
    </xf>
    <xf numFmtId="0" fontId="13" fillId="6" borderId="10" xfId="0" applyFont="1" applyFill="1" applyBorder="1" applyAlignment="1">
      <alignment horizontal="center" vertical="center" wrapText="1"/>
    </xf>
    <xf numFmtId="0" fontId="21" fillId="6" borderId="10" xfId="0" applyFont="1" applyFill="1" applyBorder="1" applyAlignment="1">
      <alignment horizontal="left" vertical="center" wrapText="1"/>
    </xf>
    <xf numFmtId="0" fontId="21" fillId="6" borderId="13" xfId="0" applyFont="1" applyFill="1" applyBorder="1" applyAlignment="1">
      <alignment horizontal="left" vertical="center" wrapText="1"/>
    </xf>
    <xf numFmtId="0" fontId="11" fillId="0" borderId="14" xfId="0" applyFont="1" applyFill="1" applyBorder="1" applyAlignment="1">
      <alignment horizontal="center"/>
    </xf>
    <xf numFmtId="0" fontId="2" fillId="6" borderId="15" xfId="0" applyFont="1" applyFill="1" applyBorder="1" applyAlignment="1">
      <alignment horizontal="center" vertical="center" wrapText="1"/>
    </xf>
    <xf numFmtId="0" fontId="0" fillId="0" borderId="0" xfId="0" applyBorder="1" applyAlignment="1">
      <alignment vertical="center"/>
    </xf>
    <xf numFmtId="0" fontId="0" fillId="0" borderId="0" xfId="0" applyAlignment="1">
      <alignment horizontal="center" vertical="center"/>
    </xf>
    <xf numFmtId="0" fontId="0" fillId="0" borderId="18" xfId="0" applyBorder="1" applyAlignment="1">
      <alignment vertical="center"/>
    </xf>
    <xf numFmtId="0" fontId="3" fillId="0" borderId="0" xfId="0" applyFont="1" applyAlignment="1">
      <alignment vertical="center"/>
    </xf>
    <xf numFmtId="0" fontId="10" fillId="0" borderId="0" xfId="0" applyFont="1" applyAlignment="1">
      <alignment horizontal="right" vertical="center"/>
    </xf>
    <xf numFmtId="0" fontId="28" fillId="9" borderId="19" xfId="0" applyFont="1" applyFill="1" applyBorder="1" applyAlignment="1">
      <alignment horizontal="center"/>
    </xf>
    <xf numFmtId="0" fontId="2" fillId="4" borderId="19" xfId="0" applyFont="1" applyFill="1" applyBorder="1"/>
    <xf numFmtId="0" fontId="2" fillId="4" borderId="19" xfId="0" quotePrefix="1" applyFont="1" applyFill="1" applyBorder="1"/>
    <xf numFmtId="185" fontId="29" fillId="0" borderId="1" xfId="0" applyNumberFormat="1" applyFont="1" applyBorder="1" applyAlignment="1">
      <alignment horizontal="center" vertical="center"/>
    </xf>
    <xf numFmtId="0" fontId="6" fillId="0" borderId="0" xfId="0" applyFont="1" applyAlignment="1">
      <alignment vertical="center"/>
    </xf>
    <xf numFmtId="185" fontId="27" fillId="0" borderId="20" xfId="0" applyNumberFormat="1" applyFont="1" applyBorder="1" applyAlignment="1">
      <alignment horizontal="center" vertical="center"/>
    </xf>
    <xf numFmtId="0" fontId="0" fillId="0" borderId="0" xfId="0" applyAlignment="1">
      <alignment horizontal="left" vertical="center"/>
    </xf>
    <xf numFmtId="0" fontId="25" fillId="4" borderId="0" xfId="0" applyFont="1" applyFill="1" applyBorder="1" applyAlignment="1">
      <alignment horizontal="center" vertical="center" wrapText="1"/>
    </xf>
    <xf numFmtId="0" fontId="0" fillId="0" borderId="21" xfId="0" applyBorder="1" applyAlignment="1">
      <alignment vertical="center"/>
    </xf>
    <xf numFmtId="0" fontId="0" fillId="0" borderId="22" xfId="0" applyBorder="1" applyAlignment="1">
      <alignment vertical="center"/>
    </xf>
    <xf numFmtId="9" fontId="15" fillId="6" borderId="23" xfId="0" applyNumberFormat="1" applyFont="1" applyFill="1" applyBorder="1" applyAlignment="1">
      <alignment horizontal="center" vertical="center"/>
    </xf>
    <xf numFmtId="185" fontId="27" fillId="0" borderId="24" xfId="0" applyNumberFormat="1" applyFont="1" applyBorder="1" applyAlignment="1">
      <alignment horizontal="center" vertical="center"/>
    </xf>
    <xf numFmtId="9" fontId="14" fillId="3" borderId="1" xfId="0" applyNumberFormat="1" applyFont="1" applyFill="1" applyBorder="1" applyAlignment="1">
      <alignment horizontal="center" vertical="center" wrapText="1"/>
    </xf>
    <xf numFmtId="187" fontId="29" fillId="0" borderId="0" xfId="0" applyNumberFormat="1" applyFont="1" applyFill="1" applyAlignment="1">
      <alignment horizontal="left" vertical="center" indent="1"/>
    </xf>
    <xf numFmtId="9" fontId="30" fillId="0" borderId="0" xfId="3" applyFont="1" applyAlignment="1">
      <alignment horizontal="center" vertical="center"/>
    </xf>
    <xf numFmtId="0" fontId="31" fillId="0" borderId="0" xfId="0" applyFont="1" applyAlignment="1">
      <alignment vertical="center"/>
    </xf>
    <xf numFmtId="179" fontId="15" fillId="0" borderId="0" xfId="3" applyNumberFormat="1" applyFont="1" applyAlignment="1">
      <alignment horizontal="center" vertical="center"/>
    </xf>
    <xf numFmtId="185" fontId="27" fillId="0" borderId="25" xfId="0" applyNumberFormat="1" applyFont="1" applyBorder="1" applyAlignment="1">
      <alignment horizontal="center" vertical="center"/>
    </xf>
    <xf numFmtId="185" fontId="27" fillId="0" borderId="17" xfId="0" applyNumberFormat="1" applyFont="1" applyBorder="1" applyAlignment="1">
      <alignment horizontal="center" vertical="center"/>
    </xf>
    <xf numFmtId="185" fontId="27" fillId="0" borderId="4" xfId="0" applyNumberFormat="1" applyFont="1" applyBorder="1" applyAlignment="1">
      <alignment horizontal="center" vertical="center"/>
    </xf>
    <xf numFmtId="188" fontId="6" fillId="0" borderId="0" xfId="0" applyNumberFormat="1" applyFont="1" applyAlignment="1">
      <alignment horizontal="center" vertical="center"/>
    </xf>
    <xf numFmtId="179" fontId="27" fillId="0" borderId="0" xfId="3" applyNumberFormat="1" applyFont="1" applyAlignment="1">
      <alignment horizontal="center" vertical="center"/>
    </xf>
    <xf numFmtId="189" fontId="15" fillId="2" borderId="4" xfId="0" applyNumberFormat="1" applyFont="1" applyFill="1" applyBorder="1" applyAlignment="1">
      <alignment horizontal="center" vertical="center"/>
    </xf>
    <xf numFmtId="190" fontId="15" fillId="2" borderId="26" xfId="0" applyNumberFormat="1" applyFont="1" applyFill="1" applyBorder="1" applyAlignment="1">
      <alignment horizontal="center" vertical="center"/>
    </xf>
    <xf numFmtId="0" fontId="0" fillId="0" borderId="27" xfId="0" applyBorder="1" applyAlignment="1">
      <alignment vertical="center"/>
    </xf>
    <xf numFmtId="0" fontId="0" fillId="0" borderId="28" xfId="0" applyBorder="1" applyAlignment="1">
      <alignment vertical="center"/>
    </xf>
    <xf numFmtId="0" fontId="0" fillId="10" borderId="0" xfId="0" applyFill="1" applyAlignment="1">
      <alignment horizontal="center" vertical="center"/>
    </xf>
    <xf numFmtId="190" fontId="27" fillId="2" borderId="17" xfId="0" applyNumberFormat="1" applyFont="1" applyFill="1" applyBorder="1" applyAlignment="1">
      <alignment horizontal="center" vertical="center"/>
    </xf>
    <xf numFmtId="0" fontId="0" fillId="0" borderId="0" xfId="0" quotePrefix="1" applyAlignment="1">
      <alignment vertical="center"/>
    </xf>
    <xf numFmtId="9" fontId="14" fillId="3" borderId="29" xfId="0" applyNumberFormat="1" applyFont="1" applyFill="1" applyBorder="1" applyAlignment="1">
      <alignment horizontal="center" vertical="center" wrapText="1"/>
    </xf>
    <xf numFmtId="0" fontId="14" fillId="3" borderId="29" xfId="0" applyNumberFormat="1" applyFont="1" applyFill="1" applyBorder="1" applyAlignment="1">
      <alignment horizontal="center" vertical="center" wrapText="1"/>
    </xf>
    <xf numFmtId="0" fontId="3" fillId="0" borderId="0" xfId="0" applyFont="1" applyAlignment="1">
      <alignment horizontal="center" vertical="center"/>
    </xf>
    <xf numFmtId="185" fontId="29" fillId="0" borderId="30" xfId="0" applyNumberFormat="1" applyFont="1" applyBorder="1" applyAlignment="1">
      <alignment horizontal="center" vertical="center"/>
    </xf>
    <xf numFmtId="185" fontId="29" fillId="0" borderId="31" xfId="0" applyNumberFormat="1" applyFont="1" applyBorder="1" applyAlignment="1">
      <alignment horizontal="center" vertical="center"/>
    </xf>
    <xf numFmtId="0" fontId="25" fillId="4" borderId="0" xfId="0" applyFont="1" applyFill="1" applyBorder="1" applyAlignment="1">
      <alignment horizontal="left" vertical="center" wrapText="1"/>
    </xf>
    <xf numFmtId="2" fontId="7" fillId="0" borderId="0" xfId="0" applyNumberFormat="1" applyFont="1" applyAlignment="1">
      <alignment horizontal="center" vertical="center"/>
    </xf>
    <xf numFmtId="0" fontId="8" fillId="0" borderId="0" xfId="0" applyFont="1" applyAlignment="1">
      <alignment horizontal="center" vertical="center"/>
    </xf>
    <xf numFmtId="0" fontId="0" fillId="5" borderId="32" xfId="0" applyFill="1" applyBorder="1" applyAlignment="1">
      <alignment horizontal="center" vertical="center"/>
    </xf>
    <xf numFmtId="0" fontId="7" fillId="5" borderId="33" xfId="0" applyFont="1" applyFill="1" applyBorder="1" applyAlignment="1">
      <alignment vertical="center"/>
    </xf>
    <xf numFmtId="0" fontId="0" fillId="5" borderId="34" xfId="0" applyFill="1" applyBorder="1" applyAlignment="1">
      <alignment horizontal="center" vertical="center"/>
    </xf>
    <xf numFmtId="0" fontId="0" fillId="5" borderId="35" xfId="0" applyFill="1" applyBorder="1" applyAlignment="1">
      <alignment horizontal="center" vertical="center"/>
    </xf>
    <xf numFmtId="0" fontId="7" fillId="5" borderId="0" xfId="0" applyFont="1" applyFill="1" applyBorder="1" applyAlignment="1">
      <alignment vertical="center"/>
    </xf>
    <xf numFmtId="0" fontId="0" fillId="5" borderId="36" xfId="0" applyFill="1" applyBorder="1" applyAlignment="1">
      <alignment horizontal="center" vertical="center"/>
    </xf>
    <xf numFmtId="0" fontId="0" fillId="5" borderId="37" xfId="0" applyFill="1" applyBorder="1" applyAlignment="1">
      <alignment horizontal="center" vertical="center"/>
    </xf>
    <xf numFmtId="0" fontId="7" fillId="5" borderId="38" xfId="0" applyFont="1" applyFill="1" applyBorder="1" applyAlignment="1">
      <alignment vertical="center"/>
    </xf>
    <xf numFmtId="0" fontId="0" fillId="5" borderId="39" xfId="0" applyFill="1" applyBorder="1" applyAlignment="1">
      <alignment horizontal="center" vertical="center"/>
    </xf>
    <xf numFmtId="0" fontId="33" fillId="0" borderId="0" xfId="0" applyFont="1" applyAlignment="1">
      <alignment horizontal="center" vertical="center"/>
    </xf>
    <xf numFmtId="0" fontId="0" fillId="5" borderId="33" xfId="0" applyFill="1" applyBorder="1" applyAlignment="1">
      <alignment horizontal="center" vertical="center"/>
    </xf>
    <xf numFmtId="0" fontId="0" fillId="5" borderId="0" xfId="0" applyFill="1" applyBorder="1" applyAlignment="1">
      <alignment horizontal="center" vertical="center"/>
    </xf>
    <xf numFmtId="0" fontId="0" fillId="5" borderId="38" xfId="0" applyFill="1" applyBorder="1" applyAlignment="1">
      <alignment horizontal="center" vertical="center"/>
    </xf>
    <xf numFmtId="0" fontId="10" fillId="7" borderId="1" xfId="0" applyFont="1" applyFill="1" applyBorder="1" applyAlignment="1">
      <alignment horizontal="left" vertical="center" indent="2"/>
    </xf>
    <xf numFmtId="0" fontId="32" fillId="3" borderId="41" xfId="0" applyFont="1" applyFill="1" applyBorder="1" applyAlignment="1">
      <alignment vertical="center"/>
    </xf>
    <xf numFmtId="0" fontId="10" fillId="11" borderId="42" xfId="0" applyFont="1" applyFill="1" applyBorder="1" applyAlignment="1">
      <alignment horizontal="left" vertical="center" indent="1"/>
    </xf>
    <xf numFmtId="0" fontId="26" fillId="11" borderId="42" xfId="0" applyFont="1" applyFill="1" applyBorder="1" applyAlignment="1">
      <alignment horizontal="left" vertical="center" indent="1"/>
    </xf>
    <xf numFmtId="0" fontId="16" fillId="11" borderId="42" xfId="0" applyFont="1" applyFill="1" applyBorder="1" applyAlignment="1">
      <alignment horizontal="left" vertical="center" indent="1"/>
    </xf>
    <xf numFmtId="0" fontId="35" fillId="0" borderId="0" xfId="0" applyFont="1" applyAlignment="1">
      <alignment horizontal="center"/>
    </xf>
    <xf numFmtId="191" fontId="29" fillId="0" borderId="43" xfId="0" applyNumberFormat="1" applyFont="1" applyBorder="1" applyAlignment="1">
      <alignment horizontal="center" vertical="center"/>
    </xf>
    <xf numFmtId="0" fontId="25" fillId="4" borderId="0" xfId="0" applyFont="1" applyFill="1" applyBorder="1" applyAlignment="1">
      <alignment horizontal="center" wrapText="1"/>
    </xf>
    <xf numFmtId="0" fontId="3" fillId="0" borderId="0" xfId="0" applyFont="1" applyAlignment="1">
      <alignment horizontal="center"/>
    </xf>
    <xf numFmtId="0" fontId="0" fillId="0" borderId="0" xfId="0" applyAlignment="1">
      <alignment horizontal="center"/>
    </xf>
    <xf numFmtId="9" fontId="3" fillId="11" borderId="0" xfId="3" applyFont="1" applyFill="1" applyAlignment="1">
      <alignment horizontal="center" vertical="center"/>
    </xf>
    <xf numFmtId="0" fontId="0" fillId="12" borderId="0" xfId="0" applyFill="1" applyAlignment="1">
      <alignment vertical="center"/>
    </xf>
    <xf numFmtId="0" fontId="0" fillId="0" borderId="0" xfId="0" applyAlignment="1">
      <alignment vertical="center" wrapText="1"/>
    </xf>
    <xf numFmtId="0" fontId="13" fillId="0" borderId="0" xfId="0" applyFont="1" applyAlignment="1">
      <alignment vertical="center"/>
    </xf>
    <xf numFmtId="9" fontId="6" fillId="4" borderId="0" xfId="3" applyFont="1" applyFill="1" applyAlignment="1">
      <alignment horizontal="center" vertical="center"/>
    </xf>
    <xf numFmtId="2" fontId="27" fillId="6" borderId="0" xfId="0" applyNumberFormat="1" applyFont="1" applyFill="1" applyAlignment="1">
      <alignment horizontal="center" vertical="center"/>
    </xf>
    <xf numFmtId="9" fontId="6" fillId="0" borderId="0" xfId="0" applyNumberFormat="1" applyFont="1" applyAlignment="1">
      <alignment horizontal="left" vertical="center"/>
    </xf>
    <xf numFmtId="185" fontId="27" fillId="7" borderId="25" xfId="0" applyNumberFormat="1" applyFont="1" applyFill="1" applyBorder="1" applyAlignment="1">
      <alignment horizontal="center" vertical="center"/>
    </xf>
    <xf numFmtId="0" fontId="3" fillId="0" borderId="19" xfId="0" applyFont="1" applyBorder="1" applyAlignment="1">
      <alignment vertical="center"/>
    </xf>
    <xf numFmtId="0" fontId="32" fillId="3" borderId="41" xfId="0" quotePrefix="1" applyFont="1" applyFill="1" applyBorder="1" applyAlignment="1">
      <alignment vertical="center"/>
    </xf>
    <xf numFmtId="0" fontId="0" fillId="0" borderId="0" xfId="0" applyAlignment="1">
      <alignment horizontal="center" vertical="center" wrapText="1"/>
    </xf>
    <xf numFmtId="0" fontId="0" fillId="0" borderId="0" xfId="0" applyFill="1" applyAlignment="1">
      <alignment horizontal="center" vertical="center" wrapText="1"/>
    </xf>
    <xf numFmtId="0" fontId="42" fillId="7" borderId="25" xfId="0" applyFont="1" applyFill="1" applyBorder="1" applyAlignment="1">
      <alignment horizontal="center" vertical="center" wrapText="1"/>
    </xf>
    <xf numFmtId="0" fontId="12" fillId="0" borderId="0" xfId="0" applyFont="1" applyAlignment="1">
      <alignment vertical="center" wrapText="1"/>
    </xf>
    <xf numFmtId="0" fontId="13" fillId="0" borderId="0" xfId="0" applyFont="1" applyAlignment="1">
      <alignment horizontal="center" vertical="center" wrapText="1"/>
    </xf>
    <xf numFmtId="0" fontId="12" fillId="0" borderId="47" xfId="0" applyFont="1" applyBorder="1" applyAlignment="1">
      <alignment vertical="center" wrapText="1"/>
    </xf>
    <xf numFmtId="0" fontId="42" fillId="7" borderId="48" xfId="0" applyFont="1" applyFill="1" applyBorder="1" applyAlignment="1">
      <alignment horizontal="center" vertical="center" wrapText="1"/>
    </xf>
    <xf numFmtId="0" fontId="42" fillId="7" borderId="49" xfId="0" applyFont="1" applyFill="1" applyBorder="1" applyAlignment="1">
      <alignment horizontal="center" vertical="center" wrapText="1"/>
    </xf>
    <xf numFmtId="0" fontId="42" fillId="7" borderId="50" xfId="0" applyFont="1" applyFill="1" applyBorder="1" applyAlignment="1">
      <alignment horizontal="center" vertical="center" wrapText="1"/>
    </xf>
    <xf numFmtId="194" fontId="28" fillId="9" borderId="51" xfId="0" applyNumberFormat="1" applyFont="1" applyFill="1" applyBorder="1" applyAlignment="1">
      <alignment horizontal="center" vertical="center" wrapText="1"/>
    </xf>
    <xf numFmtId="0" fontId="0" fillId="0" borderId="0" xfId="0" applyFill="1" applyAlignment="1">
      <alignment vertical="center"/>
    </xf>
    <xf numFmtId="9" fontId="10" fillId="0" borderId="52" xfId="3" applyFont="1" applyBorder="1" applyAlignment="1">
      <alignment horizontal="center" vertical="center" wrapText="1"/>
    </xf>
    <xf numFmtId="9" fontId="10" fillId="6" borderId="52" xfId="3" applyFont="1" applyFill="1" applyBorder="1" applyAlignment="1">
      <alignment horizontal="center" vertical="center" wrapText="1"/>
    </xf>
    <xf numFmtId="0" fontId="7" fillId="0" borderId="53" xfId="0" applyFont="1" applyBorder="1" applyAlignment="1">
      <alignment vertical="center"/>
    </xf>
    <xf numFmtId="0" fontId="7" fillId="5" borderId="53" xfId="0" applyFont="1" applyFill="1" applyBorder="1" applyAlignment="1">
      <alignment horizontal="center" vertical="center"/>
    </xf>
    <xf numFmtId="0" fontId="6" fillId="0" borderId="0" xfId="0" applyFont="1" applyFill="1" applyBorder="1" applyAlignment="1">
      <alignment horizontal="center" vertical="center"/>
    </xf>
    <xf numFmtId="0" fontId="34" fillId="9" borderId="0" xfId="0" applyFont="1" applyFill="1" applyAlignment="1">
      <alignment vertical="center" wrapText="1"/>
    </xf>
    <xf numFmtId="0" fontId="34" fillId="9" borderId="0" xfId="0" applyFont="1" applyFill="1" applyAlignment="1">
      <alignment horizontal="center" vertical="center" wrapText="1"/>
    </xf>
    <xf numFmtId="194" fontId="28" fillId="9" borderId="54" xfId="0" applyNumberFormat="1" applyFont="1" applyFill="1" applyBorder="1" applyAlignment="1">
      <alignment horizontal="center" vertical="center" wrapText="1"/>
    </xf>
    <xf numFmtId="194" fontId="45" fillId="9" borderId="45" xfId="0" applyNumberFormat="1" applyFont="1" applyFill="1" applyBorder="1" applyAlignment="1">
      <alignment horizontal="center" vertical="center" wrapText="1"/>
    </xf>
    <xf numFmtId="0" fontId="7" fillId="5" borderId="53" xfId="0" applyFont="1" applyFill="1" applyBorder="1" applyAlignment="1">
      <alignment vertical="center"/>
    </xf>
    <xf numFmtId="0" fontId="0" fillId="16" borderId="53" xfId="0" applyFill="1" applyBorder="1" applyAlignment="1">
      <alignment horizontal="center" vertical="center"/>
    </xf>
    <xf numFmtId="193" fontId="0" fillId="3" borderId="1" xfId="0" applyNumberFormat="1" applyFill="1" applyBorder="1" applyAlignment="1">
      <alignment horizontal="center" vertical="center" wrapText="1"/>
    </xf>
    <xf numFmtId="9" fontId="10" fillId="6" borderId="55" xfId="3" applyFont="1" applyFill="1" applyBorder="1" applyAlignment="1">
      <alignment horizontal="center" vertical="center" wrapText="1"/>
    </xf>
    <xf numFmtId="0" fontId="0" fillId="15" borderId="0" xfId="0" applyFill="1" applyAlignment="1">
      <alignment horizontal="center" vertical="center"/>
    </xf>
    <xf numFmtId="0" fontId="0" fillId="15" borderId="0" xfId="0" applyFill="1" applyAlignment="1">
      <alignment horizontal="left" vertical="center"/>
    </xf>
    <xf numFmtId="0" fontId="0" fillId="15" borderId="0" xfId="0" applyFill="1" applyAlignment="1">
      <alignment vertical="center"/>
    </xf>
    <xf numFmtId="0" fontId="46" fillId="0" borderId="0" xfId="0" applyFont="1" applyAlignment="1">
      <alignment horizontal="left" vertical="center"/>
    </xf>
    <xf numFmtId="0" fontId="22" fillId="0" borderId="0" xfId="0" applyFont="1" applyAlignment="1">
      <alignment horizontal="center" vertical="center"/>
    </xf>
    <xf numFmtId="0" fontId="22" fillId="0" borderId="0" xfId="0" applyFont="1" applyBorder="1" applyAlignment="1">
      <alignment horizontal="left"/>
    </xf>
    <xf numFmtId="9" fontId="15" fillId="6" borderId="56" xfId="0" applyNumberFormat="1" applyFont="1" applyFill="1" applyBorder="1" applyAlignment="1">
      <alignment horizontal="center" vertical="center"/>
    </xf>
    <xf numFmtId="187" fontId="29" fillId="0" borderId="57" xfId="0" applyNumberFormat="1" applyFont="1" applyFill="1" applyBorder="1" applyAlignment="1">
      <alignment horizontal="left" vertical="center" indent="1"/>
    </xf>
    <xf numFmtId="0" fontId="25" fillId="4" borderId="57" xfId="0" applyFont="1" applyFill="1" applyBorder="1" applyAlignment="1">
      <alignment horizontal="center" vertical="center" wrapText="1"/>
    </xf>
    <xf numFmtId="0" fontId="10" fillId="7" borderId="58" xfId="0" applyFont="1" applyFill="1" applyBorder="1" applyAlignment="1">
      <alignment horizontal="left" vertical="center" indent="2"/>
    </xf>
    <xf numFmtId="9" fontId="14" fillId="7" borderId="59" xfId="0" applyNumberFormat="1" applyFont="1" applyFill="1" applyBorder="1" applyAlignment="1">
      <alignment horizontal="center" vertical="center" wrapText="1"/>
    </xf>
    <xf numFmtId="0" fontId="10" fillId="3" borderId="58" xfId="0" applyFont="1" applyFill="1" applyBorder="1" applyAlignment="1">
      <alignment horizontal="left" vertical="center" indent="2"/>
    </xf>
    <xf numFmtId="9" fontId="14" fillId="3" borderId="59" xfId="0" applyNumberFormat="1" applyFont="1" applyFill="1" applyBorder="1" applyAlignment="1">
      <alignment horizontal="center" vertical="center" wrapText="1"/>
    </xf>
    <xf numFmtId="0" fontId="26" fillId="0" borderId="60" xfId="0" applyFont="1" applyFill="1" applyBorder="1" applyAlignment="1">
      <alignment horizontal="left" vertical="center"/>
    </xf>
    <xf numFmtId="0" fontId="43" fillId="3" borderId="61" xfId="0" applyFont="1" applyFill="1" applyBorder="1" applyAlignment="1">
      <alignment vertical="center"/>
    </xf>
    <xf numFmtId="0" fontId="22" fillId="0" borderId="0" xfId="0" applyFont="1" applyAlignment="1">
      <alignment horizontal="right" vertical="center"/>
    </xf>
    <xf numFmtId="0" fontId="25" fillId="4" borderId="0" xfId="0" applyFont="1" applyFill="1" applyBorder="1" applyAlignment="1">
      <alignment horizontal="right" vertical="center" wrapText="1"/>
    </xf>
    <xf numFmtId="0" fontId="26" fillId="0" borderId="60" xfId="0" applyFont="1" applyFill="1" applyBorder="1" applyAlignment="1">
      <alignment horizontal="right" vertical="center"/>
    </xf>
    <xf numFmtId="0" fontId="0" fillId="0" borderId="0" xfId="0" applyAlignment="1">
      <alignment horizontal="right" vertical="center"/>
    </xf>
    <xf numFmtId="0" fontId="22" fillId="0" borderId="0" xfId="0" applyFont="1" applyBorder="1" applyAlignment="1">
      <alignment horizontal="right"/>
    </xf>
    <xf numFmtId="0" fontId="0" fillId="10" borderId="0" xfId="0" applyFill="1" applyAlignment="1">
      <alignment horizontal="right" vertical="center"/>
    </xf>
    <xf numFmtId="0" fontId="48" fillId="3" borderId="62" xfId="0" applyFont="1" applyFill="1" applyBorder="1" applyAlignment="1">
      <alignment horizontal="right"/>
    </xf>
    <xf numFmtId="190" fontId="15" fillId="2" borderId="63" xfId="0" applyNumberFormat="1" applyFont="1" applyFill="1" applyBorder="1" applyAlignment="1">
      <alignment horizontal="center" vertical="center"/>
    </xf>
    <xf numFmtId="0" fontId="25" fillId="4" borderId="64" xfId="0" applyFont="1" applyFill="1" applyBorder="1" applyAlignment="1">
      <alignment horizontal="right" vertical="center" wrapText="1"/>
    </xf>
    <xf numFmtId="0" fontId="0" fillId="0" borderId="65" xfId="0" applyBorder="1" applyAlignment="1">
      <alignment horizontal="center" vertical="center"/>
    </xf>
    <xf numFmtId="9" fontId="14" fillId="0" borderId="66" xfId="0" applyNumberFormat="1" applyFont="1" applyFill="1" applyBorder="1" applyAlignment="1">
      <alignment horizontal="right" vertical="center" wrapText="1"/>
    </xf>
    <xf numFmtId="0" fontId="0" fillId="0" borderId="67" xfId="0" applyFill="1" applyBorder="1" applyAlignment="1">
      <alignment horizontal="center" vertical="center"/>
    </xf>
    <xf numFmtId="194" fontId="28" fillId="9" borderId="68" xfId="0" applyNumberFormat="1" applyFont="1" applyFill="1" applyBorder="1" applyAlignment="1">
      <alignment horizontal="center" vertical="center" wrapText="1"/>
    </xf>
    <xf numFmtId="197" fontId="8" fillId="2" borderId="53" xfId="0" applyNumberFormat="1" applyFont="1" applyFill="1" applyBorder="1" applyAlignment="1">
      <alignment horizontal="center" vertical="center" wrapText="1"/>
    </xf>
    <xf numFmtId="197" fontId="8" fillId="17" borderId="69" xfId="0" applyNumberFormat="1" applyFont="1" applyFill="1" applyBorder="1" applyAlignment="1">
      <alignment horizontal="center" vertical="center" wrapText="1"/>
    </xf>
    <xf numFmtId="197" fontId="8" fillId="7" borderId="53" xfId="0" applyNumberFormat="1" applyFont="1" applyFill="1" applyBorder="1" applyAlignment="1">
      <alignment horizontal="center" vertical="center" wrapText="1"/>
    </xf>
    <xf numFmtId="197" fontId="8" fillId="2" borderId="69" xfId="0" applyNumberFormat="1" applyFont="1" applyFill="1" applyBorder="1" applyAlignment="1">
      <alignment horizontal="center" vertical="center" wrapText="1"/>
    </xf>
    <xf numFmtId="197" fontId="8" fillId="7" borderId="70" xfId="0" applyNumberFormat="1" applyFont="1" applyFill="1" applyBorder="1" applyAlignment="1">
      <alignment horizontal="center" vertical="center" wrapText="1"/>
    </xf>
    <xf numFmtId="9" fontId="10" fillId="5" borderId="55" xfId="3" applyFont="1" applyFill="1" applyBorder="1" applyAlignment="1">
      <alignment horizontal="center" vertical="center" wrapText="1"/>
    </xf>
    <xf numFmtId="193" fontId="8" fillId="2" borderId="53" xfId="0" applyNumberFormat="1" applyFont="1" applyFill="1" applyBorder="1" applyAlignment="1">
      <alignment horizontal="center" vertical="center" wrapText="1"/>
    </xf>
    <xf numFmtId="193" fontId="8" fillId="7" borderId="53" xfId="0" applyNumberFormat="1" applyFont="1" applyFill="1" applyBorder="1" applyAlignment="1">
      <alignment horizontal="center" vertical="center" wrapText="1"/>
    </xf>
    <xf numFmtId="0" fontId="34" fillId="9" borderId="0" xfId="0" applyFont="1" applyFill="1" applyAlignment="1">
      <alignment horizontal="center" vertical="center"/>
    </xf>
    <xf numFmtId="0" fontId="41" fillId="9" borderId="0" xfId="0" applyFont="1" applyFill="1" applyAlignment="1">
      <alignment horizontal="right" vertical="center"/>
    </xf>
    <xf numFmtId="0" fontId="53" fillId="0" borderId="0" xfId="0" applyFont="1" applyAlignment="1">
      <alignment vertical="center"/>
    </xf>
    <xf numFmtId="0" fontId="53" fillId="0" borderId="0" xfId="0" applyFont="1" applyAlignment="1">
      <alignment vertical="center" wrapText="1"/>
    </xf>
    <xf numFmtId="0" fontId="41" fillId="8" borderId="69" xfId="0" applyFont="1" applyFill="1" applyBorder="1" applyAlignment="1">
      <alignment horizontal="center" vertical="center" wrapText="1"/>
    </xf>
    <xf numFmtId="9" fontId="34" fillId="8" borderId="53" xfId="3" applyFont="1" applyFill="1" applyBorder="1" applyAlignment="1">
      <alignment horizontal="center" vertical="center"/>
    </xf>
    <xf numFmtId="0" fontId="7" fillId="5" borderId="53" xfId="0" applyFont="1" applyFill="1" applyBorder="1" applyAlignment="1">
      <alignment horizontal="left" vertical="center"/>
    </xf>
    <xf numFmtId="9" fontId="1" fillId="11" borderId="55" xfId="3" applyFont="1" applyFill="1" applyBorder="1" applyAlignment="1">
      <alignment horizontal="center" vertical="center" wrapText="1"/>
    </xf>
    <xf numFmtId="194" fontId="28" fillId="9" borderId="71" xfId="0" applyNumberFormat="1" applyFont="1" applyFill="1" applyBorder="1" applyAlignment="1">
      <alignment horizontal="center" vertical="center" wrapText="1"/>
    </xf>
    <xf numFmtId="0" fontId="25" fillId="4" borderId="65" xfId="0" applyFont="1" applyFill="1" applyBorder="1" applyAlignment="1">
      <alignment horizontal="right" vertical="center" wrapText="1"/>
    </xf>
    <xf numFmtId="0" fontId="0" fillId="0" borderId="72" xfId="0" applyBorder="1" applyAlignment="1">
      <alignment horizontal="center" vertical="center"/>
    </xf>
    <xf numFmtId="0" fontId="0" fillId="0" borderId="72" xfId="0" applyBorder="1" applyAlignment="1">
      <alignment vertical="center"/>
    </xf>
    <xf numFmtId="198" fontId="29" fillId="0" borderId="1" xfId="0" applyNumberFormat="1" applyFont="1" applyBorder="1" applyAlignment="1">
      <alignment horizontal="center" vertical="center"/>
    </xf>
    <xf numFmtId="193" fontId="0" fillId="5" borderId="1" xfId="0" applyNumberFormat="1" applyFill="1" applyBorder="1" applyAlignment="1">
      <alignment horizontal="center" vertical="center" wrapText="1"/>
    </xf>
    <xf numFmtId="193" fontId="8" fillId="5" borderId="53" xfId="0" applyNumberFormat="1" applyFont="1" applyFill="1" applyBorder="1" applyAlignment="1">
      <alignment horizontal="center" vertical="center" wrapText="1"/>
    </xf>
    <xf numFmtId="9" fontId="54" fillId="5" borderId="73" xfId="3" applyFont="1" applyFill="1" applyBorder="1" applyAlignment="1">
      <alignment vertical="center" wrapText="1"/>
    </xf>
    <xf numFmtId="9" fontId="54" fillId="5" borderId="73" xfId="3" applyFont="1" applyFill="1" applyBorder="1" applyAlignment="1">
      <alignment horizontal="center" vertical="center" wrapText="1"/>
    </xf>
    <xf numFmtId="193" fontId="53" fillId="3" borderId="1" xfId="0" applyNumberFormat="1" applyFont="1" applyFill="1" applyBorder="1" applyAlignment="1">
      <alignment horizontal="center" vertical="center" wrapText="1"/>
    </xf>
    <xf numFmtId="193" fontId="56" fillId="2" borderId="53" xfId="0" applyNumberFormat="1" applyFont="1" applyFill="1" applyBorder="1" applyAlignment="1">
      <alignment horizontal="center" vertical="center" wrapText="1"/>
    </xf>
    <xf numFmtId="9" fontId="53" fillId="11" borderId="55" xfId="3" applyFont="1" applyFill="1" applyBorder="1" applyAlignment="1">
      <alignment horizontal="center" vertical="center" wrapText="1"/>
    </xf>
    <xf numFmtId="9" fontId="55" fillId="5" borderId="55" xfId="3" applyFont="1" applyFill="1" applyBorder="1" applyAlignment="1">
      <alignment horizontal="center" vertical="center" wrapText="1"/>
    </xf>
    <xf numFmtId="9" fontId="0" fillId="0" borderId="67" xfId="0" applyNumberFormat="1" applyFill="1" applyBorder="1" applyAlignment="1">
      <alignment horizontal="center" vertical="center"/>
    </xf>
    <xf numFmtId="179" fontId="6" fillId="0" borderId="0" xfId="3" applyNumberFormat="1" applyFont="1" applyAlignment="1">
      <alignment horizontal="center" vertical="center"/>
    </xf>
    <xf numFmtId="179" fontId="67" fillId="0" borderId="0" xfId="3" applyNumberFormat="1" applyFont="1" applyAlignment="1">
      <alignment horizontal="center" vertical="center"/>
    </xf>
    <xf numFmtId="179" fontId="6" fillId="7" borderId="0" xfId="3" applyNumberFormat="1" applyFont="1" applyFill="1" applyAlignment="1">
      <alignment horizontal="center" vertical="center"/>
    </xf>
    <xf numFmtId="179" fontId="68" fillId="5" borderId="0" xfId="3" applyNumberFormat="1" applyFont="1" applyFill="1" applyAlignment="1">
      <alignment horizontal="center" vertical="center"/>
    </xf>
    <xf numFmtId="0" fontId="45" fillId="12" borderId="0" xfId="0" applyFont="1" applyFill="1" applyAlignment="1">
      <alignment horizontal="center" vertical="center"/>
    </xf>
    <xf numFmtId="0" fontId="8" fillId="12" borderId="0" xfId="0" applyFont="1" applyFill="1" applyAlignment="1">
      <alignment vertical="center"/>
    </xf>
    <xf numFmtId="0" fontId="6" fillId="12" borderId="0" xfId="0" applyFont="1" applyFill="1" applyAlignment="1">
      <alignment vertical="center"/>
    </xf>
    <xf numFmtId="0" fontId="8" fillId="12" borderId="0" xfId="0" applyFont="1" applyFill="1" applyAlignment="1">
      <alignment horizontal="center" vertical="center"/>
    </xf>
    <xf numFmtId="0" fontId="7" fillId="0" borderId="0" xfId="0" applyFont="1" applyAlignment="1">
      <alignment horizontal="left" vertical="center"/>
    </xf>
    <xf numFmtId="186" fontId="7" fillId="0" borderId="0" xfId="0" applyNumberFormat="1" applyFont="1" applyAlignment="1">
      <alignment horizontal="center" vertical="center"/>
    </xf>
    <xf numFmtId="0" fontId="7" fillId="0" borderId="0" xfId="0" applyFont="1" applyAlignment="1">
      <alignment vertical="center"/>
    </xf>
    <xf numFmtId="0" fontId="7" fillId="0" borderId="0" xfId="0" applyFont="1" applyAlignment="1">
      <alignment horizontal="center" vertical="center"/>
    </xf>
    <xf numFmtId="4" fontId="7" fillId="0" borderId="0" xfId="0" applyNumberFormat="1" applyFont="1" applyAlignment="1">
      <alignment horizontal="center" vertical="center"/>
    </xf>
    <xf numFmtId="0" fontId="69" fillId="7" borderId="49" xfId="0" applyFont="1" applyFill="1" applyBorder="1" applyAlignment="1">
      <alignment horizontal="center" vertical="center" wrapText="1"/>
    </xf>
    <xf numFmtId="0" fontId="70" fillId="7" borderId="49" xfId="0" applyFont="1" applyFill="1" applyBorder="1" applyAlignment="1">
      <alignment horizontal="center" vertical="center" wrapText="1"/>
    </xf>
    <xf numFmtId="196" fontId="26" fillId="11" borderId="126" xfId="0" applyNumberFormat="1" applyFont="1" applyFill="1" applyBorder="1" applyAlignment="1">
      <alignment horizontal="center" vertical="center"/>
    </xf>
    <xf numFmtId="9" fontId="26" fillId="3" borderId="74" xfId="3" applyFont="1" applyFill="1" applyBorder="1" applyAlignment="1">
      <alignment horizontal="center" vertical="center" wrapText="1"/>
    </xf>
    <xf numFmtId="0" fontId="72" fillId="16" borderId="69" xfId="0" applyFont="1" applyFill="1" applyBorder="1" applyAlignment="1">
      <alignment horizontal="center" vertical="center"/>
    </xf>
    <xf numFmtId="0" fontId="72" fillId="16" borderId="53" xfId="0" applyFont="1" applyFill="1" applyBorder="1" applyAlignment="1">
      <alignment horizontal="center" vertical="center"/>
    </xf>
    <xf numFmtId="193" fontId="73" fillId="3" borderId="127" xfId="0" applyNumberFormat="1" applyFont="1" applyFill="1" applyBorder="1" applyAlignment="1">
      <alignment horizontal="center" vertical="center" wrapText="1"/>
    </xf>
    <xf numFmtId="193" fontId="73" fillId="3" borderId="1" xfId="0" applyNumberFormat="1" applyFont="1" applyFill="1" applyBorder="1" applyAlignment="1">
      <alignment horizontal="center" vertical="center" wrapText="1"/>
    </xf>
    <xf numFmtId="0" fontId="6" fillId="22" borderId="0" xfId="0" applyFont="1" applyFill="1" applyBorder="1" applyAlignment="1">
      <alignment horizontal="center" vertical="center"/>
    </xf>
    <xf numFmtId="194" fontId="58" fillId="22" borderId="45" xfId="0" applyNumberFormat="1" applyFont="1" applyFill="1" applyBorder="1" applyAlignment="1">
      <alignment horizontal="center" vertical="center" wrapText="1"/>
    </xf>
    <xf numFmtId="194" fontId="8" fillId="22" borderId="128" xfId="0" applyNumberFormat="1" applyFont="1" applyFill="1" applyBorder="1" applyAlignment="1">
      <alignment horizontal="center" vertical="center" wrapText="1"/>
    </xf>
    <xf numFmtId="194" fontId="27" fillId="22" borderId="45" xfId="0" applyNumberFormat="1" applyFont="1" applyFill="1" applyBorder="1" applyAlignment="1">
      <alignment horizontal="center" vertical="center" wrapText="1"/>
    </xf>
    <xf numFmtId="194" fontId="27" fillId="22" borderId="129" xfId="0" applyNumberFormat="1" applyFont="1" applyFill="1" applyBorder="1" applyAlignment="1">
      <alignment horizontal="center" vertical="center" wrapText="1"/>
    </xf>
    <xf numFmtId="197" fontId="8" fillId="2" borderId="35" xfId="0" applyNumberFormat="1" applyFont="1" applyFill="1" applyBorder="1" applyAlignment="1">
      <alignment horizontal="center" vertical="center" wrapText="1"/>
    </xf>
    <xf numFmtId="9" fontId="13" fillId="2" borderId="56" xfId="3" applyFont="1" applyFill="1" applyBorder="1" applyAlignment="1">
      <alignment horizontal="center" vertical="center" wrapText="1"/>
    </xf>
    <xf numFmtId="0" fontId="0" fillId="16" borderId="70" xfId="0" applyFill="1" applyBorder="1" applyAlignment="1">
      <alignment horizontal="center" vertical="center"/>
    </xf>
    <xf numFmtId="193" fontId="73" fillId="3" borderId="130" xfId="0" applyNumberFormat="1" applyFont="1" applyFill="1" applyBorder="1" applyAlignment="1">
      <alignment horizontal="center" vertical="center" wrapText="1"/>
    </xf>
    <xf numFmtId="197" fontId="8" fillId="2" borderId="70" xfId="0" applyNumberFormat="1" applyFont="1" applyFill="1" applyBorder="1" applyAlignment="1">
      <alignment horizontal="center" vertical="center" wrapText="1"/>
    </xf>
    <xf numFmtId="9" fontId="10" fillId="5" borderId="131" xfId="3" applyFont="1" applyFill="1" applyBorder="1" applyAlignment="1">
      <alignment horizontal="center" vertical="center" wrapText="1"/>
    </xf>
    <xf numFmtId="9" fontId="1" fillId="11" borderId="131" xfId="3" applyFont="1" applyFill="1" applyBorder="1" applyAlignment="1">
      <alignment horizontal="center" vertical="center" wrapText="1"/>
    </xf>
    <xf numFmtId="0" fontId="6" fillId="0" borderId="132" xfId="0" applyFont="1" applyFill="1" applyBorder="1" applyAlignment="1">
      <alignment horizontal="center" vertical="center"/>
    </xf>
    <xf numFmtId="0" fontId="6" fillId="0" borderId="133" xfId="0" applyFont="1" applyFill="1" applyBorder="1" applyAlignment="1">
      <alignment horizontal="center" vertical="center"/>
    </xf>
    <xf numFmtId="0" fontId="51" fillId="9" borderId="0" xfId="0" applyFont="1" applyFill="1" applyAlignment="1">
      <alignment vertical="center" wrapText="1"/>
    </xf>
    <xf numFmtId="194" fontId="8" fillId="24" borderId="128" xfId="0" quotePrefix="1" applyNumberFormat="1" applyFont="1" applyFill="1" applyBorder="1" applyAlignment="1">
      <alignment horizontal="center" vertical="center" wrapText="1"/>
    </xf>
    <xf numFmtId="194" fontId="27" fillId="24" borderId="45" xfId="0" applyNumberFormat="1" applyFont="1" applyFill="1" applyBorder="1" applyAlignment="1">
      <alignment horizontal="center" vertical="center" wrapText="1"/>
    </xf>
    <xf numFmtId="0" fontId="6" fillId="24" borderId="0" xfId="0" applyFont="1" applyFill="1" applyBorder="1" applyAlignment="1">
      <alignment horizontal="center" vertical="center"/>
    </xf>
    <xf numFmtId="0" fontId="6" fillId="9" borderId="0" xfId="0" applyFont="1" applyFill="1" applyBorder="1" applyAlignment="1">
      <alignment horizontal="center" vertical="center"/>
    </xf>
    <xf numFmtId="0" fontId="75" fillId="9" borderId="0" xfId="0" applyFont="1" applyFill="1" applyBorder="1" applyAlignment="1">
      <alignment horizontal="center" vertical="center"/>
    </xf>
    <xf numFmtId="9" fontId="8" fillId="0" borderId="134" xfId="3" applyFont="1" applyFill="1" applyBorder="1" applyAlignment="1">
      <alignment horizontal="center" vertical="center" wrapText="1"/>
    </xf>
    <xf numFmtId="9" fontId="46" fillId="14" borderId="11" xfId="3" applyFont="1" applyFill="1" applyBorder="1" applyAlignment="1">
      <alignment horizontal="center" vertical="center" wrapText="1"/>
    </xf>
    <xf numFmtId="9" fontId="61" fillId="2" borderId="56" xfId="3" applyFont="1" applyFill="1" applyBorder="1" applyAlignment="1">
      <alignment horizontal="center" vertical="center" wrapText="1"/>
    </xf>
    <xf numFmtId="9" fontId="61" fillId="14" borderId="11" xfId="3" applyFont="1" applyFill="1" applyBorder="1" applyAlignment="1">
      <alignment horizontal="center" vertical="center" wrapText="1"/>
    </xf>
    <xf numFmtId="182" fontId="42" fillId="26" borderId="135" xfId="0" applyNumberFormat="1" applyFont="1" applyFill="1" applyBorder="1" applyAlignment="1">
      <alignment horizontal="center" vertical="center" wrapText="1"/>
    </xf>
    <xf numFmtId="195" fontId="9" fillId="0" borderId="136" xfId="0" applyNumberFormat="1" applyFont="1" applyFill="1" applyBorder="1" applyAlignment="1">
      <alignment horizontal="center" vertical="center" wrapText="1"/>
    </xf>
    <xf numFmtId="2" fontId="29" fillId="6" borderId="82" xfId="0" quotePrefix="1" applyNumberFormat="1" applyFont="1" applyFill="1" applyBorder="1" applyAlignment="1">
      <alignment horizontal="center" vertical="center" wrapText="1"/>
    </xf>
    <xf numFmtId="194" fontId="56" fillId="22" borderId="128" xfId="0" quotePrefix="1" applyNumberFormat="1" applyFont="1" applyFill="1" applyBorder="1" applyAlignment="1">
      <alignment horizontal="center" vertical="center" wrapText="1"/>
    </xf>
    <xf numFmtId="0" fontId="71" fillId="0" borderId="137" xfId="0" applyFont="1" applyBorder="1" applyAlignment="1">
      <alignment horizontal="left" vertical="center" wrapText="1"/>
    </xf>
    <xf numFmtId="9" fontId="59" fillId="27" borderId="138" xfId="3" applyFont="1" applyFill="1" applyBorder="1" applyAlignment="1">
      <alignment vertical="center" wrapText="1"/>
    </xf>
    <xf numFmtId="194" fontId="8" fillId="27" borderId="128" xfId="0" quotePrefix="1" applyNumberFormat="1" applyFont="1" applyFill="1" applyBorder="1" applyAlignment="1">
      <alignment horizontal="center" vertical="center" wrapText="1"/>
    </xf>
    <xf numFmtId="194" fontId="27" fillId="27" borderId="139" xfId="0" applyNumberFormat="1" applyFont="1" applyFill="1" applyBorder="1" applyAlignment="1">
      <alignment horizontal="center" vertical="center" wrapText="1"/>
    </xf>
    <xf numFmtId="185" fontId="26" fillId="3" borderId="20" xfId="0" applyNumberFormat="1" applyFont="1" applyFill="1" applyBorder="1" applyAlignment="1">
      <alignment horizontal="center" vertical="center"/>
    </xf>
    <xf numFmtId="0" fontId="0" fillId="0" borderId="0" xfId="0" applyAlignment="1">
      <alignment horizontal="left" vertical="center" wrapText="1"/>
    </xf>
    <xf numFmtId="0" fontId="76" fillId="7" borderId="16" xfId="0" applyFont="1" applyFill="1" applyBorder="1" applyAlignment="1">
      <alignment horizontal="center" vertical="center" wrapText="1"/>
    </xf>
    <xf numFmtId="0" fontId="42" fillId="7" borderId="141" xfId="0" applyFont="1" applyFill="1" applyBorder="1" applyAlignment="1">
      <alignment horizontal="center" vertical="center" wrapText="1"/>
    </xf>
    <xf numFmtId="0" fontId="42" fillId="7" borderId="142" xfId="0" applyFont="1" applyFill="1" applyBorder="1" applyAlignment="1">
      <alignment horizontal="center" vertical="center" wrapText="1"/>
    </xf>
    <xf numFmtId="202" fontId="76" fillId="3" borderId="123" xfId="0" applyNumberFormat="1" applyFont="1" applyFill="1" applyBorder="1" applyAlignment="1">
      <alignment horizontal="center" vertical="center" wrapText="1"/>
    </xf>
    <xf numFmtId="182" fontId="42" fillId="26" borderId="143" xfId="0" applyNumberFormat="1" applyFont="1" applyFill="1" applyBorder="1" applyAlignment="1">
      <alignment horizontal="center" vertical="center" wrapText="1"/>
    </xf>
    <xf numFmtId="182" fontId="42" fillId="26" borderId="144" xfId="0" applyNumberFormat="1" applyFont="1" applyFill="1" applyBorder="1" applyAlignment="1">
      <alignment horizontal="center" vertical="center" wrapText="1"/>
    </xf>
    <xf numFmtId="177" fontId="29" fillId="0" borderId="64" xfId="0" quotePrefix="1" applyNumberFormat="1" applyFont="1" applyFill="1" applyBorder="1" applyAlignment="1">
      <alignment horizontal="center" vertical="center" wrapText="1"/>
    </xf>
    <xf numFmtId="2" fontId="29" fillId="6" borderId="23" xfId="0" quotePrefix="1" applyNumberFormat="1" applyFont="1" applyFill="1" applyBorder="1" applyAlignment="1">
      <alignment horizontal="center" vertical="center" wrapText="1"/>
    </xf>
    <xf numFmtId="2" fontId="29" fillId="6" borderId="145" xfId="0" quotePrefix="1" applyNumberFormat="1" applyFont="1" applyFill="1" applyBorder="1" applyAlignment="1">
      <alignment horizontal="center" vertical="center" wrapText="1"/>
    </xf>
    <xf numFmtId="0" fontId="2" fillId="6" borderId="44" xfId="0" applyFont="1" applyFill="1" applyBorder="1" applyAlignment="1">
      <alignment horizontal="left" vertical="center" wrapText="1"/>
    </xf>
    <xf numFmtId="0" fontId="40" fillId="3" borderId="1" xfId="0" applyFont="1" applyFill="1" applyBorder="1" applyAlignment="1">
      <alignment horizontal="center" vertical="center" wrapText="1"/>
    </xf>
    <xf numFmtId="0" fontId="40" fillId="0" borderId="137" xfId="0" applyFont="1" applyFill="1" applyBorder="1" applyAlignment="1">
      <alignment horizontal="left" vertical="center" wrapText="1"/>
    </xf>
    <xf numFmtId="0" fontId="40" fillId="0" borderId="146" xfId="0" applyFont="1" applyFill="1" applyBorder="1" applyAlignment="1">
      <alignment horizontal="left" vertical="center" wrapText="1"/>
    </xf>
    <xf numFmtId="0" fontId="73" fillId="6" borderId="147" xfId="0" applyFont="1" applyFill="1" applyBorder="1" applyAlignment="1">
      <alignment horizontal="left" vertical="center" wrapText="1"/>
    </xf>
    <xf numFmtId="0" fontId="73" fillId="6" borderId="137" xfId="0" applyFont="1" applyFill="1" applyBorder="1" applyAlignment="1">
      <alignment horizontal="left" vertical="center" wrapText="1"/>
    </xf>
    <xf numFmtId="0" fontId="40" fillId="6" borderId="137" xfId="0" applyFont="1" applyFill="1" applyBorder="1" applyAlignment="1">
      <alignment horizontal="left" vertical="center" wrapText="1"/>
    </xf>
    <xf numFmtId="0" fontId="79" fillId="3" borderId="1" xfId="0" applyFont="1" applyFill="1" applyBorder="1" applyAlignment="1">
      <alignment horizontal="center" vertical="center" wrapText="1"/>
    </xf>
    <xf numFmtId="0" fontId="40" fillId="6" borderId="148" xfId="0" applyFont="1" applyFill="1" applyBorder="1" applyAlignment="1">
      <alignment horizontal="left" vertical="center" wrapText="1"/>
    </xf>
    <xf numFmtId="0" fontId="2" fillId="0" borderId="149" xfId="0" applyFont="1" applyBorder="1" applyAlignment="1">
      <alignment horizontal="left" vertical="center" wrapText="1"/>
    </xf>
    <xf numFmtId="182" fontId="27" fillId="0" borderId="66" xfId="0" applyNumberFormat="1" applyFont="1" applyFill="1" applyBorder="1" applyAlignment="1">
      <alignment horizontal="center" vertical="center" wrapText="1"/>
    </xf>
    <xf numFmtId="0" fontId="73" fillId="0" borderId="137" xfId="0" applyFont="1" applyBorder="1" applyAlignment="1">
      <alignment horizontal="left" vertical="center" wrapText="1"/>
    </xf>
    <xf numFmtId="0" fontId="40" fillId="0" borderId="137" xfId="0" applyFont="1" applyBorder="1" applyAlignment="1">
      <alignment horizontal="left" vertical="center" wrapText="1"/>
    </xf>
    <xf numFmtId="192" fontId="47" fillId="3" borderId="1" xfId="0" applyNumberFormat="1" applyFont="1" applyFill="1" applyBorder="1" applyAlignment="1">
      <alignment horizontal="center" vertical="center" shrinkToFit="1" readingOrder="1"/>
    </xf>
    <xf numFmtId="9" fontId="7" fillId="11" borderId="55" xfId="3" applyFont="1" applyFill="1" applyBorder="1" applyAlignment="1">
      <alignment horizontal="center" vertical="center" wrapText="1"/>
    </xf>
    <xf numFmtId="0" fontId="73" fillId="0" borderId="146" xfId="0" applyFont="1" applyBorder="1" applyAlignment="1">
      <alignment horizontal="left" vertical="center" wrapText="1"/>
    </xf>
    <xf numFmtId="0" fontId="6" fillId="24" borderId="0" xfId="0" applyFont="1" applyFill="1" applyBorder="1" applyAlignment="1">
      <alignment horizontal="left" vertical="center"/>
    </xf>
    <xf numFmtId="0" fontId="73" fillId="6" borderId="148" xfId="0" applyFont="1" applyFill="1" applyBorder="1" applyAlignment="1">
      <alignment horizontal="left" vertical="center" wrapText="1"/>
    </xf>
    <xf numFmtId="0" fontId="40" fillId="0" borderId="44" xfId="0" applyFont="1" applyBorder="1" applyAlignment="1">
      <alignment horizontal="left" vertical="center" wrapText="1"/>
    </xf>
    <xf numFmtId="0" fontId="73" fillId="0" borderId="44" xfId="0" applyFont="1" applyBorder="1" applyAlignment="1">
      <alignment horizontal="left" vertical="center" wrapText="1"/>
    </xf>
    <xf numFmtId="0" fontId="2" fillId="0" borderId="44" xfId="0" applyFont="1" applyBorder="1" applyAlignment="1">
      <alignment horizontal="left" vertical="center" wrapText="1"/>
    </xf>
    <xf numFmtId="182" fontId="42" fillId="0" borderId="144" xfId="0" applyNumberFormat="1" applyFont="1" applyFill="1" applyBorder="1" applyAlignment="1">
      <alignment horizontal="center" vertical="center" wrapText="1"/>
    </xf>
    <xf numFmtId="0" fontId="85" fillId="8" borderId="0" xfId="0" applyFont="1" applyFill="1" applyAlignment="1">
      <alignment vertical="center"/>
    </xf>
    <xf numFmtId="0" fontId="85" fillId="8" borderId="0" xfId="0" applyFont="1" applyFill="1" applyBorder="1" applyAlignment="1">
      <alignment horizontal="right" vertical="center"/>
    </xf>
    <xf numFmtId="0" fontId="86" fillId="0" borderId="0" xfId="0" applyFont="1" applyAlignment="1">
      <alignment vertical="center"/>
    </xf>
    <xf numFmtId="1" fontId="87" fillId="0" borderId="0" xfId="0" applyNumberFormat="1" applyFont="1" applyAlignment="1">
      <alignment horizontal="center" vertical="center"/>
    </xf>
    <xf numFmtId="1" fontId="88" fillId="6" borderId="0" xfId="0" applyNumberFormat="1" applyFont="1" applyFill="1" applyAlignment="1">
      <alignment horizontal="center" vertical="center"/>
    </xf>
    <xf numFmtId="0" fontId="86" fillId="0" borderId="74" xfId="0" applyFont="1" applyBorder="1" applyAlignment="1">
      <alignment horizontal="right" vertical="center"/>
    </xf>
    <xf numFmtId="0" fontId="90" fillId="0" borderId="120" xfId="0" applyFont="1" applyBorder="1" applyAlignment="1">
      <alignment horizontal="right" vertical="center"/>
    </xf>
    <xf numFmtId="0" fontId="86" fillId="0" borderId="75" xfId="0" applyFont="1" applyBorder="1" applyAlignment="1">
      <alignment vertical="center"/>
    </xf>
    <xf numFmtId="0" fontId="91" fillId="21" borderId="73" xfId="0" applyFont="1" applyFill="1" applyBorder="1" applyAlignment="1">
      <alignment horizontal="center" vertical="center"/>
    </xf>
    <xf numFmtId="0" fontId="91" fillId="21" borderId="74" xfId="0" applyFont="1" applyFill="1" applyBorder="1" applyAlignment="1">
      <alignment horizontal="center" vertical="center"/>
    </xf>
    <xf numFmtId="0" fontId="91" fillId="4" borderId="75" xfId="0" applyFont="1" applyFill="1" applyBorder="1" applyAlignment="1">
      <alignment horizontal="center" vertical="center"/>
    </xf>
    <xf numFmtId="0" fontId="91" fillId="21" borderId="75" xfId="0" applyFont="1" applyFill="1" applyBorder="1" applyAlignment="1">
      <alignment horizontal="center" vertical="center"/>
    </xf>
    <xf numFmtId="0" fontId="90" fillId="22" borderId="73" xfId="0" applyFont="1" applyFill="1" applyBorder="1" applyAlignment="1">
      <alignment horizontal="center" vertical="center"/>
    </xf>
    <xf numFmtId="0" fontId="90" fillId="2" borderId="73" xfId="0" applyFont="1" applyFill="1" applyBorder="1" applyAlignment="1">
      <alignment horizontal="center" vertical="center"/>
    </xf>
    <xf numFmtId="0" fontId="91" fillId="23" borderId="73" xfId="0" applyFont="1" applyFill="1" applyBorder="1" applyAlignment="1">
      <alignment horizontal="center" vertical="center"/>
    </xf>
    <xf numFmtId="0" fontId="86" fillId="2" borderId="76" xfId="0" applyFont="1" applyFill="1" applyBorder="1" applyAlignment="1">
      <alignment vertical="center"/>
    </xf>
    <xf numFmtId="0" fontId="86" fillId="2" borderId="77" xfId="0" applyFont="1" applyFill="1" applyBorder="1" applyAlignment="1">
      <alignment vertical="center"/>
    </xf>
    <xf numFmtId="0" fontId="86" fillId="2" borderId="77" xfId="0" applyFont="1" applyFill="1" applyBorder="1" applyAlignment="1">
      <alignment horizontal="right" vertical="center"/>
    </xf>
    <xf numFmtId="0" fontId="92" fillId="2" borderId="77" xfId="0" applyFont="1" applyFill="1" applyBorder="1" applyAlignment="1">
      <alignment horizontal="right" vertical="center"/>
    </xf>
    <xf numFmtId="179" fontId="93" fillId="4" borderId="76" xfId="0" applyNumberFormat="1" applyFont="1" applyFill="1" applyBorder="1" applyAlignment="1">
      <alignment horizontal="center" vertical="center"/>
    </xf>
    <xf numFmtId="179" fontId="93" fillId="4" borderId="77" xfId="0" applyNumberFormat="1" applyFont="1" applyFill="1" applyBorder="1" applyAlignment="1">
      <alignment horizontal="center" vertical="center"/>
    </xf>
    <xf numFmtId="0" fontId="86" fillId="5" borderId="69" xfId="0" applyFont="1" applyFill="1" applyBorder="1" applyAlignment="1">
      <alignment horizontal="center" vertical="center"/>
    </xf>
    <xf numFmtId="179" fontId="93" fillId="4" borderId="84" xfId="0" applyNumberFormat="1" applyFont="1" applyFill="1" applyBorder="1" applyAlignment="1">
      <alignment horizontal="center" vertical="center"/>
    </xf>
    <xf numFmtId="179" fontId="94" fillId="4" borderId="85" xfId="0" applyNumberFormat="1" applyFont="1" applyFill="1" applyBorder="1" applyAlignment="1">
      <alignment horizontal="center" vertical="center"/>
    </xf>
    <xf numFmtId="0" fontId="86" fillId="5" borderId="53" xfId="0" applyFont="1" applyFill="1" applyBorder="1" applyAlignment="1">
      <alignment horizontal="center" vertical="center"/>
    </xf>
    <xf numFmtId="179" fontId="94" fillId="4" borderId="76" xfId="0" applyNumberFormat="1" applyFont="1" applyFill="1" applyBorder="1" applyAlignment="1">
      <alignment horizontal="center" vertical="center"/>
    </xf>
    <xf numFmtId="179" fontId="94" fillId="4" borderId="77" xfId="0" applyNumberFormat="1" applyFont="1" applyFill="1" applyBorder="1" applyAlignment="1">
      <alignment horizontal="center" vertical="center"/>
    </xf>
    <xf numFmtId="179" fontId="94" fillId="4" borderId="84" xfId="0" applyNumberFormat="1" applyFont="1" applyFill="1" applyBorder="1" applyAlignment="1">
      <alignment horizontal="center" vertical="center"/>
    </xf>
    <xf numFmtId="179" fontId="93" fillId="4" borderId="85" xfId="0" applyNumberFormat="1" applyFont="1" applyFill="1" applyBorder="1" applyAlignment="1">
      <alignment horizontal="center" vertical="center"/>
    </xf>
    <xf numFmtId="179" fontId="95" fillId="4" borderId="85" xfId="0" applyNumberFormat="1" applyFont="1" applyFill="1" applyBorder="1" applyAlignment="1">
      <alignment horizontal="center" vertical="center"/>
    </xf>
    <xf numFmtId="0" fontId="96" fillId="2" borderId="0" xfId="0" applyFont="1" applyFill="1" applyBorder="1" applyAlignment="1">
      <alignment vertical="center"/>
    </xf>
    <xf numFmtId="0" fontId="86" fillId="7" borderId="106" xfId="0" applyFont="1" applyFill="1" applyBorder="1" applyAlignment="1">
      <alignment vertical="center"/>
    </xf>
    <xf numFmtId="0" fontId="86" fillId="7" borderId="91" xfId="0" applyFont="1" applyFill="1" applyBorder="1" applyAlignment="1">
      <alignment vertical="center"/>
    </xf>
    <xf numFmtId="0" fontId="86" fillId="7" borderId="91" xfId="0" applyFont="1" applyFill="1" applyBorder="1" applyAlignment="1">
      <alignment horizontal="right" vertical="center"/>
    </xf>
    <xf numFmtId="0" fontId="97" fillId="7" borderId="91" xfId="0" applyFont="1" applyFill="1" applyBorder="1" applyAlignment="1">
      <alignment horizontal="right" vertical="center"/>
    </xf>
    <xf numFmtId="0" fontId="86" fillId="7" borderId="92" xfId="0" applyFont="1" applyFill="1" applyBorder="1" applyAlignment="1">
      <alignment vertical="center"/>
    </xf>
    <xf numFmtId="179" fontId="98" fillId="7" borderId="76" xfId="0" applyNumberFormat="1" applyFont="1" applyFill="1" applyBorder="1" applyAlignment="1">
      <alignment horizontal="center" vertical="center"/>
    </xf>
    <xf numFmtId="179" fontId="98" fillId="7" borderId="77" xfId="0" applyNumberFormat="1" applyFont="1" applyFill="1" applyBorder="1" applyAlignment="1">
      <alignment horizontal="center" vertical="center"/>
    </xf>
    <xf numFmtId="179" fontId="98" fillId="7" borderId="84" xfId="0" applyNumberFormat="1" applyFont="1" applyFill="1" applyBorder="1" applyAlignment="1">
      <alignment horizontal="center" vertical="center"/>
    </xf>
    <xf numFmtId="179" fontId="99" fillId="7" borderId="85" xfId="0" applyNumberFormat="1" applyFont="1" applyFill="1" applyBorder="1" applyAlignment="1">
      <alignment horizontal="center" vertical="center"/>
    </xf>
    <xf numFmtId="179" fontId="99" fillId="7" borderId="77" xfId="0" applyNumberFormat="1" applyFont="1" applyFill="1" applyBorder="1" applyAlignment="1">
      <alignment horizontal="center" vertical="center"/>
    </xf>
    <xf numFmtId="179" fontId="99" fillId="7" borderId="84" xfId="0" applyNumberFormat="1" applyFont="1" applyFill="1" applyBorder="1" applyAlignment="1">
      <alignment horizontal="center" vertical="center"/>
    </xf>
    <xf numFmtId="179" fontId="98" fillId="7" borderId="85" xfId="0" applyNumberFormat="1" applyFont="1" applyFill="1" applyBorder="1" applyAlignment="1">
      <alignment horizontal="center" vertical="center"/>
    </xf>
    <xf numFmtId="179" fontId="100" fillId="7" borderId="85" xfId="0" applyNumberFormat="1" applyFont="1" applyFill="1" applyBorder="1" applyAlignment="1">
      <alignment horizontal="center" vertical="center"/>
    </xf>
    <xf numFmtId="9" fontId="101" fillId="7" borderId="78" xfId="0" applyNumberFormat="1" applyFont="1" applyFill="1" applyBorder="1" applyAlignment="1">
      <alignment horizontal="center" vertical="center"/>
    </xf>
    <xf numFmtId="2" fontId="102" fillId="7" borderId="0" xfId="0" applyNumberFormat="1" applyFont="1" applyFill="1" applyBorder="1" applyAlignment="1">
      <alignment horizontal="center" vertical="center"/>
    </xf>
    <xf numFmtId="2" fontId="102" fillId="20" borderId="90" xfId="0" applyNumberFormat="1" applyFont="1" applyFill="1" applyBorder="1" applyAlignment="1">
      <alignment horizontal="center" vertical="center"/>
    </xf>
    <xf numFmtId="2" fontId="103" fillId="20" borderId="117" xfId="0" applyNumberFormat="1" applyFont="1" applyFill="1" applyBorder="1" applyAlignment="1">
      <alignment horizontal="right" vertical="center" indent="1"/>
    </xf>
    <xf numFmtId="180" fontId="85" fillId="20" borderId="90" xfId="0" applyNumberFormat="1" applyFont="1" applyFill="1" applyBorder="1" applyAlignment="1">
      <alignment horizontal="center" vertical="center"/>
    </xf>
    <xf numFmtId="180" fontId="85" fillId="20" borderId="117" xfId="0" applyNumberFormat="1" applyFont="1" applyFill="1" applyBorder="1" applyAlignment="1">
      <alignment horizontal="center" vertical="center"/>
    </xf>
    <xf numFmtId="180" fontId="85" fillId="20" borderId="69" xfId="0" applyNumberFormat="1" applyFont="1" applyFill="1" applyBorder="1" applyAlignment="1">
      <alignment horizontal="center" vertical="center"/>
    </xf>
    <xf numFmtId="9" fontId="90" fillId="6" borderId="53" xfId="0" applyNumberFormat="1" applyFont="1" applyFill="1" applyBorder="1" applyAlignment="1">
      <alignment horizontal="center" vertical="center"/>
    </xf>
    <xf numFmtId="180" fontId="85" fillId="20" borderId="119" xfId="0" applyNumberFormat="1" applyFont="1" applyFill="1" applyBorder="1" applyAlignment="1">
      <alignment horizontal="center" vertical="center"/>
    </xf>
    <xf numFmtId="9" fontId="101" fillId="7" borderId="79" xfId="0" applyNumberFormat="1" applyFont="1" applyFill="1" applyBorder="1" applyAlignment="1">
      <alignment horizontal="center" vertical="center"/>
    </xf>
    <xf numFmtId="2" fontId="102" fillId="19" borderId="89" xfId="0" applyNumberFormat="1" applyFont="1" applyFill="1" applyBorder="1" applyAlignment="1">
      <alignment horizontal="center" vertical="center"/>
    </xf>
    <xf numFmtId="2" fontId="103" fillId="19" borderId="118" xfId="0" applyNumberFormat="1" applyFont="1" applyFill="1" applyBorder="1" applyAlignment="1">
      <alignment horizontal="right" vertical="center" indent="1"/>
    </xf>
    <xf numFmtId="180" fontId="86" fillId="19" borderId="86" xfId="0" applyNumberFormat="1" applyFont="1" applyFill="1" applyBorder="1" applyAlignment="1">
      <alignment horizontal="center" vertical="center"/>
    </xf>
    <xf numFmtId="180" fontId="104" fillId="19" borderId="87" xfId="0" applyNumberFormat="1" applyFont="1" applyFill="1" applyBorder="1" applyAlignment="1">
      <alignment horizontal="center" vertical="center"/>
    </xf>
    <xf numFmtId="0" fontId="86" fillId="5" borderId="70" xfId="0" applyFont="1" applyFill="1" applyBorder="1" applyAlignment="1">
      <alignment horizontal="center" vertical="center"/>
    </xf>
    <xf numFmtId="180" fontId="86" fillId="19" borderId="70" xfId="0" applyNumberFormat="1" applyFont="1" applyFill="1" applyBorder="1" applyAlignment="1">
      <alignment horizontal="center" vertical="center"/>
    </xf>
    <xf numFmtId="9" fontId="90" fillId="14" borderId="70" xfId="0" applyNumberFormat="1" applyFont="1" applyFill="1" applyBorder="1" applyAlignment="1">
      <alignment horizontal="center" vertical="center"/>
    </xf>
    <xf numFmtId="180" fontId="86" fillId="19" borderId="88" xfId="0" applyNumberFormat="1" applyFont="1" applyFill="1" applyBorder="1" applyAlignment="1">
      <alignment horizontal="center" vertical="center"/>
    </xf>
    <xf numFmtId="9" fontId="101" fillId="0" borderId="0" xfId="0" applyNumberFormat="1" applyFont="1" applyBorder="1" applyAlignment="1">
      <alignment horizontal="center" vertical="center"/>
    </xf>
    <xf numFmtId="0" fontId="105" fillId="4" borderId="102" xfId="0" applyFont="1" applyFill="1" applyBorder="1" applyAlignment="1">
      <alignment vertical="center"/>
    </xf>
    <xf numFmtId="0" fontId="105" fillId="4" borderId="102" xfId="0" applyFont="1" applyFill="1" applyBorder="1" applyAlignment="1">
      <alignment horizontal="right" vertical="center"/>
    </xf>
    <xf numFmtId="0" fontId="106" fillId="4" borderId="102" xfId="0" applyFont="1" applyFill="1" applyBorder="1" applyAlignment="1">
      <alignment horizontal="right" vertical="center"/>
    </xf>
    <xf numFmtId="2" fontId="107" fillId="4" borderId="0" xfId="0" applyNumberFormat="1" applyFont="1" applyFill="1" applyBorder="1" applyAlignment="1">
      <alignment horizontal="center" vertical="center"/>
    </xf>
    <xf numFmtId="0" fontId="105" fillId="5" borderId="116" xfId="0" applyFont="1" applyFill="1" applyBorder="1" applyAlignment="1">
      <alignment horizontal="center" vertical="center"/>
    </xf>
    <xf numFmtId="0" fontId="105" fillId="4" borderId="0" xfId="0" applyFont="1" applyFill="1" applyBorder="1" applyAlignment="1">
      <alignment vertical="center"/>
    </xf>
    <xf numFmtId="0" fontId="105" fillId="4" borderId="0" xfId="0" applyFont="1" applyFill="1" applyBorder="1" applyAlignment="1">
      <alignment horizontal="right" vertical="center"/>
    </xf>
    <xf numFmtId="0" fontId="106" fillId="4" borderId="0" xfId="0" applyFont="1" applyFill="1" applyBorder="1" applyAlignment="1">
      <alignment horizontal="right" vertical="center"/>
    </xf>
    <xf numFmtId="177" fontId="107" fillId="4" borderId="0" xfId="0" applyNumberFormat="1" applyFont="1" applyFill="1" applyBorder="1" applyAlignment="1">
      <alignment horizontal="center" vertical="center"/>
    </xf>
    <xf numFmtId="0" fontId="105" fillId="5" borderId="70" xfId="0" applyFont="1" applyFill="1" applyBorder="1" applyAlignment="1">
      <alignment horizontal="center" vertical="center"/>
    </xf>
    <xf numFmtId="0" fontId="108" fillId="2" borderId="91" xfId="0" applyFont="1" applyFill="1" applyBorder="1" applyAlignment="1">
      <alignment vertical="center"/>
    </xf>
    <xf numFmtId="0" fontId="108" fillId="2" borderId="91" xfId="0" applyFont="1" applyFill="1" applyBorder="1" applyAlignment="1">
      <alignment horizontal="right" vertical="center"/>
    </xf>
    <xf numFmtId="0" fontId="86" fillId="2" borderId="97" xfId="0" applyFont="1" applyFill="1" applyBorder="1" applyAlignment="1">
      <alignment vertical="center"/>
    </xf>
    <xf numFmtId="9" fontId="87" fillId="2" borderId="97" xfId="0" applyNumberFormat="1" applyFont="1" applyFill="1" applyBorder="1" applyAlignment="1">
      <alignment horizontal="center" vertical="center"/>
    </xf>
    <xf numFmtId="9" fontId="87" fillId="2" borderId="98" xfId="0" applyNumberFormat="1" applyFont="1" applyFill="1" applyBorder="1" applyAlignment="1">
      <alignment horizontal="center" vertical="center"/>
    </xf>
    <xf numFmtId="0" fontId="86" fillId="5" borderId="98" xfId="0" applyFont="1" applyFill="1" applyBorder="1" applyAlignment="1">
      <alignment horizontal="center" vertical="center"/>
    </xf>
    <xf numFmtId="9" fontId="87" fillId="2" borderId="92" xfId="0" applyNumberFormat="1" applyFont="1" applyFill="1" applyBorder="1" applyAlignment="1">
      <alignment horizontal="center" vertical="center"/>
    </xf>
    <xf numFmtId="0" fontId="108" fillId="2" borderId="93" xfId="0" applyFont="1" applyFill="1" applyBorder="1" applyAlignment="1">
      <alignment vertical="center"/>
    </xf>
    <xf numFmtId="0" fontId="108" fillId="2" borderId="93" xfId="0" applyFont="1" applyFill="1" applyBorder="1" applyAlignment="1">
      <alignment horizontal="right" vertical="center"/>
    </xf>
    <xf numFmtId="0" fontId="86" fillId="2" borderId="99" xfId="0" applyFont="1" applyFill="1" applyBorder="1" applyAlignment="1">
      <alignment vertical="center"/>
    </xf>
    <xf numFmtId="9" fontId="87" fillId="2" borderId="99" xfId="0" applyNumberFormat="1" applyFont="1" applyFill="1" applyBorder="1" applyAlignment="1">
      <alignment horizontal="center" vertical="center"/>
    </xf>
    <xf numFmtId="9" fontId="87" fillId="2" borderId="53" xfId="0" applyNumberFormat="1" applyFont="1" applyFill="1" applyBorder="1" applyAlignment="1">
      <alignment horizontal="center" vertical="center"/>
    </xf>
    <xf numFmtId="9" fontId="87" fillId="2" borderId="94" xfId="0" applyNumberFormat="1" applyFont="1" applyFill="1" applyBorder="1" applyAlignment="1">
      <alignment horizontal="center" vertical="center"/>
    </xf>
    <xf numFmtId="0" fontId="108" fillId="2" borderId="95" xfId="0" applyFont="1" applyFill="1" applyBorder="1" applyAlignment="1">
      <alignment vertical="center"/>
    </xf>
    <xf numFmtId="0" fontId="108" fillId="2" borderId="95" xfId="0" applyFont="1" applyFill="1" applyBorder="1" applyAlignment="1">
      <alignment horizontal="right" vertical="center"/>
    </xf>
    <xf numFmtId="0" fontId="86" fillId="2" borderId="100" xfId="0" applyFont="1" applyFill="1" applyBorder="1" applyAlignment="1">
      <alignment horizontal="right" vertical="center"/>
    </xf>
    <xf numFmtId="184" fontId="109" fillId="2" borderId="100" xfId="3" quotePrefix="1" applyNumberFormat="1" applyFont="1" applyFill="1" applyBorder="1" applyAlignment="1">
      <alignment horizontal="center" vertical="center" wrapText="1" shrinkToFit="1"/>
    </xf>
    <xf numFmtId="184" fontId="109" fillId="2" borderId="101" xfId="3" quotePrefix="1" applyNumberFormat="1" applyFont="1" applyFill="1" applyBorder="1" applyAlignment="1">
      <alignment horizontal="center" vertical="center" wrapText="1" shrinkToFit="1"/>
    </xf>
    <xf numFmtId="0" fontId="86" fillId="5" borderId="101" xfId="0" applyFont="1" applyFill="1" applyBorder="1" applyAlignment="1">
      <alignment horizontal="center" vertical="center"/>
    </xf>
    <xf numFmtId="184" fontId="109" fillId="2" borderId="96" xfId="3" quotePrefix="1" applyNumberFormat="1" applyFont="1" applyFill="1" applyBorder="1" applyAlignment="1">
      <alignment horizontal="center" vertical="center" wrapText="1" shrinkToFit="1"/>
    </xf>
    <xf numFmtId="0" fontId="86" fillId="0" borderId="0" xfId="0" applyFont="1"/>
    <xf numFmtId="199" fontId="110" fillId="3" borderId="41" xfId="1" applyNumberFormat="1" applyFont="1" applyFill="1" applyBorder="1" applyAlignment="1">
      <alignment horizontal="center" vertical="center"/>
    </xf>
    <xf numFmtId="200" fontId="111" fillId="6" borderId="122" xfId="1" applyNumberFormat="1" applyFont="1" applyFill="1" applyBorder="1" applyAlignment="1">
      <alignment horizontal="left" vertical="center" indent="1"/>
    </xf>
    <xf numFmtId="0" fontId="86" fillId="6" borderId="103" xfId="0" applyFont="1" applyFill="1" applyBorder="1" applyAlignment="1">
      <alignment vertical="center"/>
    </xf>
    <xf numFmtId="0" fontId="86" fillId="6" borderId="103" xfId="0" applyFont="1" applyFill="1" applyBorder="1" applyAlignment="1">
      <alignment horizontal="right" vertical="center"/>
    </xf>
    <xf numFmtId="0" fontId="86" fillId="6" borderId="104" xfId="0" applyFont="1" applyFill="1" applyBorder="1" applyAlignment="1">
      <alignment vertical="center"/>
    </xf>
    <xf numFmtId="9" fontId="104" fillId="6" borderId="81" xfId="0" applyNumberFormat="1" applyFont="1" applyFill="1" applyBorder="1" applyAlignment="1">
      <alignment horizontal="center" vertical="center"/>
    </xf>
    <xf numFmtId="9" fontId="104" fillId="24" borderId="81" xfId="0" applyNumberFormat="1" applyFont="1" applyFill="1" applyBorder="1" applyAlignment="1">
      <alignment horizontal="center" vertical="center"/>
    </xf>
    <xf numFmtId="9" fontId="104" fillId="3" borderId="81" xfId="0" applyNumberFormat="1" applyFont="1" applyFill="1" applyBorder="1" applyAlignment="1">
      <alignment horizontal="center" vertical="center"/>
    </xf>
    <xf numFmtId="9" fontId="104" fillId="6" borderId="82" xfId="0" applyNumberFormat="1" applyFont="1" applyFill="1" applyBorder="1" applyAlignment="1">
      <alignment horizontal="center" vertical="center"/>
    </xf>
    <xf numFmtId="0" fontId="86" fillId="6" borderId="105" xfId="0" applyFont="1" applyFill="1" applyBorder="1" applyAlignment="1">
      <alignment vertical="center"/>
    </xf>
    <xf numFmtId="0" fontId="86" fillId="6" borderId="93" xfId="0" applyFont="1" applyFill="1" applyBorder="1" applyAlignment="1">
      <alignment horizontal="right" vertical="center"/>
    </xf>
    <xf numFmtId="0" fontId="86" fillId="6" borderId="99" xfId="0" applyFont="1" applyFill="1" applyBorder="1" applyAlignment="1">
      <alignment vertical="center"/>
    </xf>
    <xf numFmtId="183" fontId="87" fillId="6" borderId="53" xfId="0" applyNumberFormat="1" applyFont="1" applyFill="1" applyBorder="1" applyAlignment="1">
      <alignment horizontal="center" vertical="center"/>
    </xf>
    <xf numFmtId="183" fontId="87" fillId="6" borderId="83" xfId="0" applyNumberFormat="1" applyFont="1" applyFill="1" applyBorder="1" applyAlignment="1">
      <alignment horizontal="center" vertical="center"/>
    </xf>
    <xf numFmtId="0" fontId="86" fillId="0" borderId="46" xfId="0" applyFont="1" applyBorder="1" applyAlignment="1">
      <alignment horizontal="center" vertical="center"/>
    </xf>
    <xf numFmtId="0" fontId="86" fillId="0" borderId="80" xfId="0" applyFont="1" applyBorder="1" applyAlignment="1">
      <alignment horizontal="center" vertical="center"/>
    </xf>
    <xf numFmtId="0" fontId="86" fillId="6" borderId="108" xfId="0" applyFont="1" applyFill="1" applyBorder="1" applyAlignment="1">
      <alignment vertical="center"/>
    </xf>
    <xf numFmtId="0" fontId="86" fillId="6" borderId="107" xfId="0" applyFont="1" applyFill="1" applyBorder="1" applyAlignment="1">
      <alignment horizontal="right" vertical="center"/>
    </xf>
    <xf numFmtId="0" fontId="86" fillId="6" borderId="86" xfId="0" applyFont="1" applyFill="1" applyBorder="1" applyAlignment="1">
      <alignment vertical="center"/>
    </xf>
    <xf numFmtId="177" fontId="109" fillId="6" borderId="70" xfId="3" applyNumberFormat="1" applyFont="1" applyFill="1" applyBorder="1" applyAlignment="1">
      <alignment horizontal="center" vertical="center"/>
    </xf>
    <xf numFmtId="177" fontId="109" fillId="6" borderId="83" xfId="3" applyNumberFormat="1" applyFont="1" applyFill="1" applyBorder="1" applyAlignment="1">
      <alignment horizontal="center" vertical="center"/>
    </xf>
    <xf numFmtId="0" fontId="112" fillId="6" borderId="108" xfId="0" applyFont="1" applyFill="1" applyBorder="1" applyAlignment="1">
      <alignment horizontal="center" vertical="center"/>
    </xf>
    <xf numFmtId="0" fontId="112" fillId="6" borderId="151" xfId="0" applyFont="1" applyFill="1" applyBorder="1" applyAlignment="1">
      <alignment horizontal="center" vertical="center"/>
    </xf>
    <xf numFmtId="182" fontId="111" fillId="6" borderId="25" xfId="0" applyNumberFormat="1" applyFont="1" applyFill="1" applyBorder="1" applyAlignment="1">
      <alignment horizontal="center" vertical="center"/>
    </xf>
    <xf numFmtId="3" fontId="113" fillId="6" borderId="17" xfId="0" applyNumberFormat="1" applyFont="1" applyFill="1" applyBorder="1" applyAlignment="1">
      <alignment horizontal="center" vertical="center"/>
    </xf>
    <xf numFmtId="0" fontId="86" fillId="6" borderId="107" xfId="0" applyFont="1" applyFill="1" applyBorder="1" applyAlignment="1">
      <alignment vertical="center"/>
    </xf>
    <xf numFmtId="177" fontId="109" fillId="6" borderId="124" xfId="3" applyNumberFormat="1" applyFont="1" applyFill="1" applyBorder="1" applyAlignment="1">
      <alignment horizontal="center" vertical="center"/>
    </xf>
    <xf numFmtId="177" fontId="109" fillId="24" borderId="124" xfId="3" applyNumberFormat="1" applyFont="1" applyFill="1" applyBorder="1" applyAlignment="1">
      <alignment horizontal="center" vertical="center"/>
    </xf>
    <xf numFmtId="177" fontId="109" fillId="25" borderId="124" xfId="3" applyNumberFormat="1" applyFont="1" applyFill="1" applyBorder="1" applyAlignment="1">
      <alignment horizontal="center" vertical="center"/>
    </xf>
    <xf numFmtId="0" fontId="114" fillId="0" borderId="0" xfId="0" applyFont="1" applyBorder="1" applyAlignment="1">
      <alignment vertical="center" wrapText="1"/>
    </xf>
    <xf numFmtId="203" fontId="111" fillId="0" borderId="25" xfId="0" applyNumberFormat="1" applyFont="1" applyBorder="1" applyAlignment="1">
      <alignment horizontal="center" vertical="center"/>
    </xf>
    <xf numFmtId="203" fontId="90" fillId="3" borderId="41" xfId="0" applyNumberFormat="1" applyFont="1" applyFill="1" applyBorder="1" applyAlignment="1">
      <alignment horizontal="center" vertical="center"/>
    </xf>
    <xf numFmtId="0" fontId="115" fillId="0" borderId="152" xfId="0" applyFont="1" applyBorder="1" applyAlignment="1">
      <alignment horizontal="center" vertical="center"/>
    </xf>
    <xf numFmtId="0" fontId="116" fillId="0" borderId="16" xfId="0" applyFont="1" applyBorder="1" applyAlignment="1">
      <alignment horizontal="right" vertical="center"/>
    </xf>
    <xf numFmtId="3" fontId="102" fillId="0" borderId="17" xfId="0" applyNumberFormat="1" applyFont="1" applyBorder="1" applyAlignment="1">
      <alignment horizontal="center" vertical="center"/>
    </xf>
    <xf numFmtId="0" fontId="86" fillId="0" borderId="16" xfId="0" applyFont="1" applyBorder="1" applyAlignment="1">
      <alignment vertical="center"/>
    </xf>
    <xf numFmtId="205" fontId="117" fillId="0" borderId="158" xfId="0" applyNumberFormat="1" applyFont="1" applyBorder="1" applyAlignment="1">
      <alignment horizontal="center" vertical="center"/>
    </xf>
    <xf numFmtId="205" fontId="118" fillId="0" borderId="159" xfId="0" applyNumberFormat="1" applyFont="1" applyBorder="1" applyAlignment="1">
      <alignment horizontal="center" vertical="center"/>
    </xf>
    <xf numFmtId="201" fontId="111" fillId="26" borderId="140" xfId="0" applyNumberFormat="1" applyFont="1" applyFill="1" applyBorder="1" applyAlignment="1">
      <alignment horizontal="center" vertical="center"/>
    </xf>
    <xf numFmtId="205" fontId="118" fillId="0" borderId="150" xfId="0" applyNumberFormat="1" applyFont="1" applyBorder="1" applyAlignment="1">
      <alignment horizontal="center" vertical="center"/>
    </xf>
    <xf numFmtId="205" fontId="117" fillId="0" borderId="160" xfId="0" applyNumberFormat="1" applyFont="1" applyBorder="1" applyAlignment="1">
      <alignment horizontal="center" vertical="center"/>
    </xf>
    <xf numFmtId="201" fontId="90" fillId="3" borderId="123" xfId="0" applyNumberFormat="1" applyFont="1" applyFill="1" applyBorder="1" applyAlignment="1">
      <alignment horizontal="center" vertical="center"/>
    </xf>
    <xf numFmtId="205" fontId="117" fillId="0" borderId="150" xfId="0" applyNumberFormat="1" applyFont="1" applyBorder="1" applyAlignment="1">
      <alignment horizontal="center" vertical="center"/>
    </xf>
    <xf numFmtId="201" fontId="90" fillId="3" borderId="125" xfId="0" applyNumberFormat="1" applyFont="1" applyFill="1" applyBorder="1" applyAlignment="1">
      <alignment horizontal="center" vertical="center"/>
    </xf>
    <xf numFmtId="201" fontId="117" fillId="17" borderId="150" xfId="0" applyNumberFormat="1" applyFont="1" applyFill="1" applyBorder="1" applyAlignment="1">
      <alignment horizontal="center" vertical="center"/>
    </xf>
    <xf numFmtId="0" fontId="86" fillId="0" borderId="0" xfId="0" applyFont="1" applyFill="1" applyAlignment="1">
      <alignment vertical="center"/>
    </xf>
    <xf numFmtId="0" fontId="96" fillId="0" borderId="0" xfId="0" applyFont="1" applyFill="1" applyBorder="1" applyAlignment="1">
      <alignment vertical="center"/>
    </xf>
    <xf numFmtId="182" fontId="111" fillId="0" borderId="25" xfId="0" applyNumberFormat="1" applyFont="1" applyBorder="1" applyAlignment="1">
      <alignment horizontal="center" vertical="center"/>
    </xf>
    <xf numFmtId="182" fontId="90" fillId="3" borderId="41" xfId="0" applyNumberFormat="1" applyFont="1" applyFill="1" applyBorder="1" applyAlignment="1">
      <alignment horizontal="center" vertical="center"/>
    </xf>
    <xf numFmtId="177" fontId="119" fillId="13" borderId="153" xfId="0" applyNumberFormat="1" applyFont="1" applyFill="1" applyBorder="1" applyAlignment="1">
      <alignment horizontal="center" vertical="center"/>
    </xf>
    <xf numFmtId="0" fontId="86" fillId="0" borderId="5" xfId="0" applyFont="1" applyBorder="1" applyAlignment="1">
      <alignment vertical="center"/>
    </xf>
    <xf numFmtId="0" fontId="86" fillId="0" borderId="5" xfId="0" applyFont="1" applyBorder="1" applyAlignment="1">
      <alignment horizontal="right" vertical="center"/>
    </xf>
    <xf numFmtId="180" fontId="109" fillId="4" borderId="0" xfId="3" quotePrefix="1" applyNumberFormat="1" applyFont="1" applyFill="1" applyBorder="1" applyAlignment="1">
      <alignment horizontal="center" vertical="center" wrapText="1" shrinkToFit="1"/>
    </xf>
    <xf numFmtId="177" fontId="119" fillId="13" borderId="0" xfId="0" applyNumberFormat="1" applyFont="1" applyFill="1" applyAlignment="1">
      <alignment horizontal="center" vertical="center"/>
    </xf>
    <xf numFmtId="180" fontId="109" fillId="4" borderId="109" xfId="3" quotePrefix="1" applyNumberFormat="1" applyFont="1" applyFill="1" applyBorder="1" applyAlignment="1">
      <alignment horizontal="center" vertical="center" wrapText="1" shrinkToFit="1"/>
    </xf>
    <xf numFmtId="0" fontId="86" fillId="0" borderId="0" xfId="0" applyFont="1" applyFill="1" applyBorder="1" applyAlignment="1">
      <alignment vertical="center"/>
    </xf>
    <xf numFmtId="0" fontId="120" fillId="0" borderId="0" xfId="0" applyFont="1" applyFill="1"/>
    <xf numFmtId="182" fontId="121" fillId="0" borderId="154" xfId="0" applyNumberFormat="1" applyFont="1" applyBorder="1" applyAlignment="1">
      <alignment horizontal="center" vertical="top"/>
    </xf>
    <xf numFmtId="204" fontId="121" fillId="0" borderId="155" xfId="0" applyNumberFormat="1" applyFont="1" applyBorder="1" applyAlignment="1">
      <alignment horizontal="right" vertical="top"/>
    </xf>
    <xf numFmtId="204" fontId="117" fillId="0" borderId="156" xfId="0" applyNumberFormat="1" applyFont="1" applyBorder="1" applyAlignment="1">
      <alignment horizontal="left" vertical="top"/>
    </xf>
    <xf numFmtId="0" fontId="90" fillId="0" borderId="9" xfId="0" applyFont="1" applyBorder="1" applyAlignment="1">
      <alignment vertical="center"/>
    </xf>
    <xf numFmtId="0" fontId="90" fillId="0" borderId="9" xfId="0" applyFont="1" applyBorder="1" applyAlignment="1">
      <alignment horizontal="right" vertical="center"/>
    </xf>
    <xf numFmtId="0" fontId="90" fillId="0" borderId="5" xfId="0" applyFont="1" applyBorder="1" applyAlignment="1">
      <alignment vertical="center"/>
    </xf>
    <xf numFmtId="180" fontId="111" fillId="4" borderId="111" xfId="3" quotePrefix="1" applyNumberFormat="1" applyFont="1" applyFill="1" applyBorder="1" applyAlignment="1">
      <alignment horizontal="center" vertical="center" wrapText="1" shrinkToFit="1"/>
    </xf>
    <xf numFmtId="180" fontId="111" fillId="4" borderId="110" xfId="3" quotePrefix="1" applyNumberFormat="1" applyFont="1" applyFill="1" applyBorder="1" applyAlignment="1">
      <alignment horizontal="center" vertical="center" wrapText="1" shrinkToFit="1"/>
    </xf>
    <xf numFmtId="180" fontId="111" fillId="4" borderId="112" xfId="3" quotePrefix="1" applyNumberFormat="1" applyFont="1" applyFill="1" applyBorder="1" applyAlignment="1">
      <alignment horizontal="center" vertical="center" wrapText="1" shrinkToFit="1"/>
    </xf>
    <xf numFmtId="180" fontId="111" fillId="4" borderId="114" xfId="3" quotePrefix="1" applyNumberFormat="1" applyFont="1" applyFill="1" applyBorder="1" applyAlignment="1">
      <alignment horizontal="center" vertical="center" wrapText="1" shrinkToFit="1"/>
    </xf>
    <xf numFmtId="180" fontId="111" fillId="4" borderId="115" xfId="3" quotePrefix="1" applyNumberFormat="1" applyFont="1" applyFill="1" applyBorder="1" applyAlignment="1">
      <alignment horizontal="center" vertical="center" wrapText="1" shrinkToFit="1"/>
    </xf>
    <xf numFmtId="180" fontId="111" fillId="4" borderId="31" xfId="3" quotePrefix="1" applyNumberFormat="1" applyFont="1" applyFill="1" applyBorder="1" applyAlignment="1">
      <alignment horizontal="center" vertical="center" wrapText="1" shrinkToFit="1"/>
    </xf>
    <xf numFmtId="180" fontId="102" fillId="4" borderId="113" xfId="3" quotePrefix="1" applyNumberFormat="1" applyFont="1" applyFill="1" applyBorder="1" applyAlignment="1">
      <alignment horizontal="center" vertical="center" wrapText="1" shrinkToFit="1"/>
    </xf>
    <xf numFmtId="180" fontId="111" fillId="4" borderId="9" xfId="3" quotePrefix="1" applyNumberFormat="1" applyFont="1" applyFill="1" applyBorder="1" applyAlignment="1">
      <alignment horizontal="center" vertical="center" wrapText="1" shrinkToFit="1"/>
    </xf>
    <xf numFmtId="0" fontId="120" fillId="0" borderId="5" xfId="0" applyFont="1" applyFill="1" applyBorder="1"/>
    <xf numFmtId="9" fontId="109" fillId="0" borderId="157" xfId="3" applyFont="1" applyBorder="1" applyAlignment="1">
      <alignment horizontal="left" vertical="center"/>
    </xf>
    <xf numFmtId="0" fontId="123" fillId="0" borderId="0" xfId="0" applyFont="1" applyAlignment="1">
      <alignment horizontal="center" vertical="center"/>
    </xf>
    <xf numFmtId="0" fontId="86" fillId="3" borderId="2" xfId="0" applyFont="1" applyFill="1" applyBorder="1" applyAlignment="1">
      <alignment horizontal="center" vertical="center" wrapText="1"/>
    </xf>
    <xf numFmtId="0" fontId="109" fillId="2" borderId="2" xfId="0" applyFont="1" applyFill="1" applyBorder="1" applyAlignment="1">
      <alignment horizontal="center" vertical="center" wrapText="1"/>
    </xf>
    <xf numFmtId="0" fontId="124" fillId="0" borderId="0" xfId="0" applyFont="1" applyAlignment="1">
      <alignment vertical="center"/>
    </xf>
    <xf numFmtId="178" fontId="125" fillId="6" borderId="10" xfId="0" quotePrefix="1" applyNumberFormat="1" applyFont="1" applyFill="1" applyBorder="1" applyAlignment="1">
      <alignment horizontal="center" vertical="center" wrapText="1" shrinkToFit="1"/>
    </xf>
    <xf numFmtId="178" fontId="126" fillId="4" borderId="10" xfId="0" quotePrefix="1" applyNumberFormat="1" applyFont="1" applyFill="1" applyBorder="1" applyAlignment="1">
      <alignment horizontal="center" vertical="center" wrapText="1" shrinkToFit="1"/>
    </xf>
    <xf numFmtId="0" fontId="123" fillId="6" borderId="4" xfId="0" applyFont="1" applyFill="1" applyBorder="1" applyAlignment="1">
      <alignment horizontal="center" vertical="center" wrapText="1" shrinkToFit="1"/>
    </xf>
    <xf numFmtId="0" fontId="101" fillId="5" borderId="0" xfId="0" applyFont="1" applyFill="1" applyAlignment="1">
      <alignment horizontal="center" vertical="center"/>
    </xf>
    <xf numFmtId="0" fontId="86" fillId="4" borderId="6" xfId="0" applyFont="1" applyFill="1" applyBorder="1" applyAlignment="1">
      <alignment horizontal="left" vertical="center" wrapText="1"/>
    </xf>
    <xf numFmtId="0" fontId="86" fillId="4" borderId="3" xfId="0" applyFont="1" applyFill="1" applyBorder="1" applyAlignment="1">
      <alignment horizontal="center" vertical="center" wrapText="1"/>
    </xf>
    <xf numFmtId="0" fontId="86" fillId="4" borderId="7" xfId="0" applyFont="1" applyFill="1" applyBorder="1" applyAlignment="1">
      <alignment horizontal="left" vertical="center" wrapText="1"/>
    </xf>
    <xf numFmtId="0" fontId="86" fillId="4" borderId="40" xfId="0" applyFont="1" applyFill="1" applyBorder="1" applyAlignment="1">
      <alignment horizontal="left" vertical="center" wrapText="1"/>
    </xf>
    <xf numFmtId="0" fontId="86" fillId="5" borderId="0" xfId="0" applyFont="1" applyFill="1" applyAlignment="1">
      <alignment vertical="center"/>
    </xf>
    <xf numFmtId="0" fontId="109" fillId="2" borderId="121" xfId="0" applyFont="1" applyFill="1" applyBorder="1" applyAlignment="1">
      <alignment horizontal="center" vertical="center" wrapText="1"/>
    </xf>
    <xf numFmtId="0" fontId="86" fillId="4" borderId="7" xfId="0" quotePrefix="1" applyFont="1" applyFill="1" applyBorder="1" applyAlignment="1">
      <alignment horizontal="left" vertical="center" wrapText="1"/>
    </xf>
    <xf numFmtId="0" fontId="86" fillId="4" borderId="8" xfId="0" applyFont="1" applyFill="1" applyBorder="1" applyAlignment="1">
      <alignment horizontal="left" vertical="center" wrapText="1"/>
    </xf>
    <xf numFmtId="0" fontId="109" fillId="4" borderId="3" xfId="0" applyFont="1" applyFill="1" applyBorder="1" applyAlignment="1">
      <alignment horizontal="center" vertical="center" wrapText="1"/>
    </xf>
    <xf numFmtId="0" fontId="86" fillId="3" borderId="8" xfId="0" applyFont="1" applyFill="1" applyBorder="1" applyAlignment="1">
      <alignment horizontal="left" vertical="center" wrapText="1"/>
    </xf>
    <xf numFmtId="0" fontId="86" fillId="18" borderId="0" xfId="0" applyFont="1" applyFill="1" applyAlignment="1">
      <alignment vertical="center"/>
    </xf>
    <xf numFmtId="0" fontId="104" fillId="0" borderId="64" xfId="0" applyFont="1" applyBorder="1" applyAlignment="1">
      <alignment horizontal="center" vertical="center"/>
    </xf>
    <xf numFmtId="0" fontId="104" fillId="0" borderId="82" xfId="0" applyFont="1" applyBorder="1" applyAlignment="1">
      <alignment horizontal="center" vertical="center"/>
    </xf>
    <xf numFmtId="0" fontId="104" fillId="0" borderId="190" xfId="0" applyFont="1" applyBorder="1" applyAlignment="1">
      <alignment horizontal="center" vertical="center"/>
    </xf>
    <xf numFmtId="0" fontId="104" fillId="0" borderId="83" xfId="0" applyFont="1" applyBorder="1" applyAlignment="1">
      <alignment horizontal="center" vertical="center"/>
    </xf>
    <xf numFmtId="2" fontId="102" fillId="0" borderId="191" xfId="0" applyNumberFormat="1" applyFont="1" applyBorder="1" applyAlignment="1">
      <alignment horizontal="center" vertical="center"/>
    </xf>
    <xf numFmtId="2" fontId="102" fillId="0" borderId="135" xfId="0" applyNumberFormat="1" applyFont="1" applyBorder="1" applyAlignment="1">
      <alignment horizontal="center" vertical="center"/>
    </xf>
    <xf numFmtId="0" fontId="104" fillId="0" borderId="16" xfId="0" applyFont="1" applyBorder="1" applyAlignment="1">
      <alignment horizontal="center"/>
    </xf>
    <xf numFmtId="0" fontId="123" fillId="11" borderId="161" xfId="0" applyFont="1" applyFill="1" applyBorder="1" applyAlignment="1">
      <alignment horizontal="left" vertical="center" wrapText="1" shrinkToFit="1"/>
    </xf>
    <xf numFmtId="0" fontId="123" fillId="11" borderId="169" xfId="0" applyFont="1" applyFill="1" applyBorder="1" applyAlignment="1">
      <alignment horizontal="left" vertical="center" wrapText="1" shrinkToFit="1"/>
    </xf>
    <xf numFmtId="0" fontId="123" fillId="11" borderId="162" xfId="0" applyFont="1" applyFill="1" applyBorder="1" applyAlignment="1">
      <alignment horizontal="left" vertical="center" wrapText="1" shrinkToFit="1"/>
    </xf>
    <xf numFmtId="0" fontId="101" fillId="11" borderId="161" xfId="0" applyFont="1" applyFill="1" applyBorder="1" applyAlignment="1">
      <alignment horizontal="center" vertical="center" wrapText="1" shrinkToFit="1"/>
    </xf>
    <xf numFmtId="0" fontId="101" fillId="11" borderId="169" xfId="0" applyFont="1" applyFill="1" applyBorder="1" applyAlignment="1">
      <alignment horizontal="center" vertical="center" wrapText="1" shrinkToFit="1"/>
    </xf>
    <xf numFmtId="0" fontId="101" fillId="11" borderId="162" xfId="0" applyFont="1" applyFill="1" applyBorder="1" applyAlignment="1">
      <alignment horizontal="center" vertical="center" wrapText="1" shrinkToFit="1"/>
    </xf>
    <xf numFmtId="0" fontId="91" fillId="28" borderId="170" xfId="0" applyFont="1" applyFill="1" applyBorder="1" applyAlignment="1">
      <alignment horizontal="left" vertical="center" wrapText="1"/>
    </xf>
    <xf numFmtId="0" fontId="91" fillId="28" borderId="93" xfId="0" applyFont="1" applyFill="1" applyBorder="1" applyAlignment="1">
      <alignment horizontal="left" vertical="center" wrapText="1"/>
    </xf>
    <xf numFmtId="0" fontId="91" fillId="28" borderId="171" xfId="0" applyFont="1" applyFill="1" applyBorder="1" applyAlignment="1">
      <alignment horizontal="left" vertical="center" wrapText="1"/>
    </xf>
    <xf numFmtId="0" fontId="90" fillId="6" borderId="165" xfId="0" applyFont="1" applyFill="1" applyBorder="1" applyAlignment="1">
      <alignment horizontal="center" vertical="center" textRotation="90" wrapText="1"/>
    </xf>
    <xf numFmtId="0" fontId="90" fillId="6" borderId="13" xfId="0" applyFont="1" applyFill="1" applyBorder="1" applyAlignment="1">
      <alignment horizontal="center" vertical="center" textRotation="90" wrapText="1"/>
    </xf>
    <xf numFmtId="0" fontId="123" fillId="6" borderId="161" xfId="0" applyFont="1" applyFill="1" applyBorder="1" applyAlignment="1">
      <alignment horizontal="center" vertical="center" wrapText="1"/>
    </xf>
    <xf numFmtId="0" fontId="123" fillId="6" borderId="162" xfId="0" applyFont="1" applyFill="1" applyBorder="1" applyAlignment="1">
      <alignment horizontal="center" vertical="center" wrapText="1"/>
    </xf>
    <xf numFmtId="0" fontId="90" fillId="4" borderId="168" xfId="0" applyFont="1" applyFill="1" applyBorder="1" applyAlignment="1">
      <alignment horizontal="center" vertical="center" textRotation="90" wrapText="1"/>
    </xf>
    <xf numFmtId="0" fontId="90" fillId="4" borderId="13" xfId="0" applyFont="1" applyFill="1" applyBorder="1" applyAlignment="1">
      <alignment horizontal="center" vertical="center" textRotation="90" wrapText="1"/>
    </xf>
    <xf numFmtId="0" fontId="101" fillId="4" borderId="172" xfId="0" applyFont="1" applyFill="1" applyBorder="1" applyAlignment="1">
      <alignment horizontal="left" vertical="center" wrapText="1"/>
    </xf>
    <xf numFmtId="0" fontId="101" fillId="4" borderId="72" xfId="0" applyFont="1" applyFill="1" applyBorder="1" applyAlignment="1">
      <alignment horizontal="left" vertical="center" wrapText="1"/>
    </xf>
    <xf numFmtId="0" fontId="91" fillId="9" borderId="87" xfId="0" applyFont="1" applyFill="1" applyBorder="1" applyAlignment="1">
      <alignment horizontal="left" vertical="center" wrapText="1"/>
    </xf>
    <xf numFmtId="0" fontId="91" fillId="9" borderId="107" xfId="0" applyFont="1" applyFill="1" applyBorder="1" applyAlignment="1">
      <alignment horizontal="left" vertical="center" wrapText="1"/>
    </xf>
    <xf numFmtId="0" fontId="91" fillId="9" borderId="171" xfId="0" applyFont="1" applyFill="1" applyBorder="1" applyAlignment="1">
      <alignment horizontal="left" vertical="center" wrapText="1"/>
    </xf>
    <xf numFmtId="0" fontId="101" fillId="11" borderId="74" xfId="0" applyFont="1" applyFill="1" applyBorder="1" applyAlignment="1">
      <alignment horizontal="center" vertical="center" wrapText="1"/>
    </xf>
    <xf numFmtId="0" fontId="101" fillId="11" borderId="75" xfId="0" applyFont="1" applyFill="1" applyBorder="1" applyAlignment="1">
      <alignment horizontal="center" vertical="center" wrapText="1"/>
    </xf>
    <xf numFmtId="0" fontId="101" fillId="11" borderId="180" xfId="0" applyFont="1" applyFill="1" applyBorder="1" applyAlignment="1">
      <alignment horizontal="center" vertical="center" wrapText="1"/>
    </xf>
    <xf numFmtId="0" fontId="101" fillId="11" borderId="181" xfId="0" applyFont="1" applyFill="1" applyBorder="1" applyAlignment="1">
      <alignment horizontal="center" vertical="center" wrapText="1"/>
    </xf>
    <xf numFmtId="0" fontId="101" fillId="11" borderId="126" xfId="0" applyFont="1" applyFill="1" applyBorder="1" applyAlignment="1">
      <alignment horizontal="center" vertical="center" wrapText="1"/>
    </xf>
    <xf numFmtId="0" fontId="101" fillId="11" borderId="194" xfId="0" applyFont="1" applyFill="1" applyBorder="1" applyAlignment="1">
      <alignment horizontal="center" vertical="center" wrapText="1"/>
    </xf>
    <xf numFmtId="0" fontId="101" fillId="4" borderId="74" xfId="0" applyFont="1" applyFill="1" applyBorder="1" applyAlignment="1">
      <alignment horizontal="center" vertical="center" wrapText="1"/>
    </xf>
    <xf numFmtId="0" fontId="101" fillId="4" borderId="75" xfId="0" applyFont="1" applyFill="1" applyBorder="1" applyAlignment="1">
      <alignment horizontal="center" vertical="center" wrapText="1"/>
    </xf>
    <xf numFmtId="0" fontId="101" fillId="4" borderId="180" xfId="0" applyFont="1" applyFill="1" applyBorder="1" applyAlignment="1">
      <alignment horizontal="center" vertical="center" wrapText="1"/>
    </xf>
    <xf numFmtId="0" fontId="101" fillId="4" borderId="181" xfId="0" applyFont="1" applyFill="1" applyBorder="1" applyAlignment="1">
      <alignment horizontal="center" vertical="center" wrapText="1"/>
    </xf>
    <xf numFmtId="0" fontId="101" fillId="4" borderId="126" xfId="0" applyFont="1" applyFill="1" applyBorder="1" applyAlignment="1">
      <alignment horizontal="center" vertical="center" wrapText="1"/>
    </xf>
    <xf numFmtId="0" fontId="101" fillId="4" borderId="194" xfId="0" applyFont="1" applyFill="1" applyBorder="1" applyAlignment="1">
      <alignment horizontal="center" vertical="center" wrapText="1"/>
    </xf>
    <xf numFmtId="0" fontId="91" fillId="9" borderId="170" xfId="0" applyFont="1" applyFill="1" applyBorder="1" applyAlignment="1">
      <alignment horizontal="left" vertical="center" wrapText="1"/>
    </xf>
    <xf numFmtId="0" fontId="91" fillId="9" borderId="93" xfId="0" applyFont="1" applyFill="1" applyBorder="1" applyAlignment="1">
      <alignment horizontal="left" vertical="center" wrapText="1"/>
    </xf>
    <xf numFmtId="0" fontId="127" fillId="28" borderId="170" xfId="0" applyFont="1" applyFill="1" applyBorder="1" applyAlignment="1">
      <alignment horizontal="left" vertical="center" wrapText="1"/>
    </xf>
    <xf numFmtId="0" fontId="127" fillId="28" borderId="93" xfId="0" applyFont="1" applyFill="1" applyBorder="1" applyAlignment="1">
      <alignment horizontal="left" vertical="center" wrapText="1"/>
    </xf>
    <xf numFmtId="0" fontId="127" fillId="28" borderId="171" xfId="0" applyFont="1" applyFill="1" applyBorder="1" applyAlignment="1">
      <alignment horizontal="left" vertical="center" wrapText="1"/>
    </xf>
    <xf numFmtId="0" fontId="101" fillId="11" borderId="161" xfId="0" applyFont="1" applyFill="1" applyBorder="1" applyAlignment="1">
      <alignment horizontal="left" vertical="center" wrapText="1" shrinkToFit="1"/>
    </xf>
    <xf numFmtId="0" fontId="101" fillId="11" borderId="169" xfId="0" applyFont="1" applyFill="1" applyBorder="1" applyAlignment="1">
      <alignment horizontal="left" vertical="center" wrapText="1" shrinkToFit="1"/>
    </xf>
    <xf numFmtId="0" fontId="101" fillId="11" borderId="162" xfId="0" applyFont="1" applyFill="1" applyBorder="1" applyAlignment="1">
      <alignment horizontal="left" vertical="center" wrapText="1" shrinkToFit="1"/>
    </xf>
    <xf numFmtId="0" fontId="89" fillId="3" borderId="74" xfId="0" applyFont="1" applyFill="1" applyBorder="1" applyAlignment="1">
      <alignment horizontal="center" vertical="center" wrapText="1"/>
    </xf>
    <xf numFmtId="0" fontId="89" fillId="3" borderId="120" xfId="0" applyFont="1" applyFill="1" applyBorder="1" applyAlignment="1">
      <alignment horizontal="center" vertical="center" wrapText="1"/>
    </xf>
    <xf numFmtId="0" fontId="89" fillId="3" borderId="75" xfId="0" applyFont="1" applyFill="1" applyBorder="1" applyAlignment="1">
      <alignment horizontal="center" vertical="center" wrapText="1"/>
    </xf>
    <xf numFmtId="0" fontId="101" fillId="4" borderId="184" xfId="0" applyFont="1" applyFill="1" applyBorder="1" applyAlignment="1">
      <alignment horizontal="left" vertical="center" wrapText="1"/>
    </xf>
    <xf numFmtId="0" fontId="101" fillId="4" borderId="185" xfId="0" applyFont="1" applyFill="1" applyBorder="1" applyAlignment="1">
      <alignment horizontal="left" vertical="center" wrapText="1"/>
    </xf>
    <xf numFmtId="0" fontId="101" fillId="4" borderId="176" xfId="0" applyFont="1" applyFill="1" applyBorder="1" applyAlignment="1">
      <alignment horizontal="left" vertical="center" wrapText="1"/>
    </xf>
    <xf numFmtId="0" fontId="101" fillId="4" borderId="177" xfId="0" applyFont="1" applyFill="1" applyBorder="1" applyAlignment="1">
      <alignment horizontal="left" vertical="center" wrapText="1"/>
    </xf>
    <xf numFmtId="0" fontId="86" fillId="0" borderId="192" xfId="0" applyFont="1" applyBorder="1" applyAlignment="1">
      <alignment horizontal="center" vertical="center"/>
    </xf>
    <xf numFmtId="0" fontId="86" fillId="0" borderId="193" xfId="0" applyFont="1" applyBorder="1" applyAlignment="1">
      <alignment horizontal="center" vertical="center"/>
    </xf>
    <xf numFmtId="180" fontId="109" fillId="4" borderId="187" xfId="3" quotePrefix="1" applyNumberFormat="1" applyFont="1" applyFill="1" applyBorder="1" applyAlignment="1">
      <alignment horizontal="center" vertical="center" wrapText="1" shrinkToFit="1"/>
    </xf>
    <xf numFmtId="180" fontId="109" fillId="4" borderId="189" xfId="3" quotePrefix="1" applyNumberFormat="1" applyFont="1" applyFill="1" applyBorder="1" applyAlignment="1">
      <alignment horizontal="center" vertical="center" wrapText="1" shrinkToFit="1"/>
    </xf>
    <xf numFmtId="180" fontId="109" fillId="4" borderId="188" xfId="3" quotePrefix="1" applyNumberFormat="1" applyFont="1" applyFill="1" applyBorder="1" applyAlignment="1">
      <alignment horizontal="center" vertical="center" wrapText="1" shrinkToFit="1"/>
    </xf>
    <xf numFmtId="0" fontId="101" fillId="11" borderId="178" xfId="0" applyFont="1" applyFill="1" applyBorder="1" applyAlignment="1">
      <alignment horizontal="left" vertical="center" wrapText="1"/>
    </xf>
    <xf numFmtId="0" fontId="101" fillId="11" borderId="179" xfId="0" applyFont="1" applyFill="1" applyBorder="1" applyAlignment="1">
      <alignment horizontal="left" vertical="center" wrapText="1"/>
    </xf>
    <xf numFmtId="0" fontId="101" fillId="11" borderId="180" xfId="0" applyFont="1" applyFill="1" applyBorder="1" applyAlignment="1">
      <alignment horizontal="left" vertical="center" wrapText="1"/>
    </xf>
    <xf numFmtId="0" fontId="101" fillId="11" borderId="181" xfId="0" applyFont="1" applyFill="1" applyBorder="1" applyAlignment="1">
      <alignment horizontal="left" vertical="center" wrapText="1"/>
    </xf>
    <xf numFmtId="0" fontId="101" fillId="11" borderId="182" xfId="0" applyFont="1" applyFill="1" applyBorder="1" applyAlignment="1">
      <alignment horizontal="left" vertical="center" wrapText="1"/>
    </xf>
    <xf numFmtId="0" fontId="101" fillId="11" borderId="183" xfId="0" applyFont="1" applyFill="1" applyBorder="1" applyAlignment="1">
      <alignment horizontal="left" vertical="center" wrapText="1"/>
    </xf>
    <xf numFmtId="0" fontId="86" fillId="0" borderId="179" xfId="0" applyFont="1" applyBorder="1"/>
    <xf numFmtId="0" fontId="86" fillId="0" borderId="180" xfId="0" applyFont="1" applyBorder="1"/>
    <xf numFmtId="0" fontId="86" fillId="0" borderId="181" xfId="0" applyFont="1" applyBorder="1"/>
    <xf numFmtId="0" fontId="86" fillId="0" borderId="182" xfId="0" applyFont="1" applyBorder="1"/>
    <xf numFmtId="0" fontId="86" fillId="0" borderId="183" xfId="0" applyFont="1" applyBorder="1"/>
    <xf numFmtId="0" fontId="127" fillId="9" borderId="170" xfId="0" applyFont="1" applyFill="1" applyBorder="1" applyAlignment="1">
      <alignment horizontal="left" vertical="center" wrapText="1"/>
    </xf>
    <xf numFmtId="0" fontId="127" fillId="9" borderId="93" xfId="0" applyFont="1" applyFill="1" applyBorder="1" applyAlignment="1">
      <alignment horizontal="left" vertical="center" wrapText="1"/>
    </xf>
    <xf numFmtId="0" fontId="127" fillId="9" borderId="171" xfId="0" applyFont="1" applyFill="1" applyBorder="1" applyAlignment="1">
      <alignment horizontal="left" vertical="center" wrapText="1"/>
    </xf>
    <xf numFmtId="0" fontId="91" fillId="9" borderId="173" xfId="0" applyFont="1" applyFill="1" applyBorder="1" applyAlignment="1">
      <alignment horizontal="left" vertical="center" wrapText="1"/>
    </xf>
    <xf numFmtId="0" fontId="91" fillId="9" borderId="174" xfId="0" applyFont="1" applyFill="1" applyBorder="1" applyAlignment="1">
      <alignment horizontal="left" vertical="center" wrapText="1"/>
    </xf>
    <xf numFmtId="0" fontId="91" fillId="9" borderId="175" xfId="0" applyFont="1" applyFill="1" applyBorder="1" applyAlignment="1">
      <alignment horizontal="left" vertical="center" wrapText="1"/>
    </xf>
    <xf numFmtId="0" fontId="85" fillId="8" borderId="0" xfId="0" applyFont="1" applyFill="1" applyAlignment="1">
      <alignment horizontal="center" vertical="center"/>
    </xf>
    <xf numFmtId="0" fontId="91" fillId="28" borderId="173" xfId="0" applyFont="1" applyFill="1" applyBorder="1" applyAlignment="1">
      <alignment horizontal="left" vertical="center" wrapText="1"/>
    </xf>
    <xf numFmtId="0" fontId="91" fillId="28" borderId="174" xfId="0" applyFont="1" applyFill="1" applyBorder="1" applyAlignment="1">
      <alignment horizontal="left" vertical="center" wrapText="1"/>
    </xf>
    <xf numFmtId="0" fontId="91" fillId="28" borderId="175" xfId="0" applyFont="1" applyFill="1" applyBorder="1" applyAlignment="1">
      <alignment horizontal="left" vertical="center" wrapText="1"/>
    </xf>
    <xf numFmtId="0" fontId="114" fillId="0" borderId="0" xfId="0" applyFont="1" applyAlignment="1">
      <alignment horizontal="center" vertical="center" wrapText="1"/>
    </xf>
    <xf numFmtId="0" fontId="114" fillId="0" borderId="186" xfId="0" applyFont="1" applyBorder="1" applyAlignment="1">
      <alignment horizontal="center" vertical="center" wrapText="1"/>
    </xf>
    <xf numFmtId="0" fontId="122" fillId="3" borderId="166" xfId="0" applyFont="1" applyFill="1" applyBorder="1" applyAlignment="1">
      <alignment horizontal="center" vertical="center" wrapText="1"/>
    </xf>
    <xf numFmtId="0" fontId="122" fillId="3" borderId="167" xfId="0" applyFont="1" applyFill="1" applyBorder="1" applyAlignment="1">
      <alignment horizontal="center" vertical="center" wrapText="1"/>
    </xf>
    <xf numFmtId="0" fontId="90" fillId="17" borderId="165" xfId="0" applyFont="1" applyFill="1" applyBorder="1" applyAlignment="1">
      <alignment horizontal="center" vertical="center" textRotation="90" wrapText="1"/>
    </xf>
    <xf numFmtId="0" fontId="90" fillId="17" borderId="13" xfId="0" applyFont="1" applyFill="1" applyBorder="1" applyAlignment="1">
      <alignment horizontal="center" vertical="center" textRotation="90" wrapText="1"/>
    </xf>
    <xf numFmtId="0" fontId="90" fillId="4" borderId="165" xfId="0" applyFont="1" applyFill="1" applyBorder="1" applyAlignment="1">
      <alignment horizontal="center" vertical="center" textRotation="90" wrapText="1"/>
    </xf>
    <xf numFmtId="181" fontId="86" fillId="3" borderId="163" xfId="0" applyNumberFormat="1" applyFont="1" applyFill="1" applyBorder="1" applyAlignment="1">
      <alignment horizontal="center" vertical="center" wrapText="1"/>
    </xf>
    <xf numFmtId="181" fontId="86" fillId="3" borderId="164" xfId="0" applyNumberFormat="1" applyFont="1" applyFill="1" applyBorder="1" applyAlignment="1">
      <alignment horizontal="center" vertical="center" wrapText="1"/>
    </xf>
    <xf numFmtId="0" fontId="122" fillId="2" borderId="166" xfId="0" applyFont="1" applyFill="1" applyBorder="1" applyAlignment="1">
      <alignment horizontal="center" vertical="center" wrapText="1"/>
    </xf>
    <xf numFmtId="0" fontId="122" fillId="2" borderId="167" xfId="0" applyFont="1" applyFill="1" applyBorder="1" applyAlignment="1">
      <alignment horizontal="center" vertical="center" wrapText="1"/>
    </xf>
    <xf numFmtId="9" fontId="10" fillId="6" borderId="41" xfId="0" applyNumberFormat="1" applyFont="1" applyFill="1" applyBorder="1" applyAlignment="1">
      <alignment horizontal="center" vertical="center"/>
    </xf>
    <xf numFmtId="9" fontId="10" fillId="6" borderId="122" xfId="0" applyNumberFormat="1" applyFont="1" applyFill="1" applyBorder="1" applyAlignment="1">
      <alignment horizontal="center" vertical="center"/>
    </xf>
    <xf numFmtId="0" fontId="2" fillId="0" borderId="205" xfId="0" applyFont="1" applyBorder="1" applyAlignment="1">
      <alignment horizontal="center" vertical="center"/>
    </xf>
    <xf numFmtId="0" fontId="2" fillId="0" borderId="206" xfId="0" applyFont="1" applyBorder="1" applyAlignment="1">
      <alignment horizontal="center" vertical="center"/>
    </xf>
    <xf numFmtId="0" fontId="2" fillId="0" borderId="207" xfId="0" applyFont="1" applyBorder="1" applyAlignment="1">
      <alignment horizontal="center" vertical="center"/>
    </xf>
    <xf numFmtId="9" fontId="10" fillId="3" borderId="41" xfId="0" applyNumberFormat="1" applyFont="1" applyFill="1" applyBorder="1" applyAlignment="1">
      <alignment horizontal="center" vertical="center"/>
    </xf>
    <xf numFmtId="9" fontId="10" fillId="3" borderId="122" xfId="0" applyNumberFormat="1" applyFont="1" applyFill="1" applyBorder="1" applyAlignment="1">
      <alignment horizontal="center" vertical="center"/>
    </xf>
    <xf numFmtId="9" fontId="15" fillId="6" borderId="41" xfId="0" applyNumberFormat="1" applyFont="1" applyFill="1" applyBorder="1" applyAlignment="1">
      <alignment horizontal="center" vertical="center"/>
    </xf>
    <xf numFmtId="9" fontId="15" fillId="6" borderId="122" xfId="0" applyNumberFormat="1" applyFont="1" applyFill="1" applyBorder="1" applyAlignment="1">
      <alignment horizontal="center" vertical="center"/>
    </xf>
    <xf numFmtId="0" fontId="42" fillId="3" borderId="65" xfId="0" applyFont="1" applyFill="1" applyBorder="1" applyAlignment="1">
      <alignment horizontal="left" vertical="center" wrapText="1"/>
    </xf>
    <xf numFmtId="0" fontId="39" fillId="7" borderId="201" xfId="0" applyFont="1" applyFill="1" applyBorder="1" applyAlignment="1">
      <alignment horizontal="left" vertical="center"/>
    </xf>
    <xf numFmtId="0" fontId="39" fillId="7" borderId="57" xfId="0" applyFont="1" applyFill="1" applyBorder="1" applyAlignment="1">
      <alignment horizontal="left" vertical="center"/>
    </xf>
    <xf numFmtId="0" fontId="65" fillId="0" borderId="0" xfId="2" applyFont="1" applyAlignment="1" applyProtection="1">
      <alignment horizontal="center" vertical="center"/>
    </xf>
    <xf numFmtId="0" fontId="22" fillId="0" borderId="0" xfId="0" applyFont="1" applyAlignment="1">
      <alignment horizontal="center" vertical="center"/>
    </xf>
    <xf numFmtId="0" fontId="22" fillId="0" borderId="123" xfId="0" applyFont="1" applyBorder="1" applyAlignment="1">
      <alignment horizontal="left"/>
    </xf>
    <xf numFmtId="0" fontId="39" fillId="7" borderId="201" xfId="0" quotePrefix="1" applyFont="1" applyFill="1" applyBorder="1" applyAlignment="1">
      <alignment horizontal="left" vertical="center"/>
    </xf>
    <xf numFmtId="0" fontId="39" fillId="7" borderId="57" xfId="0" quotePrefix="1" applyFont="1" applyFill="1" applyBorder="1" applyAlignment="1">
      <alignment horizontal="left" vertical="center"/>
    </xf>
    <xf numFmtId="0" fontId="8" fillId="6" borderId="201" xfId="0" applyFont="1" applyFill="1" applyBorder="1" applyAlignment="1">
      <alignment horizontal="left" vertical="center"/>
    </xf>
    <xf numFmtId="0" fontId="8" fillId="6" borderId="57" xfId="0" applyFont="1" applyFill="1" applyBorder="1" applyAlignment="1">
      <alignment horizontal="left" vertical="center"/>
    </xf>
    <xf numFmtId="0" fontId="26" fillId="0" borderId="201" xfId="0" applyFont="1" applyFill="1" applyBorder="1" applyAlignment="1">
      <alignment horizontal="left" vertical="center"/>
    </xf>
    <xf numFmtId="0" fontId="26" fillId="0" borderId="57" xfId="0" applyFont="1" applyFill="1" applyBorder="1" applyAlignment="1">
      <alignment horizontal="left" vertical="center"/>
    </xf>
    <xf numFmtId="0" fontId="25" fillId="4" borderId="198" xfId="0" applyFont="1" applyFill="1" applyBorder="1" applyAlignment="1">
      <alignment horizontal="left" vertical="center" wrapText="1"/>
    </xf>
    <xf numFmtId="0" fontId="25" fillId="4" borderId="0" xfId="0" applyFont="1" applyFill="1" applyBorder="1" applyAlignment="1">
      <alignment horizontal="left" vertical="center" wrapText="1"/>
    </xf>
    <xf numFmtId="0" fontId="25" fillId="4" borderId="22" xfId="0" applyFont="1" applyFill="1" applyBorder="1" applyAlignment="1">
      <alignment horizontal="left" vertical="center" wrapText="1"/>
    </xf>
    <xf numFmtId="185" fontId="8" fillId="6" borderId="202" xfId="0" applyNumberFormat="1" applyFont="1" applyFill="1" applyBorder="1" applyAlignment="1">
      <alignment horizontal="center" vertical="center"/>
    </xf>
    <xf numFmtId="0" fontId="8" fillId="6" borderId="203" xfId="0" applyFont="1" applyFill="1" applyBorder="1" applyAlignment="1">
      <alignment horizontal="center" vertical="center"/>
    </xf>
    <xf numFmtId="0" fontId="8" fillId="6" borderId="204" xfId="0" applyFont="1" applyFill="1" applyBorder="1" applyAlignment="1">
      <alignment horizontal="center" vertical="center"/>
    </xf>
    <xf numFmtId="186" fontId="27" fillId="6" borderId="41" xfId="0" applyNumberFormat="1" applyFont="1" applyFill="1" applyBorder="1" applyAlignment="1">
      <alignment horizontal="center" vertical="center"/>
    </xf>
    <xf numFmtId="186" fontId="27" fillId="6" borderId="200" xfId="0" applyNumberFormat="1" applyFont="1" applyFill="1" applyBorder="1" applyAlignment="1">
      <alignment horizontal="center" vertical="center"/>
    </xf>
    <xf numFmtId="186" fontId="27" fillId="6" borderId="199" xfId="0" applyNumberFormat="1" applyFont="1" applyFill="1" applyBorder="1" applyAlignment="1">
      <alignment horizontal="center" vertical="center"/>
    </xf>
    <xf numFmtId="0" fontId="2" fillId="2" borderId="208" xfId="0" applyFont="1" applyFill="1" applyBorder="1" applyAlignment="1">
      <alignment horizontal="center" vertical="center"/>
    </xf>
    <xf numFmtId="0" fontId="2" fillId="2" borderId="113" xfId="0" applyFont="1" applyFill="1" applyBorder="1" applyAlignment="1">
      <alignment horizontal="center" vertical="center"/>
    </xf>
    <xf numFmtId="0" fontId="2" fillId="2" borderId="209" xfId="0" applyFont="1" applyFill="1" applyBorder="1" applyAlignment="1">
      <alignment horizontal="center" vertical="center"/>
    </xf>
    <xf numFmtId="0" fontId="25" fillId="4" borderId="197" xfId="0" applyFont="1" applyFill="1" applyBorder="1" applyAlignment="1">
      <alignment horizontal="left" vertical="center" wrapText="1"/>
    </xf>
    <xf numFmtId="0" fontId="3" fillId="0" borderId="195" xfId="0" applyFont="1" applyBorder="1" applyAlignment="1">
      <alignment horizontal="center" vertical="center" wrapText="1"/>
    </xf>
    <xf numFmtId="0" fontId="3" fillId="0" borderId="196" xfId="0" applyFont="1" applyBorder="1" applyAlignment="1">
      <alignment horizontal="center" vertical="center" wrapText="1"/>
    </xf>
    <xf numFmtId="0" fontId="78" fillId="0" borderId="0" xfId="0" applyFont="1" applyAlignment="1">
      <alignment horizontal="left" vertical="center" wrapText="1"/>
    </xf>
    <xf numFmtId="0" fontId="42" fillId="7" borderId="41" xfId="0" applyFont="1" applyFill="1" applyBorder="1" applyAlignment="1">
      <alignment horizontal="center" vertical="center" wrapText="1"/>
    </xf>
    <xf numFmtId="0" fontId="42" fillId="7" borderId="16" xfId="0" applyFont="1" applyFill="1" applyBorder="1" applyAlignment="1">
      <alignment horizontal="center" vertical="center" wrapText="1"/>
    </xf>
    <xf numFmtId="0" fontId="42" fillId="7" borderId="122" xfId="0" applyFont="1" applyFill="1" applyBorder="1" applyAlignment="1">
      <alignment horizontal="center" vertical="center" wrapText="1"/>
    </xf>
    <xf numFmtId="0" fontId="44" fillId="24" borderId="222" xfId="0" applyFont="1" applyFill="1" applyBorder="1" applyAlignment="1">
      <alignment horizontal="left" vertical="center" wrapText="1"/>
    </xf>
    <xf numFmtId="0" fontId="44" fillId="24" borderId="138" xfId="0" applyFont="1" applyFill="1" applyBorder="1" applyAlignment="1">
      <alignment horizontal="left" vertical="center" wrapText="1"/>
    </xf>
    <xf numFmtId="0" fontId="44" fillId="22" borderId="138" xfId="0" applyFont="1" applyFill="1" applyBorder="1" applyAlignment="1">
      <alignment horizontal="left" vertical="center" wrapText="1"/>
    </xf>
    <xf numFmtId="0" fontId="44" fillId="22" borderId="134" xfId="0" applyFont="1" applyFill="1" applyBorder="1" applyAlignment="1">
      <alignment horizontal="left" vertical="center" wrapText="1"/>
    </xf>
    <xf numFmtId="0" fontId="51" fillId="9" borderId="0" xfId="0" applyFont="1" applyFill="1" applyAlignment="1">
      <alignment horizontal="left" vertical="center" wrapText="1"/>
    </xf>
    <xf numFmtId="0" fontId="51" fillId="9" borderId="223" xfId="0" applyFont="1" applyFill="1" applyBorder="1" applyAlignment="1">
      <alignment horizontal="left" vertical="center" wrapText="1"/>
    </xf>
    <xf numFmtId="9" fontId="8" fillId="0" borderId="224" xfId="3" applyFont="1" applyFill="1" applyBorder="1" applyAlignment="1">
      <alignment horizontal="center" vertical="center" wrapText="1"/>
    </xf>
    <xf numFmtId="0" fontId="12" fillId="3" borderId="0" xfId="0" applyFont="1" applyFill="1" applyAlignment="1">
      <alignment horizontal="left" vertical="center" wrapText="1"/>
    </xf>
    <xf numFmtId="0" fontId="12" fillId="3" borderId="47" xfId="0" applyFont="1" applyFill="1" applyBorder="1" applyAlignment="1">
      <alignment horizontal="left" vertical="center" wrapText="1"/>
    </xf>
    <xf numFmtId="0" fontId="2" fillId="7" borderId="205" xfId="0" applyFont="1" applyFill="1" applyBorder="1" applyAlignment="1">
      <alignment horizontal="right" vertical="center" shrinkToFit="1"/>
    </xf>
    <xf numFmtId="0" fontId="2" fillId="7" borderId="211" xfId="0" applyFont="1" applyFill="1" applyBorder="1" applyAlignment="1">
      <alignment horizontal="right" vertical="center" shrinkToFit="1"/>
    </xf>
    <xf numFmtId="195" fontId="9" fillId="6" borderId="212" xfId="0" applyNumberFormat="1" applyFont="1" applyFill="1" applyBorder="1" applyAlignment="1">
      <alignment horizontal="center" vertical="center" wrapText="1"/>
    </xf>
    <xf numFmtId="195" fontId="9" fillId="6" borderId="206" xfId="0" applyNumberFormat="1" applyFont="1" applyFill="1" applyBorder="1" applyAlignment="1">
      <alignment horizontal="center" vertical="center" wrapText="1"/>
    </xf>
    <xf numFmtId="195" fontId="9" fillId="6" borderId="207" xfId="0" applyNumberFormat="1" applyFont="1" applyFill="1" applyBorder="1" applyAlignment="1">
      <alignment horizontal="center" vertical="center" wrapText="1"/>
    </xf>
    <xf numFmtId="0" fontId="13" fillId="7" borderId="64" xfId="0" applyFont="1" applyFill="1" applyBorder="1" applyAlignment="1">
      <alignment horizontal="right" vertical="center" wrapText="1"/>
    </xf>
    <xf numFmtId="0" fontId="13" fillId="7" borderId="82" xfId="0" applyFont="1" applyFill="1" applyBorder="1" applyAlignment="1">
      <alignment horizontal="right" vertical="center" wrapText="1"/>
    </xf>
    <xf numFmtId="9" fontId="51" fillId="5" borderId="213" xfId="3" applyFont="1" applyFill="1" applyBorder="1" applyAlignment="1">
      <alignment horizontal="center" vertical="center" wrapText="1"/>
    </xf>
    <xf numFmtId="9" fontId="51" fillId="5" borderId="93" xfId="3" applyFont="1" applyFill="1" applyBorder="1" applyAlignment="1">
      <alignment horizontal="center" vertical="center" wrapText="1"/>
    </xf>
    <xf numFmtId="9" fontId="51" fillId="5" borderId="214" xfId="3" applyFont="1" applyFill="1" applyBorder="1" applyAlignment="1">
      <alignment horizontal="center" vertical="center" wrapText="1"/>
    </xf>
    <xf numFmtId="9" fontId="10" fillId="6" borderId="215" xfId="3" applyFont="1" applyFill="1" applyBorder="1" applyAlignment="1">
      <alignment horizontal="center" vertical="center" wrapText="1"/>
    </xf>
    <xf numFmtId="9" fontId="10" fillId="6" borderId="0" xfId="3" applyFont="1" applyFill="1" applyBorder="1" applyAlignment="1">
      <alignment horizontal="center" vertical="center" wrapText="1"/>
    </xf>
    <xf numFmtId="9" fontId="10" fillId="6" borderId="216" xfId="3" applyFont="1" applyFill="1" applyBorder="1" applyAlignment="1">
      <alignment horizontal="center" vertical="center" wrapText="1"/>
    </xf>
    <xf numFmtId="9" fontId="10" fillId="6" borderId="217" xfId="3" applyFont="1" applyFill="1" applyBorder="1" applyAlignment="1">
      <alignment horizontal="center" vertical="center" wrapText="1"/>
    </xf>
    <xf numFmtId="9" fontId="10" fillId="6" borderId="218" xfId="3" applyFont="1" applyFill="1" applyBorder="1" applyAlignment="1">
      <alignment horizontal="center" vertical="center" wrapText="1"/>
    </xf>
    <xf numFmtId="9" fontId="10" fillId="6" borderId="219" xfId="3" applyFont="1" applyFill="1" applyBorder="1" applyAlignment="1">
      <alignment horizontal="center" vertical="center" wrapText="1"/>
    </xf>
    <xf numFmtId="9" fontId="52" fillId="6" borderId="220" xfId="3" applyFont="1" applyFill="1" applyBorder="1" applyAlignment="1">
      <alignment horizontal="center" vertical="center" wrapText="1"/>
    </xf>
    <xf numFmtId="9" fontId="52" fillId="6" borderId="120" xfId="3" applyFont="1" applyFill="1" applyBorder="1" applyAlignment="1">
      <alignment horizontal="center" vertical="center" wrapText="1"/>
    </xf>
    <xf numFmtId="9" fontId="52" fillId="6" borderId="221" xfId="3" applyFont="1" applyFill="1" applyBorder="1" applyAlignment="1">
      <alignment horizontal="center" vertical="center" wrapText="1"/>
    </xf>
    <xf numFmtId="9" fontId="52" fillId="6" borderId="215" xfId="3" applyFont="1" applyFill="1" applyBorder="1" applyAlignment="1">
      <alignment horizontal="center" vertical="center" wrapText="1"/>
    </xf>
    <xf numFmtId="9" fontId="52" fillId="6" borderId="0" xfId="3" applyFont="1" applyFill="1" applyBorder="1" applyAlignment="1">
      <alignment horizontal="center" vertical="center" wrapText="1"/>
    </xf>
    <xf numFmtId="9" fontId="52" fillId="6" borderId="216" xfId="3" applyFont="1" applyFill="1" applyBorder="1" applyAlignment="1">
      <alignment horizontal="center" vertical="center" wrapText="1"/>
    </xf>
    <xf numFmtId="9" fontId="52" fillId="6" borderId="217" xfId="3" applyFont="1" applyFill="1" applyBorder="1" applyAlignment="1">
      <alignment horizontal="center" vertical="center" wrapText="1"/>
    </xf>
    <xf numFmtId="9" fontId="52" fillId="6" borderId="218" xfId="3" applyFont="1" applyFill="1" applyBorder="1" applyAlignment="1">
      <alignment horizontal="center" vertical="center" wrapText="1"/>
    </xf>
    <xf numFmtId="9" fontId="52" fillId="6" borderId="219" xfId="3" applyFont="1" applyFill="1" applyBorder="1" applyAlignment="1">
      <alignment horizontal="center" vertical="center" wrapText="1"/>
    </xf>
    <xf numFmtId="197" fontId="8" fillId="2" borderId="35" xfId="0" applyNumberFormat="1" applyFont="1" applyFill="1" applyBorder="1" applyAlignment="1">
      <alignment horizontal="center" vertical="center" wrapText="1"/>
    </xf>
    <xf numFmtId="0" fontId="74" fillId="22" borderId="173" xfId="0" applyFont="1" applyFill="1" applyBorder="1" applyAlignment="1">
      <alignment horizontal="center" vertical="center" wrapText="1"/>
    </xf>
    <xf numFmtId="0" fontId="74" fillId="22" borderId="174" xfId="0" applyFont="1" applyFill="1" applyBorder="1" applyAlignment="1">
      <alignment horizontal="center" vertical="center"/>
    </xf>
    <xf numFmtId="0" fontId="74" fillId="22" borderId="210" xfId="0" applyFont="1" applyFill="1" applyBorder="1" applyAlignment="1">
      <alignment horizontal="center" vertical="center"/>
    </xf>
    <xf numFmtId="9" fontId="13" fillId="2" borderId="56" xfId="3" applyFont="1" applyFill="1" applyBorder="1" applyAlignment="1">
      <alignment horizontal="center" vertical="center" wrapText="1"/>
    </xf>
    <xf numFmtId="9" fontId="13" fillId="2" borderId="50" xfId="3" applyFont="1" applyFill="1" applyBorder="1" applyAlignment="1">
      <alignment horizontal="center" vertical="center" wrapText="1"/>
    </xf>
    <xf numFmtId="9" fontId="61" fillId="2" borderId="56" xfId="3" applyFont="1" applyFill="1" applyBorder="1" applyAlignment="1">
      <alignment horizontal="center" vertical="center" wrapText="1"/>
    </xf>
    <xf numFmtId="9" fontId="61" fillId="2" borderId="50" xfId="3" applyFont="1" applyFill="1" applyBorder="1" applyAlignment="1">
      <alignment horizontal="center" vertical="center" wrapText="1"/>
    </xf>
    <xf numFmtId="0" fontId="22" fillId="0" borderId="225" xfId="0" applyFont="1" applyFill="1" applyBorder="1" applyAlignment="1">
      <alignment horizontal="center"/>
    </xf>
    <xf numFmtId="0" fontId="22" fillId="0" borderId="226" xfId="0" applyFont="1" applyFill="1" applyBorder="1" applyAlignment="1">
      <alignment horizontal="center"/>
    </xf>
    <xf numFmtId="0" fontId="22" fillId="0" borderId="227" xfId="0" applyFont="1" applyFill="1" applyBorder="1" applyAlignment="1">
      <alignment horizontal="center"/>
    </xf>
    <xf numFmtId="49" fontId="13" fillId="0" borderId="0" xfId="0" applyNumberFormat="1" applyFont="1" applyAlignment="1">
      <alignment horizontal="center" vertical="center" wrapText="1"/>
    </xf>
  </cellXfs>
  <cellStyles count="4">
    <cellStyle name="Euro" xfId="1"/>
    <cellStyle name="Hyperlink" xfId="2" builtinId="8"/>
    <cellStyle name="Normal" xfId="0" builtinId="0"/>
    <cellStyle name="Percent" xfId="3" builtinId="5"/>
  </cellStyles>
  <dxfs count="55">
    <dxf>
      <font>
        <condense val="0"/>
        <extend val="0"/>
        <color indexed="55"/>
      </font>
    </dxf>
    <dxf>
      <font>
        <condense val="0"/>
        <extend val="0"/>
        <color indexed="55"/>
      </font>
    </dxf>
    <dxf>
      <fill>
        <patternFill>
          <bgColor indexed="52"/>
        </patternFill>
      </fill>
    </dxf>
    <dxf>
      <fill>
        <patternFill>
          <bgColor indexed="52"/>
        </patternFill>
      </fill>
    </dxf>
    <dxf>
      <fill>
        <patternFill>
          <bgColor indexed="10"/>
        </patternFill>
      </fill>
    </dxf>
    <dxf>
      <font>
        <b/>
        <i val="0"/>
        <condense val="0"/>
        <extend val="0"/>
        <color indexed="9"/>
      </font>
      <fill>
        <patternFill>
          <bgColor indexed="53"/>
        </patternFill>
      </fill>
    </dxf>
    <dxf>
      <font>
        <b/>
        <i val="0"/>
        <condense val="0"/>
        <extend val="0"/>
        <color indexed="9"/>
      </font>
      <fill>
        <patternFill>
          <bgColor indexed="10"/>
        </patternFill>
      </fill>
    </dxf>
    <dxf>
      <font>
        <condense val="0"/>
        <extend val="0"/>
      </font>
      <fill>
        <patternFill>
          <bgColor indexed="10"/>
        </patternFill>
      </fill>
    </dxf>
    <dxf>
      <font>
        <condense val="0"/>
        <extend val="0"/>
      </font>
      <fill>
        <patternFill>
          <bgColor indexed="47"/>
        </patternFill>
      </fill>
      <border>
        <left style="thin">
          <color indexed="17"/>
        </left>
        <right style="thin">
          <color indexed="17"/>
        </right>
        <top style="thin">
          <color indexed="17"/>
        </top>
        <bottom style="thin">
          <color indexed="17"/>
        </bottom>
      </border>
    </dxf>
    <dxf>
      <fill>
        <patternFill>
          <bgColor indexed="42"/>
        </patternFill>
      </fill>
      <border>
        <left style="thin">
          <color indexed="12"/>
        </left>
        <right style="thin">
          <color indexed="12"/>
        </right>
        <top style="thin">
          <color indexed="12"/>
        </top>
        <bottom style="thin">
          <color indexed="12"/>
        </bottom>
      </border>
    </dxf>
    <dxf>
      <font>
        <condense val="0"/>
        <extend val="0"/>
        <color indexed="9"/>
      </font>
      <fill>
        <patternFill>
          <bgColor indexed="52"/>
        </patternFill>
      </fill>
      <border>
        <left style="thin">
          <color indexed="17"/>
        </left>
        <right style="thin">
          <color indexed="17"/>
        </right>
        <top style="thin">
          <color indexed="17"/>
        </top>
        <bottom style="thin">
          <color indexed="17"/>
        </bottom>
      </border>
    </dxf>
    <dxf>
      <font>
        <condense val="0"/>
        <extend val="0"/>
      </font>
      <fill>
        <patternFill>
          <bgColor indexed="14"/>
        </patternFill>
      </fill>
    </dxf>
    <dxf>
      <font>
        <b/>
        <i val="0"/>
        <condense val="0"/>
        <extend val="0"/>
      </font>
      <fill>
        <patternFill>
          <bgColor indexed="50"/>
        </patternFill>
      </fill>
    </dxf>
    <dxf>
      <font>
        <b/>
        <i val="0"/>
        <condense val="0"/>
        <extend val="0"/>
      </font>
      <fill>
        <patternFill>
          <bgColor indexed="50"/>
        </patternFill>
      </fill>
    </dxf>
    <dxf>
      <fill>
        <patternFill>
          <bgColor indexed="10"/>
        </patternFill>
      </fill>
    </dxf>
    <dxf>
      <fill>
        <patternFill>
          <bgColor indexed="47"/>
        </patternFill>
      </fill>
      <border>
        <left style="thin">
          <color indexed="17"/>
        </left>
        <right style="thin">
          <color indexed="17"/>
        </right>
        <top style="thin">
          <color indexed="17"/>
        </top>
        <bottom style="thin">
          <color indexed="17"/>
        </bottom>
      </border>
    </dxf>
    <dxf>
      <font>
        <condense val="0"/>
        <extend val="0"/>
        <color indexed="9"/>
      </font>
      <fill>
        <patternFill>
          <bgColor indexed="52"/>
        </patternFill>
      </fill>
      <border>
        <left style="thin">
          <color indexed="17"/>
        </left>
        <right style="thin">
          <color indexed="17"/>
        </right>
        <top style="thin">
          <color indexed="17"/>
        </top>
        <bottom style="thin">
          <color indexed="17"/>
        </bottom>
      </border>
    </dxf>
    <dxf>
      <font>
        <condense val="0"/>
        <extend val="0"/>
        <color indexed="9"/>
      </font>
      <fill>
        <patternFill>
          <bgColor indexed="12"/>
        </patternFill>
      </fill>
    </dxf>
    <dxf>
      <fill>
        <patternFill>
          <bgColor indexed="52"/>
        </patternFill>
      </fill>
    </dxf>
    <dxf>
      <font>
        <condense val="0"/>
        <extend val="0"/>
        <color indexed="9"/>
      </font>
      <fill>
        <patternFill>
          <bgColor indexed="10"/>
        </patternFill>
      </fill>
    </dxf>
    <dxf>
      <font>
        <b/>
        <i val="0"/>
        <condense val="0"/>
        <extend val="0"/>
      </font>
    </dxf>
    <dxf>
      <font>
        <condense val="0"/>
        <extend val="0"/>
        <color indexed="22"/>
      </font>
    </dxf>
    <dxf>
      <fill>
        <patternFill>
          <bgColor indexed="10"/>
        </patternFill>
      </fill>
    </dxf>
    <dxf>
      <fill>
        <patternFill>
          <bgColor indexed="53"/>
        </patternFill>
      </fill>
    </dxf>
    <dxf>
      <font>
        <b/>
        <i val="0"/>
        <condense val="0"/>
        <extend val="0"/>
      </font>
    </dxf>
    <dxf>
      <font>
        <condense val="0"/>
        <extend val="0"/>
        <color indexed="55"/>
      </font>
      <fill>
        <patternFill>
          <bgColor indexed="9"/>
        </patternFill>
      </fill>
    </dxf>
    <dxf>
      <font>
        <b/>
        <i val="0"/>
        <condense val="0"/>
        <extend val="0"/>
      </font>
      <fill>
        <patternFill>
          <bgColor indexed="47"/>
        </patternFill>
      </fill>
    </dxf>
    <dxf>
      <font>
        <condense val="0"/>
        <extend val="0"/>
        <color indexed="22"/>
      </font>
    </dxf>
    <dxf>
      <font>
        <condense val="0"/>
        <extend val="0"/>
        <color indexed="22"/>
      </font>
    </dxf>
    <dxf>
      <font>
        <condense val="0"/>
        <extend val="0"/>
        <color indexed="17"/>
      </font>
    </dxf>
    <dxf>
      <fill>
        <patternFill>
          <bgColor indexed="51"/>
        </patternFill>
      </fill>
    </dxf>
    <dxf>
      <fill>
        <patternFill>
          <bgColor indexed="53"/>
        </patternFill>
      </fill>
    </dxf>
    <dxf>
      <font>
        <condense val="0"/>
        <extend val="0"/>
        <color indexed="23"/>
      </font>
    </dxf>
    <dxf>
      <font>
        <b/>
        <i val="0"/>
        <condense val="0"/>
        <extend val="0"/>
      </font>
    </dxf>
    <dxf>
      <font>
        <condense val="0"/>
        <extend val="0"/>
        <color indexed="9"/>
      </font>
      <fill>
        <patternFill>
          <bgColor indexed="52"/>
        </patternFill>
      </fill>
    </dxf>
    <dxf>
      <font>
        <condense val="0"/>
        <extend val="0"/>
        <color indexed="17"/>
      </font>
    </dxf>
    <dxf>
      <fill>
        <patternFill>
          <bgColor indexed="10"/>
        </patternFill>
      </fill>
    </dxf>
    <dxf>
      <font>
        <b val="0"/>
        <i val="0"/>
        <condense val="0"/>
        <extend val="0"/>
        <color indexed="9"/>
      </font>
      <fill>
        <patternFill>
          <bgColor indexed="52"/>
        </patternFill>
      </fill>
    </dxf>
    <dxf>
      <font>
        <condense val="0"/>
        <extend val="0"/>
        <color indexed="9"/>
      </font>
      <fill>
        <patternFill>
          <bgColor indexed="10"/>
        </patternFill>
      </fill>
    </dxf>
    <dxf>
      <fill>
        <patternFill>
          <bgColor indexed="13"/>
        </patternFill>
      </fill>
    </dxf>
    <dxf>
      <font>
        <b/>
        <i val="0"/>
        <condense val="0"/>
        <extend val="0"/>
      </font>
      <fill>
        <patternFill>
          <bgColor indexed="53"/>
        </patternFill>
      </fill>
    </dxf>
    <dxf>
      <font>
        <b/>
        <i val="0"/>
        <condense val="0"/>
        <extend val="0"/>
      </font>
      <fill>
        <patternFill>
          <bgColor indexed="41"/>
        </patternFill>
      </fill>
    </dxf>
    <dxf>
      <font>
        <b/>
        <i val="0"/>
        <condense val="0"/>
        <extend val="0"/>
        <color indexed="9"/>
      </font>
      <fill>
        <patternFill>
          <bgColor indexed="52"/>
        </patternFill>
      </fill>
    </dxf>
    <dxf>
      <font>
        <b/>
        <i val="0"/>
        <condense val="0"/>
        <extend val="0"/>
      </font>
      <fill>
        <patternFill>
          <bgColor indexed="41"/>
        </patternFill>
      </fill>
    </dxf>
    <dxf>
      <font>
        <b/>
        <i val="0"/>
        <condense val="0"/>
        <extend val="0"/>
        <color indexed="9"/>
      </font>
      <fill>
        <patternFill>
          <bgColor indexed="52"/>
        </patternFill>
      </fill>
    </dxf>
    <dxf>
      <font>
        <b val="0"/>
        <i val="0"/>
        <condense val="0"/>
        <extend val="0"/>
        <color indexed="22"/>
      </font>
      <fill>
        <patternFill>
          <bgColor indexed="55"/>
        </patternFill>
      </fill>
    </dxf>
    <dxf>
      <font>
        <b/>
        <i val="0"/>
        <condense val="0"/>
        <extend val="0"/>
      </font>
      <fill>
        <patternFill>
          <bgColor indexed="10"/>
        </patternFill>
      </fill>
      <border>
        <left style="thin">
          <color indexed="18"/>
        </left>
        <right style="thin">
          <color indexed="18"/>
        </right>
        <top style="thin">
          <color indexed="18"/>
        </top>
        <bottom style="thin">
          <color indexed="18"/>
        </bottom>
      </border>
    </dxf>
    <dxf>
      <font>
        <b/>
        <i val="0"/>
        <condense val="0"/>
        <extend val="0"/>
        <color indexed="62"/>
      </font>
      <fill>
        <patternFill>
          <bgColor indexed="35"/>
        </patternFill>
      </fill>
      <border>
        <left style="thin">
          <color indexed="18"/>
        </left>
        <right style="thin">
          <color indexed="18"/>
        </right>
        <top style="thin">
          <color indexed="18"/>
        </top>
        <bottom style="thin">
          <color indexed="18"/>
        </bottom>
      </border>
    </dxf>
    <dxf>
      <font>
        <b/>
        <i val="0"/>
        <condense val="0"/>
        <extend val="0"/>
      </font>
      <fill>
        <patternFill>
          <bgColor indexed="10"/>
        </patternFill>
      </fill>
      <border>
        <left style="thin">
          <color indexed="18"/>
        </left>
        <right style="thin">
          <color indexed="18"/>
        </right>
        <top style="thin">
          <color indexed="18"/>
        </top>
        <bottom style="thin">
          <color indexed="18"/>
        </bottom>
      </border>
    </dxf>
    <dxf>
      <fill>
        <patternFill>
          <bgColor indexed="13"/>
        </patternFill>
      </fill>
    </dxf>
    <dxf>
      <font>
        <b/>
        <i val="0"/>
        <condense val="0"/>
        <extend val="0"/>
        <color indexed="10"/>
      </font>
      <fill>
        <patternFill>
          <bgColor indexed="47"/>
        </patternFill>
      </fill>
    </dxf>
    <dxf>
      <font>
        <condense val="0"/>
        <extend val="0"/>
        <color indexed="9"/>
      </font>
      <fill>
        <patternFill>
          <bgColor indexed="24"/>
        </patternFill>
      </fill>
    </dxf>
    <dxf>
      <fill>
        <patternFill>
          <bgColor indexed="52"/>
        </patternFill>
      </fill>
    </dxf>
    <dxf>
      <fill>
        <patternFill>
          <bgColor indexed="10"/>
        </patternFill>
      </fill>
    </dxf>
    <dxf>
      <fill>
        <patternFill>
          <bgColor indexed="5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66FFFF"/>
      <rgbColor rgb="00800080"/>
      <rgbColor rgb="00800000"/>
      <rgbColor rgb="00009900"/>
      <rgbColor rgb="0099CC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zh-CN"/>
  <c:chart>
    <c:title>
      <c:tx>
        <c:rich>
          <a:bodyPr/>
          <a:lstStyle/>
          <a:p>
            <a:pPr>
              <a:defRPr lang="fr-FR" sz="150" b="1" i="0" u="none" strike="noStrike" baseline="0">
                <a:solidFill>
                  <a:srgbClr val="000000"/>
                </a:solidFill>
                <a:latin typeface="Arial"/>
                <a:ea typeface="Arial"/>
                <a:cs typeface="Arial"/>
              </a:defRPr>
            </a:pPr>
            <a:r>
              <a:t>ETP</a:t>
            </a:r>
          </a:p>
        </c:rich>
      </c:tx>
      <c:spPr>
        <a:noFill/>
        <a:ln w="25400">
          <a:noFill/>
        </a:ln>
      </c:spPr>
    </c:title>
    <c:plotArea>
      <c:layout/>
      <c:barChart>
        <c:barDir val="col"/>
        <c:grouping val="stacked"/>
        <c:ser>
          <c:idx val="0"/>
          <c:order val="0"/>
          <c:spPr>
            <a:solidFill>
              <a:srgbClr val="FFCC00"/>
            </a:solidFill>
            <a:ln w="12700">
              <a:solidFill>
                <a:srgbClr val="000000"/>
              </a:solidFill>
              <a:prstDash val="solid"/>
            </a:ln>
          </c:spPr>
          <c:cat>
            <c:strRef>
              <c:f>Activités_Phases_Ressources!$D$3:$O$3</c:f>
              <c:strCache>
                <c:ptCount val="10"/>
                <c:pt idx="0">
                  <c:v>LANCEMENT</c:v>
                </c:pt>
                <c:pt idx="3">
                  <c:v>ELABORATION</c:v>
                </c:pt>
                <c:pt idx="6">
                  <c:v>CONSTRUCTION</c:v>
                </c:pt>
                <c:pt idx="9">
                  <c:v>TRANSITION</c:v>
                </c:pt>
              </c:strCache>
            </c:strRef>
          </c:cat>
          <c:val>
            <c:numRef>
              <c:f>Activités_Phases_Ressources!$E$102:$O$102</c:f>
              <c:numCache>
                <c:formatCode>#,##0.0</c:formatCode>
                <c:ptCount val="11"/>
                <c:pt idx="0">
                  <c:v>2.022490075887327</c:v>
                </c:pt>
                <c:pt idx="3">
                  <c:v>3.2411789945113201</c:v>
                </c:pt>
                <c:pt idx="6">
                  <c:v>3.2184843142634434</c:v>
                </c:pt>
                <c:pt idx="9">
                  <c:v>2.0199065077722862</c:v>
                </c:pt>
              </c:numCache>
            </c:numRef>
          </c:val>
        </c:ser>
        <c:overlap val="100"/>
        <c:axId val="89739648"/>
        <c:axId val="89741184"/>
      </c:barChart>
      <c:catAx>
        <c:axId val="89739648"/>
        <c:scaling>
          <c:orientation val="minMax"/>
        </c:scaling>
        <c:axPos val="b"/>
        <c:numFmt formatCode="General" sourceLinked="1"/>
        <c:tickLblPos val="nextTo"/>
        <c:spPr>
          <a:ln w="3175">
            <a:solidFill>
              <a:srgbClr val="000000"/>
            </a:solidFill>
            <a:prstDash val="solid"/>
          </a:ln>
        </c:spPr>
        <c:txPr>
          <a:bodyPr rot="-5400000" vert="horz"/>
          <a:lstStyle/>
          <a:p>
            <a:pPr>
              <a:defRPr lang="fr-FR" sz="125" b="0" i="0" u="none" strike="noStrike" baseline="0">
                <a:solidFill>
                  <a:srgbClr val="000000"/>
                </a:solidFill>
                <a:latin typeface="Arial"/>
                <a:ea typeface="Arial"/>
                <a:cs typeface="Arial"/>
              </a:defRPr>
            </a:pPr>
            <a:endParaRPr lang="zh-CN"/>
          </a:p>
        </c:txPr>
        <c:crossAx val="89741184"/>
        <c:crosses val="autoZero"/>
        <c:auto val="1"/>
        <c:lblAlgn val="ctr"/>
        <c:lblOffset val="100"/>
        <c:tickLblSkip val="11"/>
        <c:tickMarkSkip val="1"/>
      </c:catAx>
      <c:valAx>
        <c:axId val="89741184"/>
        <c:scaling>
          <c:orientation val="minMax"/>
        </c:scaling>
        <c:axPos val="l"/>
        <c:majorGridlines>
          <c:spPr>
            <a:ln w="3175">
              <a:solidFill>
                <a:srgbClr val="000000"/>
              </a:solidFill>
              <a:prstDash val="solid"/>
            </a:ln>
          </c:spPr>
        </c:majorGridlines>
        <c:numFmt formatCode="#,##0.0" sourceLinked="1"/>
        <c:tickLblPos val="nextTo"/>
        <c:spPr>
          <a:ln w="3175">
            <a:solidFill>
              <a:srgbClr val="000000"/>
            </a:solidFill>
            <a:prstDash val="solid"/>
          </a:ln>
        </c:spPr>
        <c:txPr>
          <a:bodyPr rot="0" vert="horz"/>
          <a:lstStyle/>
          <a:p>
            <a:pPr>
              <a:defRPr lang="fr-FR" sz="125" b="0" i="0" u="none" strike="noStrike" baseline="0">
                <a:solidFill>
                  <a:srgbClr val="000000"/>
                </a:solidFill>
                <a:latin typeface="Arial"/>
                <a:ea typeface="Arial"/>
                <a:cs typeface="Arial"/>
              </a:defRPr>
            </a:pPr>
            <a:endParaRPr lang="zh-CN"/>
          </a:p>
        </c:txPr>
        <c:crossAx val="89739648"/>
        <c:crosses val="autoZero"/>
        <c:crossBetween val="between"/>
      </c:valAx>
      <c:spPr>
        <a:solidFill>
          <a:srgbClr val="CCFFFF"/>
        </a:solidFill>
        <a:ln w="25400">
          <a:noFill/>
        </a:ln>
      </c:spPr>
    </c:plotArea>
    <c:legend>
      <c:legendPos val="r"/>
      <c:spPr>
        <a:solidFill>
          <a:srgbClr val="FFFFFF"/>
        </a:solidFill>
        <a:ln w="3175">
          <a:solidFill>
            <a:srgbClr val="000000"/>
          </a:solidFill>
          <a:prstDash val="solid"/>
        </a:ln>
      </c:spPr>
      <c:txPr>
        <a:bodyPr/>
        <a:lstStyle/>
        <a:p>
          <a:pPr>
            <a:defRPr lang="fr-FR" sz="105" b="0" i="0" u="none" strike="noStrike" baseline="0">
              <a:solidFill>
                <a:srgbClr val="000000"/>
              </a:solidFill>
              <a:latin typeface="Arial"/>
              <a:ea typeface="Arial"/>
              <a:cs typeface="Arial"/>
            </a:defRPr>
          </a:pPr>
          <a:endParaRPr lang="zh-CN"/>
        </a:p>
      </c:txPr>
    </c:legend>
    <c:plotVisOnly val="1"/>
    <c:dispBlanksAs val="gap"/>
  </c:chart>
  <c:spPr>
    <a:solidFill>
      <a:srgbClr val="FFFFCC"/>
    </a:solidFill>
    <a:ln w="3175">
      <a:solidFill>
        <a:srgbClr val="000000"/>
      </a:solidFill>
      <a:prstDash val="solid"/>
    </a:ln>
  </c:spPr>
  <c:txPr>
    <a:bodyPr/>
    <a:lstStyle/>
    <a:p>
      <a:pPr>
        <a:defRPr sz="125" b="0" i="0" u="none" strike="noStrike" baseline="0">
          <a:solidFill>
            <a:srgbClr val="000000"/>
          </a:solidFill>
          <a:latin typeface="Arial"/>
          <a:ea typeface="Arial"/>
          <a:cs typeface="Arial"/>
        </a:defRPr>
      </a:pPr>
      <a:endParaRPr lang="zh-CN"/>
    </a:p>
  </c:txPr>
  <c:printSettings>
    <c:headerFooter alignWithMargins="0"/>
    <c:pageMargins b="0.98425196899999956" l="0.78740157499999996" r="0.78740157499999996" t="0.98425196899999956" header="0.49212598450000078" footer="0.49212598450000078"/>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zh-CN"/>
  <c:chart>
    <c:plotArea>
      <c:layout>
        <c:manualLayout>
          <c:layoutTarget val="inner"/>
          <c:xMode val="edge"/>
          <c:yMode val="edge"/>
          <c:x val="4.8090523338048308E-2"/>
          <c:y val="7.2727434142920627E-2"/>
          <c:w val="0.94625176803394628"/>
          <c:h val="0.77272898776852961"/>
        </c:manualLayout>
      </c:layout>
      <c:barChart>
        <c:barDir val="col"/>
        <c:grouping val="stacked"/>
        <c:ser>
          <c:idx val="0"/>
          <c:order val="0"/>
          <c:spPr>
            <a:gradFill rotWithShape="0">
              <a:gsLst>
                <a:gs pos="0">
                  <a:srgbClr val="FF9900"/>
                </a:gs>
                <a:gs pos="50000">
                  <a:srgbClr val="FFFFFF"/>
                </a:gs>
                <a:gs pos="100000">
                  <a:srgbClr val="FF9900"/>
                </a:gs>
              </a:gsLst>
              <a:lin ang="0" scaled="1"/>
            </a:gradFill>
            <a:ln w="12700">
              <a:solidFill>
                <a:srgbClr val="FF6600"/>
              </a:solidFill>
              <a:prstDash val="solid"/>
            </a:ln>
          </c:spPr>
          <c:cat>
            <c:strRef>
              <c:f>Activités_Phases_Ressources!$E$106:$E$110</c:f>
              <c:strCache>
                <c:ptCount val="5"/>
                <c:pt idx="0">
                  <c:v>LANCEMENT</c:v>
                </c:pt>
                <c:pt idx="1">
                  <c:v>ELABORATION</c:v>
                </c:pt>
                <c:pt idx="2">
                  <c:v>CONSTRUCTION</c:v>
                </c:pt>
                <c:pt idx="3">
                  <c:v>TRANSITION</c:v>
                </c:pt>
                <c:pt idx="4">
                  <c:v>Garantie</c:v>
                </c:pt>
              </c:strCache>
            </c:strRef>
          </c:cat>
          <c:val>
            <c:numRef>
              <c:f>Activités_Phases_Ressources!$F$106:$F$110</c:f>
              <c:numCache>
                <c:formatCode>#,##0.0</c:formatCode>
                <c:ptCount val="5"/>
                <c:pt idx="0">
                  <c:v>2.022490075887327</c:v>
                </c:pt>
                <c:pt idx="1">
                  <c:v>3.2411789945113201</c:v>
                </c:pt>
                <c:pt idx="2">
                  <c:v>3.2184843142634434</c:v>
                </c:pt>
                <c:pt idx="3">
                  <c:v>2.0199065077722862</c:v>
                </c:pt>
                <c:pt idx="4" formatCode="#,##0.00">
                  <c:v>6.5000000000000002E-2</c:v>
                </c:pt>
              </c:numCache>
            </c:numRef>
          </c:val>
        </c:ser>
        <c:overlap val="100"/>
        <c:axId val="107232640"/>
        <c:axId val="107234816"/>
      </c:barChart>
      <c:catAx>
        <c:axId val="107232640"/>
        <c:scaling>
          <c:orientation val="minMax"/>
        </c:scaling>
        <c:axPos val="b"/>
        <c:title>
          <c:tx>
            <c:rich>
              <a:bodyPr/>
              <a:lstStyle/>
              <a:p>
                <a:pPr>
                  <a:defRPr lang="fr-FR" sz="950" b="1" i="0" u="none" strike="noStrike" baseline="0">
                    <a:solidFill>
                      <a:srgbClr val="FFFF99"/>
                    </a:solidFill>
                    <a:latin typeface="Arial"/>
                    <a:ea typeface="Arial"/>
                    <a:cs typeface="Arial"/>
                  </a:defRPr>
                </a:pPr>
                <a:r>
                  <a:rPr lang="fr-FR"/>
                  <a:t>ETP</a:t>
                </a:r>
              </a:p>
            </c:rich>
          </c:tx>
          <c:layout>
            <c:manualLayout>
              <c:xMode val="edge"/>
              <c:yMode val="edge"/>
              <c:x val="7.0721357850070899E-3"/>
              <c:y val="0.87727463612503265"/>
            </c:manualLayout>
          </c:layout>
          <c:spPr>
            <a:noFill/>
            <a:ln w="25400">
              <a:noFill/>
            </a:ln>
          </c:spPr>
        </c:title>
        <c:numFmt formatCode="General" sourceLinked="1"/>
        <c:tickLblPos val="nextTo"/>
        <c:spPr>
          <a:ln w="3175">
            <a:solidFill>
              <a:srgbClr val="000000"/>
            </a:solidFill>
            <a:prstDash val="solid"/>
          </a:ln>
        </c:spPr>
        <c:txPr>
          <a:bodyPr rot="0" vert="horz"/>
          <a:lstStyle/>
          <a:p>
            <a:pPr>
              <a:defRPr lang="fr-FR" sz="900" b="1" i="0" u="none" strike="noStrike" baseline="0">
                <a:solidFill>
                  <a:srgbClr val="FFFFFF"/>
                </a:solidFill>
                <a:latin typeface="Arial"/>
                <a:ea typeface="Arial"/>
                <a:cs typeface="Arial"/>
              </a:defRPr>
            </a:pPr>
            <a:endParaRPr lang="zh-CN"/>
          </a:p>
        </c:txPr>
        <c:crossAx val="107234816"/>
        <c:crosses val="autoZero"/>
        <c:auto val="1"/>
        <c:lblAlgn val="ctr"/>
        <c:lblOffset val="100"/>
        <c:tickLblSkip val="1"/>
        <c:tickMarkSkip val="1"/>
      </c:catAx>
      <c:valAx>
        <c:axId val="107234816"/>
        <c:scaling>
          <c:orientation val="minMax"/>
        </c:scaling>
        <c:axPos val="l"/>
        <c:majorGridlines>
          <c:spPr>
            <a:ln w="3175">
              <a:solidFill>
                <a:srgbClr val="FFCC00"/>
              </a:solidFill>
              <a:prstDash val="solid"/>
            </a:ln>
          </c:spPr>
        </c:majorGridlines>
        <c:numFmt formatCode="#,##0.0" sourceLinked="1"/>
        <c:tickLblPos val="nextTo"/>
        <c:spPr>
          <a:ln w="3175">
            <a:solidFill>
              <a:srgbClr val="000000"/>
            </a:solidFill>
            <a:prstDash val="solid"/>
          </a:ln>
        </c:spPr>
        <c:txPr>
          <a:bodyPr rot="0" vert="horz"/>
          <a:lstStyle/>
          <a:p>
            <a:pPr>
              <a:defRPr lang="fr-FR" sz="900" b="1" i="0" u="none" strike="noStrike" baseline="0">
                <a:solidFill>
                  <a:srgbClr val="FFFF99"/>
                </a:solidFill>
                <a:latin typeface="Arial"/>
                <a:ea typeface="Arial"/>
                <a:cs typeface="Arial"/>
              </a:defRPr>
            </a:pPr>
            <a:endParaRPr lang="zh-CN"/>
          </a:p>
        </c:txPr>
        <c:crossAx val="107232640"/>
        <c:crosses val="autoZero"/>
        <c:crossBetween val="between"/>
      </c:valAx>
      <c:spPr>
        <a:gradFill rotWithShape="0">
          <a:gsLst>
            <a:gs pos="0">
              <a:srgbClr val="FFFFFF"/>
            </a:gs>
            <a:gs pos="100000">
              <a:srgbClr val="FFFF99"/>
            </a:gs>
          </a:gsLst>
          <a:path path="rect">
            <a:fillToRect l="50000" t="50000" r="50000" b="50000"/>
          </a:path>
        </a:gradFill>
        <a:ln w="12700">
          <a:solidFill>
            <a:srgbClr val="808080"/>
          </a:solidFill>
          <a:prstDash val="solid"/>
        </a:ln>
      </c:spPr>
    </c:plotArea>
    <c:legend>
      <c:legendPos val="r"/>
      <c:layout>
        <c:manualLayout>
          <c:xMode val="edge"/>
          <c:yMode val="edge"/>
          <c:x val="0.73550212164073547"/>
          <c:y val="0.15454593175853074"/>
          <c:w val="8.0622347949081158E-2"/>
          <c:h val="0.10000000000000003"/>
        </c:manualLayout>
      </c:layout>
      <c:spPr>
        <a:solidFill>
          <a:srgbClr val="FFFFFF"/>
        </a:solidFill>
        <a:ln w="3175">
          <a:solidFill>
            <a:srgbClr val="000000"/>
          </a:solidFill>
          <a:prstDash val="solid"/>
        </a:ln>
      </c:spPr>
      <c:txPr>
        <a:bodyPr/>
        <a:lstStyle/>
        <a:p>
          <a:pPr>
            <a:defRPr lang="fr-FR" sz="735" b="0" i="0" u="none" strike="noStrike" baseline="0">
              <a:solidFill>
                <a:srgbClr val="000000"/>
              </a:solidFill>
              <a:latin typeface="Arial"/>
              <a:ea typeface="Arial"/>
              <a:cs typeface="Arial"/>
            </a:defRPr>
          </a:pPr>
          <a:endParaRPr lang="zh-CN"/>
        </a:p>
      </c:txPr>
    </c:legend>
    <c:plotVisOnly val="1"/>
    <c:dispBlanksAs val="gap"/>
  </c:chart>
  <c:spPr>
    <a:solidFill>
      <a:srgbClr val="008000"/>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zh-CN"/>
    </a:p>
  </c:txPr>
  <c:printSettings>
    <c:headerFooter alignWithMargins="0"/>
    <c:pageMargins b="0.98425196899999956" l="0.78740157499999996" r="0.78740157499999996" t="0.98425196899999956" header="0.49212598450000078" footer="0.49212598450000078"/>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219075</xdr:colOff>
      <xdr:row>100</xdr:row>
      <xdr:rowOff>76200</xdr:rowOff>
    </xdr:from>
    <xdr:to>
      <xdr:col>21</xdr:col>
      <xdr:colOff>1657350</xdr:colOff>
      <xdr:row>121</xdr:row>
      <xdr:rowOff>38100</xdr:rowOff>
    </xdr:to>
    <xdr:graphicFrame macro="">
      <xdr:nvGraphicFramePr>
        <xdr:cNvPr id="801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76200</xdr:colOff>
      <xdr:row>104</xdr:row>
      <xdr:rowOff>123825</xdr:rowOff>
    </xdr:from>
    <xdr:to>
      <xdr:col>22</xdr:col>
      <xdr:colOff>57150</xdr:colOff>
      <xdr:row>111</xdr:row>
      <xdr:rowOff>19050</xdr:rowOff>
    </xdr:to>
    <xdr:graphicFrame macro="">
      <xdr:nvGraphicFramePr>
        <xdr:cNvPr id="8014" name="Chart 285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228600</xdr:colOff>
      <xdr:row>3</xdr:row>
      <xdr:rowOff>95250</xdr:rowOff>
    </xdr:from>
    <xdr:to>
      <xdr:col>6</xdr:col>
      <xdr:colOff>438150</xdr:colOff>
      <xdr:row>4</xdr:row>
      <xdr:rowOff>152400</xdr:rowOff>
    </xdr:to>
    <xdr:sp macro="" textlink="">
      <xdr:nvSpPr>
        <xdr:cNvPr id="15361" name="Oval 1"/>
        <xdr:cNvSpPr>
          <a:spLocks noChangeArrowheads="1"/>
        </xdr:cNvSpPr>
      </xdr:nvSpPr>
      <xdr:spPr bwMode="auto">
        <a:xfrm>
          <a:off x="4038600" y="628650"/>
          <a:ext cx="209550" cy="228600"/>
        </a:xfrm>
        <a:prstGeom prst="ellipse">
          <a:avLst/>
        </a:prstGeom>
        <a:solidFill>
          <a:srgbClr val="FFFF99"/>
        </a:solidFill>
        <a:ln w="9525">
          <a:solidFill>
            <a:srgbClr val="FF0000"/>
          </a:solidFill>
          <a:round/>
          <a:headEnd/>
          <a:tailEnd/>
        </a:ln>
      </xdr:spPr>
      <xdr:txBody>
        <a:bodyPr vertOverflow="clip" wrap="square" lIns="27432" tIns="22860" rIns="27432" bIns="0" anchor="t" upright="1"/>
        <a:lstStyle/>
        <a:p>
          <a:pPr algn="ctr" rtl="0">
            <a:defRPr sz="1000"/>
          </a:pPr>
          <a:r>
            <a:rPr lang="fr-FR" sz="1000" b="1" i="0" u="none" strike="noStrike" baseline="0">
              <a:solidFill>
                <a:srgbClr val="333333"/>
              </a:solidFill>
              <a:latin typeface="Arial"/>
              <a:cs typeface="Arial"/>
            </a:rPr>
            <a:t>a</a:t>
          </a:r>
        </a:p>
      </xdr:txBody>
    </xdr:sp>
    <xdr:clientData/>
  </xdr:twoCellAnchor>
  <xdr:twoCellAnchor>
    <xdr:from>
      <xdr:col>7</xdr:col>
      <xdr:colOff>142875</xdr:colOff>
      <xdr:row>3</xdr:row>
      <xdr:rowOff>104775</xdr:rowOff>
    </xdr:from>
    <xdr:to>
      <xdr:col>7</xdr:col>
      <xdr:colOff>352425</xdr:colOff>
      <xdr:row>4</xdr:row>
      <xdr:rowOff>152400</xdr:rowOff>
    </xdr:to>
    <xdr:sp macro="" textlink="">
      <xdr:nvSpPr>
        <xdr:cNvPr id="15362" name="Oval 2"/>
        <xdr:cNvSpPr>
          <a:spLocks noChangeArrowheads="1"/>
        </xdr:cNvSpPr>
      </xdr:nvSpPr>
      <xdr:spPr bwMode="auto">
        <a:xfrm>
          <a:off x="4610100" y="638175"/>
          <a:ext cx="209550" cy="219075"/>
        </a:xfrm>
        <a:prstGeom prst="ellipse">
          <a:avLst/>
        </a:prstGeom>
        <a:solidFill>
          <a:srgbClr val="FFFF99"/>
        </a:solidFill>
        <a:ln w="9525">
          <a:solidFill>
            <a:srgbClr val="FF0000"/>
          </a:solidFill>
          <a:round/>
          <a:headEnd/>
          <a:tailEnd/>
        </a:ln>
      </xdr:spPr>
      <xdr:txBody>
        <a:bodyPr vertOverflow="clip" wrap="square" lIns="27432" tIns="22860" rIns="27432" bIns="0" anchor="t" upright="1"/>
        <a:lstStyle/>
        <a:p>
          <a:pPr algn="ctr" rtl="0">
            <a:defRPr sz="1000"/>
          </a:pPr>
          <a:r>
            <a:rPr lang="fr-FR" sz="1000" b="1" i="0" u="none" strike="noStrike" baseline="0">
              <a:solidFill>
                <a:srgbClr val="333333"/>
              </a:solidFill>
              <a:latin typeface="Arial"/>
              <a:cs typeface="Arial"/>
            </a:rPr>
            <a:t>b</a:t>
          </a:r>
        </a:p>
      </xdr:txBody>
    </xdr:sp>
    <xdr:clientData/>
  </xdr:twoCellAnchor>
  <xdr:twoCellAnchor>
    <xdr:from>
      <xdr:col>15</xdr:col>
      <xdr:colOff>257175</xdr:colOff>
      <xdr:row>6</xdr:row>
      <xdr:rowOff>0</xdr:rowOff>
    </xdr:from>
    <xdr:to>
      <xdr:col>15</xdr:col>
      <xdr:colOff>114300</xdr:colOff>
      <xdr:row>6</xdr:row>
      <xdr:rowOff>0</xdr:rowOff>
    </xdr:to>
    <xdr:sp macro="" textlink="">
      <xdr:nvSpPr>
        <xdr:cNvPr id="15546" name="Line 4"/>
        <xdr:cNvSpPr>
          <a:spLocks noChangeShapeType="1"/>
        </xdr:cNvSpPr>
      </xdr:nvSpPr>
      <xdr:spPr bwMode="auto">
        <a:xfrm flipV="1">
          <a:off x="9839325" y="1190625"/>
          <a:ext cx="0" cy="0"/>
        </a:xfrm>
        <a:prstGeom prst="line">
          <a:avLst/>
        </a:prstGeom>
        <a:noFill/>
        <a:ln w="19050">
          <a:solidFill>
            <a:srgbClr val="0000FF"/>
          </a:solidFill>
          <a:round/>
          <a:headEnd/>
          <a:tailEnd type="triangle" w="med" len="med"/>
        </a:ln>
      </xdr:spPr>
    </xdr:sp>
    <xdr:clientData/>
  </xdr:twoCellAnchor>
  <xdr:twoCellAnchor>
    <xdr:from>
      <xdr:col>15</xdr:col>
      <xdr:colOff>257175</xdr:colOff>
      <xdr:row>6</xdr:row>
      <xdr:rowOff>0</xdr:rowOff>
    </xdr:from>
    <xdr:to>
      <xdr:col>15</xdr:col>
      <xdr:colOff>114300</xdr:colOff>
      <xdr:row>6</xdr:row>
      <xdr:rowOff>0</xdr:rowOff>
    </xdr:to>
    <xdr:sp macro="" textlink="">
      <xdr:nvSpPr>
        <xdr:cNvPr id="15547" name="Line 6"/>
        <xdr:cNvSpPr>
          <a:spLocks noChangeShapeType="1"/>
        </xdr:cNvSpPr>
      </xdr:nvSpPr>
      <xdr:spPr bwMode="auto">
        <a:xfrm flipV="1">
          <a:off x="9839325" y="1190625"/>
          <a:ext cx="0" cy="0"/>
        </a:xfrm>
        <a:prstGeom prst="line">
          <a:avLst/>
        </a:prstGeom>
        <a:noFill/>
        <a:ln w="19050">
          <a:solidFill>
            <a:srgbClr val="0000FF"/>
          </a:solidFill>
          <a:round/>
          <a:headEnd/>
          <a:tailEnd type="triangle" w="med" len="med"/>
        </a:ln>
      </xdr:spPr>
    </xdr:sp>
    <xdr:clientData/>
  </xdr:twoCellAnchor>
  <xdr:twoCellAnchor>
    <xdr:from>
      <xdr:col>15</xdr:col>
      <xdr:colOff>257175</xdr:colOff>
      <xdr:row>6</xdr:row>
      <xdr:rowOff>0</xdr:rowOff>
    </xdr:from>
    <xdr:to>
      <xdr:col>15</xdr:col>
      <xdr:colOff>114300</xdr:colOff>
      <xdr:row>6</xdr:row>
      <xdr:rowOff>0</xdr:rowOff>
    </xdr:to>
    <xdr:sp macro="" textlink="">
      <xdr:nvSpPr>
        <xdr:cNvPr id="15548" name="Line 7"/>
        <xdr:cNvSpPr>
          <a:spLocks noChangeShapeType="1"/>
        </xdr:cNvSpPr>
      </xdr:nvSpPr>
      <xdr:spPr bwMode="auto">
        <a:xfrm flipV="1">
          <a:off x="9839325" y="1190625"/>
          <a:ext cx="0" cy="0"/>
        </a:xfrm>
        <a:prstGeom prst="line">
          <a:avLst/>
        </a:prstGeom>
        <a:noFill/>
        <a:ln w="19050">
          <a:solidFill>
            <a:srgbClr val="0000FF"/>
          </a:solidFill>
          <a:round/>
          <a:headEnd/>
          <a:tailEnd type="triangle" w="med" len="med"/>
        </a:ln>
      </xdr:spPr>
    </xdr:sp>
    <xdr:clientData/>
  </xdr:twoCellAnchor>
  <xdr:twoCellAnchor>
    <xdr:from>
      <xdr:col>15</xdr:col>
      <xdr:colOff>257175</xdr:colOff>
      <xdr:row>11</xdr:row>
      <xdr:rowOff>0</xdr:rowOff>
    </xdr:from>
    <xdr:to>
      <xdr:col>15</xdr:col>
      <xdr:colOff>114300</xdr:colOff>
      <xdr:row>11</xdr:row>
      <xdr:rowOff>0</xdr:rowOff>
    </xdr:to>
    <xdr:sp macro="" textlink="">
      <xdr:nvSpPr>
        <xdr:cNvPr id="15549" name="Line 8"/>
        <xdr:cNvSpPr>
          <a:spLocks noChangeShapeType="1"/>
        </xdr:cNvSpPr>
      </xdr:nvSpPr>
      <xdr:spPr bwMode="auto">
        <a:xfrm flipV="1">
          <a:off x="9839325" y="3219450"/>
          <a:ext cx="0" cy="0"/>
        </a:xfrm>
        <a:prstGeom prst="line">
          <a:avLst/>
        </a:prstGeom>
        <a:noFill/>
        <a:ln w="19050">
          <a:solidFill>
            <a:srgbClr val="0000FF"/>
          </a:solidFill>
          <a:round/>
          <a:headEnd/>
          <a:tailEnd type="triangle" w="med" len="med"/>
        </a:ln>
      </xdr:spPr>
    </xdr:sp>
    <xdr:clientData/>
  </xdr:twoCellAnchor>
  <xdr:twoCellAnchor>
    <xdr:from>
      <xdr:col>15</xdr:col>
      <xdr:colOff>257175</xdr:colOff>
      <xdr:row>47</xdr:row>
      <xdr:rowOff>0</xdr:rowOff>
    </xdr:from>
    <xdr:to>
      <xdr:col>15</xdr:col>
      <xdr:colOff>114300</xdr:colOff>
      <xdr:row>47</xdr:row>
      <xdr:rowOff>0</xdr:rowOff>
    </xdr:to>
    <xdr:sp macro="" textlink="">
      <xdr:nvSpPr>
        <xdr:cNvPr id="15550" name="Line 9"/>
        <xdr:cNvSpPr>
          <a:spLocks noChangeShapeType="1"/>
        </xdr:cNvSpPr>
      </xdr:nvSpPr>
      <xdr:spPr bwMode="auto">
        <a:xfrm flipV="1">
          <a:off x="9839325" y="20812125"/>
          <a:ext cx="0" cy="0"/>
        </a:xfrm>
        <a:prstGeom prst="line">
          <a:avLst/>
        </a:prstGeom>
        <a:noFill/>
        <a:ln w="19050">
          <a:solidFill>
            <a:srgbClr val="0000FF"/>
          </a:solidFill>
          <a:round/>
          <a:headEnd/>
          <a:tailEnd type="triangle" w="med" len="med"/>
        </a:ln>
      </xdr:spPr>
    </xdr:sp>
    <xdr:clientData/>
  </xdr:twoCellAnchor>
  <xdr:twoCellAnchor>
    <xdr:from>
      <xdr:col>15</xdr:col>
      <xdr:colOff>257175</xdr:colOff>
      <xdr:row>47</xdr:row>
      <xdr:rowOff>0</xdr:rowOff>
    </xdr:from>
    <xdr:to>
      <xdr:col>15</xdr:col>
      <xdr:colOff>114300</xdr:colOff>
      <xdr:row>47</xdr:row>
      <xdr:rowOff>0</xdr:rowOff>
    </xdr:to>
    <xdr:sp macro="" textlink="">
      <xdr:nvSpPr>
        <xdr:cNvPr id="15551" name="Line 10"/>
        <xdr:cNvSpPr>
          <a:spLocks noChangeShapeType="1"/>
        </xdr:cNvSpPr>
      </xdr:nvSpPr>
      <xdr:spPr bwMode="auto">
        <a:xfrm flipV="1">
          <a:off x="9839325" y="20812125"/>
          <a:ext cx="0" cy="0"/>
        </a:xfrm>
        <a:prstGeom prst="line">
          <a:avLst/>
        </a:prstGeom>
        <a:noFill/>
        <a:ln w="19050">
          <a:solidFill>
            <a:srgbClr val="0000FF"/>
          </a:solidFill>
          <a:round/>
          <a:headEnd/>
          <a:tailEnd type="triangle" w="med" len="med"/>
        </a:ln>
      </xdr:spPr>
    </xdr:sp>
    <xdr:clientData/>
  </xdr:twoCellAnchor>
  <xdr:oneCellAnchor>
    <xdr:from>
      <xdr:col>12</xdr:col>
      <xdr:colOff>257175</xdr:colOff>
      <xdr:row>20</xdr:row>
      <xdr:rowOff>47625</xdr:rowOff>
    </xdr:from>
    <xdr:ext cx="537322" cy="276225"/>
    <xdr:sp macro="" textlink="">
      <xdr:nvSpPr>
        <xdr:cNvPr id="15371" name="Text Box 11"/>
        <xdr:cNvSpPr txBox="1">
          <a:spLocks noChangeArrowheads="1"/>
        </xdr:cNvSpPr>
      </xdr:nvSpPr>
      <xdr:spPr bwMode="auto">
        <a:xfrm>
          <a:off x="7696200" y="7562850"/>
          <a:ext cx="619125" cy="285750"/>
        </a:xfrm>
        <a:prstGeom prst="rect">
          <a:avLst/>
        </a:prstGeom>
        <a:noFill/>
        <a:ln w="9525">
          <a:noFill/>
          <a:miter lim="800000"/>
          <a:headEnd/>
          <a:tailEnd/>
        </a:ln>
      </xdr:spPr>
      <xdr:txBody>
        <a:bodyPr wrap="none" lIns="27432" tIns="32004" rIns="0" bIns="0" anchor="t" upright="1">
          <a:spAutoFit/>
        </a:bodyPr>
        <a:lstStyle/>
        <a:p>
          <a:pPr algn="l" rtl="0">
            <a:defRPr sz="1000"/>
          </a:pPr>
          <a:r>
            <a:rPr lang="fr-FR" sz="1200" b="0" i="0" u="none" strike="noStrike" baseline="0">
              <a:solidFill>
                <a:srgbClr val="FFFFFF"/>
              </a:solidFill>
              <a:latin typeface="Arial Black"/>
            </a:rPr>
            <a:t>Projet</a:t>
          </a:r>
        </a:p>
      </xdr:txBody>
    </xdr:sp>
    <xdr:clientData/>
  </xdr:oneCellAnchor>
  <xdr:oneCellAnchor>
    <xdr:from>
      <xdr:col>11</xdr:col>
      <xdr:colOff>123825</xdr:colOff>
      <xdr:row>18</xdr:row>
      <xdr:rowOff>0</xdr:rowOff>
    </xdr:from>
    <xdr:ext cx="1118434" cy="269753"/>
    <xdr:sp macro="" textlink="">
      <xdr:nvSpPr>
        <xdr:cNvPr id="15372" name="Text Box 12"/>
        <xdr:cNvSpPr txBox="1">
          <a:spLocks noChangeArrowheads="1"/>
        </xdr:cNvSpPr>
      </xdr:nvSpPr>
      <xdr:spPr bwMode="auto">
        <a:xfrm>
          <a:off x="6836149" y="5883088"/>
          <a:ext cx="1176284" cy="231217"/>
        </a:xfrm>
        <a:prstGeom prst="rect">
          <a:avLst/>
        </a:prstGeom>
        <a:noFill/>
        <a:ln w="9525">
          <a:noFill/>
          <a:miter lim="800000"/>
          <a:headEnd/>
          <a:tailEnd/>
        </a:ln>
      </xdr:spPr>
      <xdr:txBody>
        <a:bodyPr wrap="none" lIns="18288" tIns="32004" rIns="0" bIns="0" anchor="t" upright="1">
          <a:spAutoFit/>
        </a:bodyPr>
        <a:lstStyle/>
        <a:p>
          <a:pPr algn="l" rtl="0">
            <a:defRPr sz="1000"/>
          </a:pPr>
          <a:r>
            <a:rPr lang="fr-FR" sz="1100" b="0" i="0" u="none" strike="noStrike" baseline="0">
              <a:solidFill>
                <a:srgbClr val="969696"/>
              </a:solidFill>
              <a:latin typeface="Arial Black"/>
            </a:rPr>
            <a:t>&lt;&lt; Avant-vente</a:t>
          </a:r>
        </a:p>
      </xdr:txBody>
    </xdr:sp>
    <xdr:clientData/>
  </xdr:oneCellAnchor>
  <xdr:twoCellAnchor editAs="oneCell">
    <xdr:from>
      <xdr:col>4</xdr:col>
      <xdr:colOff>3095625</xdr:colOff>
      <xdr:row>34</xdr:row>
      <xdr:rowOff>85725</xdr:rowOff>
    </xdr:from>
    <xdr:to>
      <xdr:col>4</xdr:col>
      <xdr:colOff>3181350</xdr:colOff>
      <xdr:row>35</xdr:row>
      <xdr:rowOff>57150</xdr:rowOff>
    </xdr:to>
    <xdr:sp macro="" textlink="">
      <xdr:nvSpPr>
        <xdr:cNvPr id="15554" name="Text Box 13"/>
        <xdr:cNvSpPr txBox="1">
          <a:spLocks noChangeArrowheads="1"/>
        </xdr:cNvSpPr>
      </xdr:nvSpPr>
      <xdr:spPr bwMode="auto">
        <a:xfrm>
          <a:off x="3276600" y="14697075"/>
          <a:ext cx="85725" cy="219075"/>
        </a:xfrm>
        <a:prstGeom prst="rect">
          <a:avLst/>
        </a:prstGeom>
        <a:noFill/>
        <a:ln w="9525">
          <a:noFill/>
          <a:miter lim="800000"/>
          <a:headEnd/>
          <a:tailEnd/>
        </a:ln>
      </xdr:spPr>
    </xdr:sp>
    <xdr:clientData/>
  </xdr:twoCellAnchor>
  <xdr:oneCellAnchor>
    <xdr:from>
      <xdr:col>11</xdr:col>
      <xdr:colOff>104775</xdr:colOff>
      <xdr:row>8</xdr:row>
      <xdr:rowOff>171450</xdr:rowOff>
    </xdr:from>
    <xdr:ext cx="1699416" cy="269753"/>
    <xdr:sp macro="" textlink="">
      <xdr:nvSpPr>
        <xdr:cNvPr id="15419" name="Text Box 59"/>
        <xdr:cNvSpPr txBox="1">
          <a:spLocks noChangeArrowheads="1"/>
        </xdr:cNvSpPr>
      </xdr:nvSpPr>
      <xdr:spPr bwMode="auto">
        <a:xfrm>
          <a:off x="6817099" y="1751479"/>
          <a:ext cx="1795428" cy="231217"/>
        </a:xfrm>
        <a:prstGeom prst="rect">
          <a:avLst/>
        </a:prstGeom>
        <a:noFill/>
        <a:ln w="9525">
          <a:noFill/>
          <a:miter lim="800000"/>
          <a:headEnd/>
          <a:tailEnd/>
        </a:ln>
      </xdr:spPr>
      <xdr:txBody>
        <a:bodyPr wrap="none" lIns="18288" tIns="32004" rIns="0" bIns="0" anchor="t" upright="1">
          <a:spAutoFit/>
        </a:bodyPr>
        <a:lstStyle/>
        <a:p>
          <a:pPr algn="l" rtl="0">
            <a:defRPr sz="1000"/>
          </a:pPr>
          <a:r>
            <a:rPr lang="fr-FR" sz="1100" b="0" i="0" u="none" strike="noStrike" baseline="0">
              <a:solidFill>
                <a:srgbClr val="969696"/>
              </a:solidFill>
              <a:latin typeface="Arial Black"/>
            </a:rPr>
            <a:t>&lt;&lt; Début d'avant-vente</a:t>
          </a:r>
        </a:p>
      </xdr:txBody>
    </xdr:sp>
    <xdr:clientData/>
  </xdr:oneCellAnchor>
  <xdr:oneCellAnchor>
    <xdr:from>
      <xdr:col>11</xdr:col>
      <xdr:colOff>114300</xdr:colOff>
      <xdr:row>38</xdr:row>
      <xdr:rowOff>104775</xdr:rowOff>
    </xdr:from>
    <xdr:ext cx="1118434" cy="269753"/>
    <xdr:sp macro="" textlink="">
      <xdr:nvSpPr>
        <xdr:cNvPr id="15423" name="Text Box 63"/>
        <xdr:cNvSpPr txBox="1">
          <a:spLocks noChangeArrowheads="1"/>
        </xdr:cNvSpPr>
      </xdr:nvSpPr>
      <xdr:spPr bwMode="auto">
        <a:xfrm>
          <a:off x="6826624" y="15479246"/>
          <a:ext cx="1176284" cy="231217"/>
        </a:xfrm>
        <a:prstGeom prst="rect">
          <a:avLst/>
        </a:prstGeom>
        <a:noFill/>
        <a:ln w="9525">
          <a:noFill/>
          <a:miter lim="800000"/>
          <a:headEnd/>
          <a:tailEnd/>
        </a:ln>
      </xdr:spPr>
      <xdr:txBody>
        <a:bodyPr wrap="none" lIns="18288" tIns="32004" rIns="0" bIns="0" anchor="t" upright="1">
          <a:spAutoFit/>
        </a:bodyPr>
        <a:lstStyle/>
        <a:p>
          <a:pPr algn="l" rtl="0">
            <a:defRPr sz="1000"/>
          </a:pPr>
          <a:r>
            <a:rPr lang="fr-FR" sz="1100" b="0" i="0" u="none" strike="noStrike" baseline="0">
              <a:solidFill>
                <a:srgbClr val="969696"/>
              </a:solidFill>
              <a:latin typeface="Arial Black"/>
            </a:rPr>
            <a:t>&lt;&lt; Avant-vente</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vdumain\Local%20Settings\Temporary%20Internet%20Files\OLKC1\Copie%20de%20ADITP_MGT_UTI_Devis-Global_TopDown_SAM.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vdumain\Local%20Settings\Temporary%20Internet%20Files\OLKC1\ADITP_MGT_UTI_ACT-PRO_v3.4.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Gest_Parten.2 (2)"/>
      <sheetName val="Guide"/>
      <sheetName val="Facteurs_Activités"/>
      <sheetName val="Activités_Phases_Ressources"/>
      <sheetName val="Gest_Parten.2"/>
      <sheetName val="EPG"/>
      <sheetName val="ReadMe_Versions"/>
      <sheetName val="Dom_CMMI"/>
      <sheetName val="DépRésum"/>
      <sheetName val="DépTous"/>
      <sheetName val="Liste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dex"/>
      <sheetName val="Contact-List"/>
      <sheetName val="TopItems"/>
      <sheetName val="Actions"/>
      <sheetName val="Risks"/>
      <sheetName val="Issues"/>
      <sheetName val="Opportun."/>
      <sheetName val="Summary"/>
      <sheetName val="ReadMe&amp;Vers&amp;Obj"/>
      <sheetName val="RiskParam"/>
      <sheetName val="List&amp;Misc"/>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sheetPr codeName="Feuil1" enableFormatConditionsCalculation="0">
    <tabColor indexed="62"/>
    <outlinePr summaryBelow="0" summaryRight="0"/>
    <pageSetUpPr fitToPage="1"/>
  </sheetPr>
  <dimension ref="A1:AH130"/>
  <sheetViews>
    <sheetView showGridLines="0" tabSelected="1" topLeftCell="A2" zoomScaleNormal="100" workbookViewId="0">
      <pane xSplit="4" ySplit="19" topLeftCell="E28" activePane="bottomRight" state="frozen"/>
      <selection activeCell="A2" sqref="A2"/>
      <selection pane="topRight" activeCell="E2" sqref="E2"/>
      <selection pane="bottomLeft" activeCell="A21" sqref="A21"/>
      <selection pane="bottomRight" activeCell="E43" sqref="E43"/>
    </sheetView>
  </sheetViews>
  <sheetFormatPr defaultColWidth="11.42578125" defaultRowHeight="12.75" outlineLevelRow="1" outlineLevelCol="1"/>
  <cols>
    <col min="1" max="1" width="3.42578125" style="263" customWidth="1"/>
    <col min="2" max="2" width="11.28515625" style="263" customWidth="1"/>
    <col min="3" max="3" width="13.42578125" style="263" customWidth="1"/>
    <col min="4" max="4" width="10.5703125" style="263" customWidth="1"/>
    <col min="5" max="5" width="14" style="263" customWidth="1"/>
    <col min="6" max="6" width="10.140625" style="263" customWidth="1"/>
    <col min="7" max="7" width="2.5703125" style="263" customWidth="1" outlineLevel="1"/>
    <col min="8" max="8" width="6.28515625" style="263" customWidth="1" outlineLevel="1"/>
    <col min="9" max="12" width="5.85546875" style="263" customWidth="1" outlineLevel="1"/>
    <col min="13" max="13" width="6" style="263" customWidth="1" outlineLevel="1"/>
    <col min="14" max="14" width="5.5703125" style="263" customWidth="1" outlineLevel="1"/>
    <col min="15" max="15" width="6.5703125" style="263" customWidth="1" outlineLevel="1"/>
    <col min="16" max="16" width="5.85546875" style="263" customWidth="1" outlineLevel="1"/>
    <col min="17" max="17" width="5.28515625" style="263" customWidth="1" outlineLevel="1"/>
    <col min="18" max="18" width="6" style="263" customWidth="1" outlineLevel="1"/>
    <col min="19" max="23" width="5.28515625" style="263" customWidth="1" outlineLevel="1"/>
    <col min="24" max="24" width="3" style="263" customWidth="1"/>
    <col min="25" max="27" width="10.85546875" style="263" customWidth="1" outlineLevel="1"/>
    <col min="28" max="28" width="11.42578125" style="263"/>
    <col min="29" max="34" width="11.42578125" style="1"/>
    <col min="35" max="16384" width="11.42578125" style="263"/>
  </cols>
  <sheetData>
    <row r="1" spans="1:34" ht="12" hidden="1">
      <c r="A1" s="523" t="s">
        <v>88</v>
      </c>
      <c r="B1" s="523"/>
      <c r="C1" s="523"/>
      <c r="D1" s="261"/>
      <c r="E1" s="261"/>
      <c r="F1" s="262" t="s">
        <v>87</v>
      </c>
      <c r="H1" s="264">
        <f>SUMIF($G2:$X2,"&lt;"&amp;H2,$G1:$X1)*H3</f>
        <v>6.4944000000000015</v>
      </c>
      <c r="I1" s="264">
        <f>SUMIF($G2:$X2,"&lt;"&amp;I2,$G1:$X1)*I3</f>
        <v>25.977600000000006</v>
      </c>
      <c r="J1" s="265">
        <f ca="1">J16</f>
        <v>0</v>
      </c>
      <c r="K1" s="264">
        <f>SUMIF($G2:$X2,"&lt;"&amp;K2,$G1:$X1)*K3</f>
        <v>1.0824000000000003</v>
      </c>
      <c r="L1" s="264">
        <f>SUMIF($G2:$X2,"&lt;"&amp;L2,$G1:$X1)*L3</f>
        <v>8.659200000000002</v>
      </c>
      <c r="M1" s="264">
        <f>SUMIF($G2:$X2,"&lt;"&amp;M2,$G1:$X1)*M3</f>
        <v>25</v>
      </c>
      <c r="N1" s="264">
        <f>SUMIF($G2:$X2,"&lt;"&amp;N2,$G1:$X1)*N3</f>
        <v>20</v>
      </c>
      <c r="O1" s="265">
        <f>O16</f>
        <v>100</v>
      </c>
      <c r="P1" s="264">
        <f t="shared" ref="P1:U1" si="0">SUMIF($G2:$X2,"&lt;"&amp;P2,$G1:$X1)*P3</f>
        <v>25</v>
      </c>
      <c r="Q1" s="264">
        <f t="shared" si="0"/>
        <v>14.08</v>
      </c>
      <c r="R1" s="264">
        <f t="shared" si="0"/>
        <v>10.559999999999999</v>
      </c>
      <c r="S1" s="264">
        <f t="shared" si="0"/>
        <v>8.8000000000000007</v>
      </c>
      <c r="T1" s="264">
        <f t="shared" si="0"/>
        <v>3.52</v>
      </c>
      <c r="U1" s="264">
        <f t="shared" si="0"/>
        <v>3.52</v>
      </c>
      <c r="V1" s="265">
        <f>V16</f>
        <v>0</v>
      </c>
      <c r="W1" s="264">
        <f>SUMIF($G2:$X2,"&lt;"&amp;W2,$G1:$X1)*W3</f>
        <v>6</v>
      </c>
      <c r="AC1" s="263"/>
      <c r="AD1" s="263"/>
      <c r="AE1" s="263"/>
      <c r="AF1" s="263"/>
      <c r="AG1" s="263"/>
      <c r="AH1" s="263"/>
    </row>
    <row r="2" spans="1:34" ht="27" customHeight="1" collapsed="1" thickBot="1">
      <c r="A2" s="494" t="s">
        <v>210</v>
      </c>
      <c r="B2" s="495"/>
      <c r="C2" s="495"/>
      <c r="D2" s="496"/>
      <c r="E2" s="266"/>
      <c r="F2" s="267" t="s">
        <v>213</v>
      </c>
      <c r="G2" s="268"/>
      <c r="H2" s="269">
        <v>4</v>
      </c>
      <c r="I2" s="270">
        <v>4</v>
      </c>
      <c r="J2" s="271"/>
      <c r="K2" s="272">
        <v>4</v>
      </c>
      <c r="L2" s="269">
        <v>4</v>
      </c>
      <c r="M2" s="273">
        <v>2</v>
      </c>
      <c r="N2" s="273">
        <v>2</v>
      </c>
      <c r="O2" s="274">
        <v>1</v>
      </c>
      <c r="P2" s="273">
        <v>2</v>
      </c>
      <c r="Q2" s="275">
        <v>3</v>
      </c>
      <c r="R2" s="275">
        <v>3</v>
      </c>
      <c r="S2" s="275">
        <v>3</v>
      </c>
      <c r="T2" s="275">
        <v>3</v>
      </c>
      <c r="U2" s="275">
        <v>3</v>
      </c>
      <c r="V2" s="275">
        <v>3</v>
      </c>
      <c r="W2" s="273">
        <v>2</v>
      </c>
      <c r="AC2" s="263"/>
      <c r="AD2" s="263"/>
      <c r="AE2" s="263"/>
      <c r="AF2" s="263"/>
      <c r="AG2" s="263"/>
      <c r="AH2" s="263"/>
    </row>
    <row r="3" spans="1:34" ht="16.5" hidden="1" customHeight="1" outlineLevel="1">
      <c r="A3" s="276"/>
      <c r="B3" s="277"/>
      <c r="C3" s="277"/>
      <c r="D3" s="277"/>
      <c r="E3" s="278"/>
      <c r="F3" s="279" t="s">
        <v>239</v>
      </c>
      <c r="G3" s="277"/>
      <c r="H3" s="280">
        <v>0.03</v>
      </c>
      <c r="I3" s="281">
        <v>0.12</v>
      </c>
      <c r="J3" s="282"/>
      <c r="K3" s="283">
        <v>5.0000000000000001E-3</v>
      </c>
      <c r="L3" s="284">
        <v>0.04</v>
      </c>
      <c r="M3" s="280">
        <v>0.25</v>
      </c>
      <c r="N3" s="283">
        <v>0.2</v>
      </c>
      <c r="O3" s="285"/>
      <c r="P3" s="286">
        <v>0.25</v>
      </c>
      <c r="Q3" s="287">
        <v>0.08</v>
      </c>
      <c r="R3" s="288">
        <v>0.06</v>
      </c>
      <c r="S3" s="289">
        <v>0.05</v>
      </c>
      <c r="T3" s="284">
        <v>0.02</v>
      </c>
      <c r="U3" s="289">
        <v>0.02</v>
      </c>
      <c r="V3" s="285"/>
      <c r="W3" s="290">
        <v>0.06</v>
      </c>
      <c r="Y3" s="291"/>
      <c r="Z3" s="291"/>
      <c r="AA3" s="291"/>
      <c r="AC3" s="263"/>
      <c r="AD3" s="263"/>
      <c r="AE3" s="263"/>
      <c r="AF3" s="263"/>
      <c r="AG3" s="263"/>
      <c r="AH3" s="263"/>
    </row>
    <row r="4" spans="1:34" ht="16.5" hidden="1" customHeight="1" outlineLevel="1">
      <c r="A4" s="292"/>
      <c r="B4" s="293"/>
      <c r="C4" s="293"/>
      <c r="D4" s="293"/>
      <c r="E4" s="294"/>
      <c r="F4" s="295" t="s">
        <v>240</v>
      </c>
      <c r="G4" s="296"/>
      <c r="H4" s="297">
        <f ca="1">H1/SUM($H1:$X1)</f>
        <v>2.5104602510460251E-2</v>
      </c>
      <c r="I4" s="298">
        <f ca="1">I1/SUM($H1:$X1)</f>
        <v>0.100418410041841</v>
      </c>
      <c r="J4" s="285"/>
      <c r="K4" s="299">
        <f ca="1">K1/SUM($H1:$X1)</f>
        <v>4.1841004184100415E-3</v>
      </c>
      <c r="L4" s="300">
        <f ca="1">L1/SUM($H1:$X1)</f>
        <v>3.3472803347280332E-2</v>
      </c>
      <c r="M4" s="297">
        <f ca="1">M1/SUM($H1:$X1)</f>
        <v>9.6639422080793624E-2</v>
      </c>
      <c r="N4" s="299">
        <f ca="1">N1/SUM($H1:$X1)</f>
        <v>7.7311537664634902E-2</v>
      </c>
      <c r="O4" s="285"/>
      <c r="P4" s="301">
        <f t="shared" ref="P4:U4" ca="1" si="1">P1/SUM($H1:$X1)</f>
        <v>9.6639422080793624E-2</v>
      </c>
      <c r="Q4" s="301">
        <f t="shared" ca="1" si="1"/>
        <v>5.4427322515902973E-2</v>
      </c>
      <c r="R4" s="302">
        <f t="shared" ca="1" si="1"/>
        <v>4.082049188692722E-2</v>
      </c>
      <c r="S4" s="303">
        <f t="shared" ca="1" si="1"/>
        <v>3.401707657243936E-2</v>
      </c>
      <c r="T4" s="300">
        <f t="shared" ca="1" si="1"/>
        <v>1.3606830628975743E-2</v>
      </c>
      <c r="U4" s="303">
        <f t="shared" ca="1" si="1"/>
        <v>1.3606830628975743E-2</v>
      </c>
      <c r="V4" s="285"/>
      <c r="W4" s="304">
        <f ca="1">W1/SUM($H1:$X1)</f>
        <v>2.3193461299390469E-2</v>
      </c>
      <c r="Y4" s="291"/>
      <c r="Z4" s="291"/>
      <c r="AA4" s="291"/>
      <c r="AC4" s="263"/>
      <c r="AD4" s="263"/>
      <c r="AE4" s="263"/>
      <c r="AF4" s="263"/>
      <c r="AG4" s="263"/>
      <c r="AH4" s="263"/>
    </row>
    <row r="5" spans="1:34" ht="12.75" hidden="1" customHeight="1" outlineLevel="1">
      <c r="A5" s="305"/>
      <c r="B5" s="306"/>
      <c r="C5" s="306"/>
      <c r="D5" s="306"/>
      <c r="E5" s="307"/>
      <c r="F5" s="308" t="s">
        <v>241</v>
      </c>
      <c r="G5" s="307"/>
      <c r="H5" s="309">
        <v>1.4999999999999999E-2</v>
      </c>
      <c r="I5" s="310">
        <v>6.0999999999999999E-2</v>
      </c>
      <c r="J5" s="285"/>
      <c r="K5" s="309">
        <v>4.0000000000000001E-3</v>
      </c>
      <c r="L5" s="311">
        <v>2.5000000000000001E-2</v>
      </c>
      <c r="M5" s="311">
        <v>0.08</v>
      </c>
      <c r="N5" s="311">
        <v>0.05</v>
      </c>
      <c r="O5" s="312">
        <v>0.25</v>
      </c>
      <c r="P5" s="311">
        <v>7.0000000000000007E-2</v>
      </c>
      <c r="Q5" s="311">
        <v>0.03</v>
      </c>
      <c r="R5" s="311">
        <v>0.02</v>
      </c>
      <c r="S5" s="311">
        <v>0.02</v>
      </c>
      <c r="T5" s="311">
        <v>5.0000000000000001E-3</v>
      </c>
      <c r="U5" s="311">
        <v>5.0000000000000001E-3</v>
      </c>
      <c r="V5" s="285"/>
      <c r="W5" s="313">
        <v>0</v>
      </c>
      <c r="Y5" s="291"/>
      <c r="Z5" s="291"/>
      <c r="AA5" s="291"/>
      <c r="AC5" s="263"/>
      <c r="AD5" s="263"/>
      <c r="AE5" s="263"/>
      <c r="AF5" s="263"/>
      <c r="AG5" s="263"/>
      <c r="AH5" s="263"/>
    </row>
    <row r="6" spans="1:34" ht="12.75" hidden="1" customHeight="1" outlineLevel="1">
      <c r="A6" s="314"/>
      <c r="B6" s="306"/>
      <c r="C6" s="306"/>
      <c r="D6" s="306"/>
      <c r="E6" s="315"/>
      <c r="F6" s="316" t="s">
        <v>242</v>
      </c>
      <c r="G6" s="315"/>
      <c r="H6" s="317">
        <v>3.3000000000000002E-2</v>
      </c>
      <c r="I6" s="318">
        <v>0.155</v>
      </c>
      <c r="J6" s="319"/>
      <c r="K6" s="317">
        <v>1.2E-2</v>
      </c>
      <c r="L6" s="320">
        <v>0.06</v>
      </c>
      <c r="M6" s="320">
        <v>0.2</v>
      </c>
      <c r="N6" s="320">
        <v>0.15</v>
      </c>
      <c r="O6" s="321">
        <v>0.6</v>
      </c>
      <c r="P6" s="320">
        <v>0.25</v>
      </c>
      <c r="Q6" s="320">
        <v>0.08</v>
      </c>
      <c r="R6" s="320">
        <v>0.06</v>
      </c>
      <c r="S6" s="320">
        <v>0.05</v>
      </c>
      <c r="T6" s="320">
        <v>0.04</v>
      </c>
      <c r="U6" s="320">
        <v>0.08</v>
      </c>
      <c r="V6" s="319"/>
      <c r="W6" s="322">
        <v>0.08</v>
      </c>
      <c r="Y6" s="291"/>
      <c r="Z6" s="291"/>
      <c r="AA6" s="291"/>
      <c r="AC6" s="263"/>
      <c r="AD6" s="263"/>
      <c r="AE6" s="263"/>
      <c r="AF6" s="263"/>
      <c r="AG6" s="263"/>
      <c r="AH6" s="263"/>
    </row>
    <row r="7" spans="1:34" ht="12.75" hidden="1" customHeight="1" outlineLevel="1">
      <c r="A7" s="323"/>
      <c r="B7" s="447" t="s">
        <v>243</v>
      </c>
      <c r="C7" s="448"/>
      <c r="D7" s="324"/>
      <c r="E7" s="325"/>
      <c r="F7" s="326"/>
      <c r="G7" s="326" t="s">
        <v>211</v>
      </c>
      <c r="H7" s="327">
        <v>0.55000000000000004</v>
      </c>
      <c r="I7" s="327">
        <v>0.55000000000000004</v>
      </c>
      <c r="J7" s="328"/>
      <c r="K7" s="327">
        <v>0.55000000000000004</v>
      </c>
      <c r="L7" s="327">
        <v>0.7</v>
      </c>
      <c r="M7" s="327">
        <v>0.4</v>
      </c>
      <c r="N7" s="327">
        <v>0.4</v>
      </c>
      <c r="O7" s="328"/>
      <c r="P7" s="327">
        <v>0.4</v>
      </c>
      <c r="Q7" s="327">
        <v>0.5</v>
      </c>
      <c r="R7" s="327">
        <v>0.5</v>
      </c>
      <c r="S7" s="327">
        <v>0.55000000000000004</v>
      </c>
      <c r="T7" s="327">
        <v>0.5</v>
      </c>
      <c r="U7" s="327">
        <v>0.4</v>
      </c>
      <c r="V7" s="328"/>
      <c r="W7" s="327">
        <v>0</v>
      </c>
      <c r="Y7" s="291"/>
      <c r="Z7" s="291"/>
      <c r="AA7" s="291"/>
      <c r="AC7" s="263"/>
      <c r="AD7" s="263"/>
      <c r="AE7" s="263"/>
      <c r="AF7" s="263"/>
      <c r="AG7" s="263"/>
      <c r="AH7" s="263"/>
    </row>
    <row r="8" spans="1:34" ht="12.75" hidden="1" customHeight="1" outlineLevel="1">
      <c r="A8" s="323"/>
      <c r="B8" s="449" t="s">
        <v>244</v>
      </c>
      <c r="C8" s="450"/>
      <c r="D8" s="329"/>
      <c r="E8" s="330"/>
      <c r="F8" s="331"/>
      <c r="G8" s="331" t="s">
        <v>212</v>
      </c>
      <c r="H8" s="332">
        <v>2</v>
      </c>
      <c r="I8" s="332">
        <v>2</v>
      </c>
      <c r="J8" s="333"/>
      <c r="K8" s="332">
        <v>2</v>
      </c>
      <c r="L8" s="332">
        <v>2</v>
      </c>
      <c r="M8" s="332">
        <v>2.5</v>
      </c>
      <c r="N8" s="332">
        <v>2</v>
      </c>
      <c r="O8" s="333"/>
      <c r="P8" s="332">
        <v>3</v>
      </c>
      <c r="Q8" s="332">
        <v>4</v>
      </c>
      <c r="R8" s="332">
        <v>4</v>
      </c>
      <c r="S8" s="332">
        <v>2</v>
      </c>
      <c r="T8" s="332">
        <v>3</v>
      </c>
      <c r="U8" s="332">
        <v>6</v>
      </c>
      <c r="V8" s="333"/>
      <c r="W8" s="332">
        <v>4</v>
      </c>
      <c r="Y8" s="291"/>
      <c r="Z8" s="291"/>
      <c r="AA8" s="291"/>
      <c r="AC8" s="263"/>
      <c r="AD8" s="263"/>
      <c r="AE8" s="263"/>
      <c r="AF8" s="263"/>
      <c r="AG8" s="263"/>
      <c r="AH8" s="263"/>
    </row>
    <row r="9" spans="1:34" ht="12.75" hidden="1" customHeight="1" outlineLevel="1">
      <c r="A9" s="323"/>
      <c r="B9" s="449" t="s">
        <v>245</v>
      </c>
      <c r="C9" s="450"/>
      <c r="D9" s="334"/>
      <c r="E9" s="335"/>
      <c r="F9" s="335" t="s">
        <v>246</v>
      </c>
      <c r="G9" s="336"/>
      <c r="H9" s="337">
        <f t="shared" ref="H9:N10" si="2">H$3*H7</f>
        <v>1.6500000000000001E-2</v>
      </c>
      <c r="I9" s="338">
        <f t="shared" si="2"/>
        <v>6.6000000000000003E-2</v>
      </c>
      <c r="J9" s="339"/>
      <c r="K9" s="338">
        <f t="shared" si="2"/>
        <v>2.7500000000000003E-3</v>
      </c>
      <c r="L9" s="338">
        <f t="shared" si="2"/>
        <v>2.7999999999999997E-2</v>
      </c>
      <c r="M9" s="338">
        <f t="shared" si="2"/>
        <v>0.1</v>
      </c>
      <c r="N9" s="338">
        <f t="shared" si="2"/>
        <v>8.0000000000000016E-2</v>
      </c>
      <c r="O9" s="339"/>
      <c r="P9" s="338">
        <f t="shared" ref="P9:U10" si="3">P$3*P7</f>
        <v>0.1</v>
      </c>
      <c r="Q9" s="338">
        <f t="shared" si="3"/>
        <v>0.04</v>
      </c>
      <c r="R9" s="338">
        <f t="shared" si="3"/>
        <v>0.03</v>
      </c>
      <c r="S9" s="338">
        <f t="shared" si="3"/>
        <v>2.7500000000000004E-2</v>
      </c>
      <c r="T9" s="338">
        <f t="shared" si="3"/>
        <v>0.01</v>
      </c>
      <c r="U9" s="338">
        <f t="shared" si="3"/>
        <v>8.0000000000000002E-3</v>
      </c>
      <c r="V9" s="339"/>
      <c r="W9" s="340">
        <f>W$3*W7</f>
        <v>0</v>
      </c>
      <c r="Y9" s="291"/>
      <c r="Z9" s="291"/>
      <c r="AA9" s="291"/>
      <c r="AC9" s="263"/>
      <c r="AD9" s="263"/>
      <c r="AE9" s="263"/>
      <c r="AF9" s="263"/>
      <c r="AG9" s="263"/>
      <c r="AH9" s="263"/>
    </row>
    <row r="10" spans="1:34" ht="12.75" hidden="1" customHeight="1" outlineLevel="1">
      <c r="A10" s="323"/>
      <c r="B10" s="451">
        <f t="array" aca="1" ref="B10" ca="1">SUM(IF(G11:X11&lt;&gt;0,G16:X16,0)/SUM(G1:X1))</f>
        <v>1.3116810589376977</v>
      </c>
      <c r="C10" s="452"/>
      <c r="D10" s="341"/>
      <c r="E10" s="342"/>
      <c r="F10" s="342" t="s">
        <v>247</v>
      </c>
      <c r="G10" s="343"/>
      <c r="H10" s="344">
        <f t="shared" si="2"/>
        <v>0.06</v>
      </c>
      <c r="I10" s="345">
        <f t="shared" si="2"/>
        <v>0.24</v>
      </c>
      <c r="J10" s="285"/>
      <c r="K10" s="345">
        <f t="shared" si="2"/>
        <v>0.01</v>
      </c>
      <c r="L10" s="345">
        <f t="shared" si="2"/>
        <v>0.08</v>
      </c>
      <c r="M10" s="345">
        <f t="shared" si="2"/>
        <v>0.625</v>
      </c>
      <c r="N10" s="345">
        <f t="shared" si="2"/>
        <v>0.4</v>
      </c>
      <c r="O10" s="285"/>
      <c r="P10" s="345">
        <f t="shared" si="3"/>
        <v>0.75</v>
      </c>
      <c r="Q10" s="345">
        <f t="shared" si="3"/>
        <v>0.32</v>
      </c>
      <c r="R10" s="345">
        <f t="shared" si="3"/>
        <v>0.24</v>
      </c>
      <c r="S10" s="345">
        <f t="shared" si="3"/>
        <v>0.1</v>
      </c>
      <c r="T10" s="345">
        <f t="shared" si="3"/>
        <v>0.06</v>
      </c>
      <c r="U10" s="345">
        <f t="shared" si="3"/>
        <v>0.12</v>
      </c>
      <c r="V10" s="285"/>
      <c r="W10" s="346">
        <f>W$3*W8</f>
        <v>0.24</v>
      </c>
      <c r="Y10" s="291"/>
      <c r="Z10" s="291"/>
      <c r="AA10" s="291"/>
      <c r="AC10" s="263"/>
      <c r="AD10" s="263"/>
      <c r="AE10" s="263"/>
      <c r="AF10" s="263"/>
      <c r="AG10" s="263"/>
      <c r="AH10" s="263"/>
    </row>
    <row r="11" spans="1:34" ht="12.75" hidden="1" customHeight="1" outlineLevel="1">
      <c r="A11" s="323"/>
      <c r="B11" s="453" t="s">
        <v>181</v>
      </c>
      <c r="C11" s="453"/>
      <c r="D11" s="347"/>
      <c r="E11" s="347"/>
      <c r="F11" s="348" t="s">
        <v>248</v>
      </c>
      <c r="G11" s="349"/>
      <c r="H11" s="350">
        <f t="array" aca="1" ref="H11" ca="1">MIN(H10,MAX(H9,H3*PRODUCT(IF($A$21:$A$130&lt;&gt;"",H$21:H$130,1))))</f>
        <v>5.1839999999999997E-2</v>
      </c>
      <c r="I11" s="351">
        <f t="array" aca="1" ref="I11" ca="1">MIN(I10,MAX(I9,I3*PRODUCT(IF($A$21:$A$130&lt;&gt;"",I$21:I$130,1))))</f>
        <v>0.20735999999999999</v>
      </c>
      <c r="J11" s="352"/>
      <c r="K11" s="351">
        <f t="array" aca="1" ref="K11" ca="1">MIN(K10,MAX(K9,K3*PRODUCT(IF($A$21:$A$130&lt;&gt;"",K$21:K$130,1))))</f>
        <v>4.5499999999999994E-3</v>
      </c>
      <c r="L11" s="351">
        <f t="array" aca="1" ref="L11" ca="1">MIN(L10,MAX(L9,L3*PRODUCT(IF($A$21:$A$130&lt;&gt;"",L$21:L$130,1))))</f>
        <v>4.5999999999999999E-2</v>
      </c>
      <c r="M11" s="351">
        <f t="array" aca="1" ref="M11" ca="1">MIN(M10,MAX(M9,M3*PRODUCT(IF($A$21:$A$130&lt;&gt;"",M$21:M$130,1))))</f>
        <v>0.621</v>
      </c>
      <c r="N11" s="351">
        <f t="array" aca="1" ref="N11" ca="1">MIN(N10,MAX(N9,N3*PRODUCT(IF($A$21:$A$130&lt;&gt;"",N$21:N$130,1))))</f>
        <v>0.34499999999999997</v>
      </c>
      <c r="O11" s="352"/>
      <c r="P11" s="351">
        <f t="array" aca="1" ref="P11" ca="1">MIN(P10,MAX(P9,P3*PRODUCT(IF($A$21:$A$130&lt;&gt;"",P$21:P$130,1))))</f>
        <v>0.3</v>
      </c>
      <c r="Q11" s="351">
        <f t="array" aca="1" ref="Q11" ca="1">MIN(Q10,MAX(Q9,Q3*PRODUCT(IF($A$21:$A$130&lt;&gt;"",Q$21:Q$130,1))))</f>
        <v>0.1</v>
      </c>
      <c r="R11" s="351">
        <f t="array" aca="1" ref="R11" ca="1">MIN(R10,MAX(R9,R3*PRODUCT(IF($A$21:$A$130&lt;&gt;"",R$21:R$130,1))))</f>
        <v>0.10367999999999999</v>
      </c>
      <c r="S11" s="351">
        <f t="array" aca="1" ref="S11" ca="1">MIN(S10,MAX(S9,S3*PRODUCT(IF($A$21:$A$130&lt;&gt;"",S$21:S$130,1))))</f>
        <v>0.06</v>
      </c>
      <c r="T11" s="351">
        <f t="array" aca="1" ref="T11" ca="1">MIN(T10,MAX(T9,T3*PRODUCT(IF($A$21:$A$130&lt;&gt;"",T$21:T$130,1))))</f>
        <v>1.54E-2</v>
      </c>
      <c r="U11" s="351">
        <f t="array" aca="1" ref="U11" ca="1">MIN(U10,MAX(U9,U3*PRODUCT(IF($A$21:$A$130&lt;&gt;"",U$21:U$130,1))))</f>
        <v>2.3E-2</v>
      </c>
      <c r="V11" s="352"/>
      <c r="W11" s="353">
        <f t="array" aca="1" ref="W11" ca="1">MIN(W10,MAX(W9,W3*PRODUCT(IF($A$21:$A$130&lt;&gt;"",W$21:W$130,1))))</f>
        <v>7.8E-2</v>
      </c>
      <c r="Y11" s="291"/>
      <c r="Z11" s="291"/>
      <c r="AA11" s="291"/>
      <c r="AC11" s="263"/>
      <c r="AD11" s="263"/>
      <c r="AE11" s="263"/>
      <c r="AF11" s="263"/>
      <c r="AG11" s="263"/>
      <c r="AH11" s="263"/>
    </row>
    <row r="12" spans="1:34" ht="16.5" hidden="1" customHeight="1" outlineLevel="1">
      <c r="A12" s="354"/>
      <c r="B12" s="355">
        <v>500</v>
      </c>
      <c r="C12" s="356">
        <f>F16*B12</f>
        <v>1045000</v>
      </c>
      <c r="D12" s="357"/>
      <c r="E12" s="358"/>
      <c r="F12" s="358" t="s">
        <v>249</v>
      </c>
      <c r="G12" s="359"/>
      <c r="H12" s="360">
        <v>0.2</v>
      </c>
      <c r="I12" s="361">
        <v>1</v>
      </c>
      <c r="J12" s="362">
        <v>1</v>
      </c>
      <c r="K12" s="361">
        <v>1</v>
      </c>
      <c r="L12" s="361">
        <v>1</v>
      </c>
      <c r="M12" s="360">
        <v>0.2</v>
      </c>
      <c r="N12" s="360">
        <v>0.2</v>
      </c>
      <c r="O12" s="360">
        <v>0.6</v>
      </c>
      <c r="P12" s="360">
        <v>0.2</v>
      </c>
      <c r="Q12" s="360">
        <v>0.8</v>
      </c>
      <c r="R12" s="360">
        <v>0.15</v>
      </c>
      <c r="S12" s="361">
        <v>1</v>
      </c>
      <c r="T12" s="361">
        <v>1</v>
      </c>
      <c r="U12" s="360">
        <v>0.3</v>
      </c>
      <c r="V12" s="362">
        <v>1</v>
      </c>
      <c r="W12" s="363">
        <f>F116</f>
        <v>6</v>
      </c>
      <c r="Y12" s="291"/>
      <c r="Z12" s="291"/>
      <c r="AA12" s="291"/>
      <c r="AC12" s="263"/>
      <c r="AD12" s="263"/>
      <c r="AE12" s="263"/>
      <c r="AF12" s="263"/>
      <c r="AG12" s="263"/>
      <c r="AH12" s="263"/>
    </row>
    <row r="13" spans="1:34" ht="15.75" hidden="1" customHeight="1" outlineLevel="1">
      <c r="A13" s="323"/>
      <c r="B13" s="501" t="s">
        <v>252</v>
      </c>
      <c r="C13" s="502"/>
      <c r="D13" s="364"/>
      <c r="E13" s="365"/>
      <c r="F13" s="365" t="s">
        <v>250</v>
      </c>
      <c r="G13" s="366"/>
      <c r="H13" s="367">
        <f t="shared" ref="H13:W13" ca="1" si="4">IF(H12,40*H16/(IF(ISNUMBER($C17),$C17,$B17)*20)/H12,0)</f>
        <v>19.777449369599999</v>
      </c>
      <c r="I13" s="367">
        <f t="shared" ca="1" si="4"/>
        <v>23.777132001980828</v>
      </c>
      <c r="J13" s="367">
        <f t="shared" ca="1" si="4"/>
        <v>0</v>
      </c>
      <c r="K13" s="367">
        <f t="shared" ca="1" si="4"/>
        <v>0.52173008588451375</v>
      </c>
      <c r="L13" s="367">
        <f t="shared" ca="1" si="4"/>
        <v>5.2746338353159636</v>
      </c>
      <c r="M13" s="367">
        <f t="shared" ca="1" si="4"/>
        <v>77.625</v>
      </c>
      <c r="N13" s="367">
        <f t="shared" ca="1" si="4"/>
        <v>43.125</v>
      </c>
      <c r="O13" s="367">
        <f t="shared" si="4"/>
        <v>41.666666666666671</v>
      </c>
      <c r="P13" s="367">
        <f t="shared" ca="1" si="4"/>
        <v>37.5</v>
      </c>
      <c r="Q13" s="367">
        <f t="shared" ca="1" si="4"/>
        <v>7.3250000000000002</v>
      </c>
      <c r="R13" s="367">
        <f t="shared" ca="1" si="4"/>
        <v>40.50432</v>
      </c>
      <c r="S13" s="367">
        <f t="shared" ca="1" si="4"/>
        <v>3.5159999999999996</v>
      </c>
      <c r="T13" s="367">
        <f t="shared" ca="1" si="4"/>
        <v>0.90244000000000002</v>
      </c>
      <c r="U13" s="367">
        <f t="shared" ca="1" si="4"/>
        <v>4.4926666666666675</v>
      </c>
      <c r="V13" s="367">
        <f t="shared" si="4"/>
        <v>0</v>
      </c>
      <c r="W13" s="368">
        <f t="shared" ca="1" si="4"/>
        <v>0.32500000000000001</v>
      </c>
      <c r="Y13" s="291"/>
      <c r="Z13" s="291"/>
      <c r="AA13" s="291"/>
      <c r="AC13" s="263"/>
      <c r="AD13" s="263"/>
      <c r="AE13" s="263"/>
      <c r="AF13" s="263"/>
      <c r="AG13" s="263"/>
      <c r="AH13" s="263"/>
    </row>
    <row r="14" spans="1:34" ht="15.75" hidden="1" customHeight="1" outlineLevel="1" thickBot="1">
      <c r="A14" s="323"/>
      <c r="B14" s="369" t="s">
        <v>253</v>
      </c>
      <c r="C14" s="370" t="s">
        <v>254</v>
      </c>
      <c r="D14" s="371"/>
      <c r="E14" s="372"/>
      <c r="F14" s="372" t="s">
        <v>251</v>
      </c>
      <c r="G14" s="373"/>
      <c r="H14" s="374">
        <f ca="1">H13/40</f>
        <v>0.49443623423999999</v>
      </c>
      <c r="I14" s="374">
        <f ca="1">I13/40</f>
        <v>0.59442830004952074</v>
      </c>
      <c r="J14" s="374">
        <f t="shared" ref="J14:O14" ca="1" si="5">J13/40</f>
        <v>0</v>
      </c>
      <c r="K14" s="374">
        <f t="shared" ca="1" si="5"/>
        <v>1.3043252147112844E-2</v>
      </c>
      <c r="L14" s="374">
        <f t="shared" ca="1" si="5"/>
        <v>0.1318658458828991</v>
      </c>
      <c r="M14" s="374">
        <f t="shared" ca="1" si="5"/>
        <v>1.940625</v>
      </c>
      <c r="N14" s="374">
        <f t="shared" ca="1" si="5"/>
        <v>1.078125</v>
      </c>
      <c r="O14" s="374">
        <f t="shared" si="5"/>
        <v>1.0416666666666667</v>
      </c>
      <c r="P14" s="374">
        <f t="shared" ref="P14:W14" ca="1" si="6">P13/40</f>
        <v>0.9375</v>
      </c>
      <c r="Q14" s="374">
        <f t="shared" ca="1" si="6"/>
        <v>0.18312500000000001</v>
      </c>
      <c r="R14" s="374">
        <f t="shared" ca="1" si="6"/>
        <v>1.012608</v>
      </c>
      <c r="S14" s="374">
        <f t="shared" ca="1" si="6"/>
        <v>8.7899999999999992E-2</v>
      </c>
      <c r="T14" s="374">
        <f t="shared" ca="1" si="6"/>
        <v>2.2561000000000001E-2</v>
      </c>
      <c r="U14" s="374">
        <f t="shared" ca="1" si="6"/>
        <v>0.11231666666666669</v>
      </c>
      <c r="V14" s="374">
        <f t="shared" si="6"/>
        <v>0</v>
      </c>
      <c r="W14" s="375">
        <f t="shared" ca="1" si="6"/>
        <v>8.1250000000000003E-3</v>
      </c>
      <c r="Y14" s="291"/>
      <c r="Z14" s="291"/>
      <c r="AA14" s="291"/>
      <c r="AC14" s="263"/>
      <c r="AD14" s="263"/>
      <c r="AE14" s="263"/>
      <c r="AF14" s="263"/>
      <c r="AG14" s="263"/>
      <c r="AH14" s="263"/>
    </row>
    <row r="15" spans="1:34" ht="15.75" hidden="1" customHeight="1" outlineLevel="1" thickBot="1">
      <c r="A15" s="323"/>
      <c r="C15" s="376">
        <v>0.7</v>
      </c>
      <c r="D15" s="377">
        <v>0.3</v>
      </c>
      <c r="E15" s="378">
        <f ca="1">SQRT(F15/20)</f>
        <v>4.4707135405436125</v>
      </c>
      <c r="F15" s="379">
        <f ca="1">SUM(G15:X15)</f>
        <v>399.74559123200004</v>
      </c>
      <c r="G15" s="380"/>
      <c r="H15" s="381">
        <f ca="1">SUMIF($G2:$X2,"&lt;"&amp;H2,$G15:$X15)*H11</f>
        <v>15.82195949568</v>
      </c>
      <c r="I15" s="382">
        <f ca="1">SUMIF($G2:$X2,"&lt;"&amp;I2,$G15:$X15)*I11</f>
        <v>63.287837982719999</v>
      </c>
      <c r="J15" s="383">
        <f ca="1">J16</f>
        <v>0</v>
      </c>
      <c r="K15" s="382">
        <f ca="1">SUMIF($G2:$X2,"&lt;"&amp;K2,$G15:$X15)*K11</f>
        <v>1.3886943615999998</v>
      </c>
      <c r="L15" s="382">
        <f ca="1">SUMIF($G2:$X2,"&lt;"&amp;L2,$G15:$X15)*L11</f>
        <v>14.039547392000001</v>
      </c>
      <c r="M15" s="381">
        <f ca="1">SUMIF($G2:$X2,"&lt;"&amp;M2,$G15:$X15)*M11</f>
        <v>62.1</v>
      </c>
      <c r="N15" s="381">
        <f ca="1">SUMIF($G2:$X2,"&lt;"&amp;N2,$G15:$X15)*N11</f>
        <v>34.5</v>
      </c>
      <c r="O15" s="383">
        <f>O16</f>
        <v>100</v>
      </c>
      <c r="P15" s="381">
        <f t="shared" ref="P15:U15" ca="1" si="7">SUMIF($G2:$X2,"&lt;"&amp;P2,$G15:$X15)*P11</f>
        <v>30</v>
      </c>
      <c r="Q15" s="381">
        <f t="shared" ca="1" si="7"/>
        <v>23.44</v>
      </c>
      <c r="R15" s="381">
        <f t="shared" ca="1" si="7"/>
        <v>24.302592000000001</v>
      </c>
      <c r="S15" s="381">
        <f t="shared" ca="1" si="7"/>
        <v>14.064</v>
      </c>
      <c r="T15" s="381">
        <f t="shared" ca="1" si="7"/>
        <v>3.6097600000000001</v>
      </c>
      <c r="U15" s="381">
        <f t="shared" ca="1" si="7"/>
        <v>5.3912000000000004</v>
      </c>
      <c r="V15" s="383">
        <f>V16</f>
        <v>0</v>
      </c>
      <c r="W15" s="381">
        <f ca="1">SUMIF($G2:$X2,"&lt;"&amp;W2,$G15:$X15)*W11</f>
        <v>7.8</v>
      </c>
      <c r="Y15" s="291"/>
      <c r="Z15" s="291"/>
      <c r="AA15" s="291"/>
      <c r="AC15" s="263"/>
      <c r="AD15" s="263"/>
      <c r="AE15" s="263"/>
      <c r="AF15" s="263"/>
      <c r="AG15" s="263"/>
      <c r="AH15" s="263"/>
    </row>
    <row r="16" spans="1:34" ht="18" customHeight="1" thickBot="1">
      <c r="A16" s="384"/>
      <c r="B16" s="385">
        <f>IF(AND(ISNUMBER(C16),C16&gt;0),
F16/20/B17,
IF(AND(ISNUMBER(C17),C17&gt;0),F16/20/C17,SQRT(F16/20))
)</f>
        <v>13.0625</v>
      </c>
      <c r="C16" s="386"/>
      <c r="D16" s="387" t="s">
        <v>185</v>
      </c>
      <c r="E16" s="388" t="s">
        <v>33</v>
      </c>
      <c r="F16" s="389">
        <v>2090</v>
      </c>
      <c r="G16" s="390"/>
      <c r="H16" s="391">
        <f ca="1">H15*IF(AND($E15&gt;$C17,ISNUMBER($C17),$C17&gt;0),($E15/$C17)^$D15,1)</f>
        <v>15.82195949568</v>
      </c>
      <c r="I16" s="392">
        <f ca="1">I15*IF(AND(ISNUMBER($C17),$C17&gt;0),($C17/$E15)^$C15,1)*IF(AND($E15&gt;$C17,ISNUMBER($C17),$C17&gt;0),($E15/$C17)^$D15,1)</f>
        <v>95.108528007923312</v>
      </c>
      <c r="J16" s="393">
        <f ca="1">Parten.Fourn.!L5</f>
        <v>0</v>
      </c>
      <c r="K16" s="392">
        <f ca="1">K15*IF(AND(ISNUMBER($C17),$C17&gt;0),($C17/$E15)^$C15,1)*IF(AND($E15&gt;$C17,ISNUMBER($C17),$C17&gt;0),($E15/$C17)^$D15,1)</f>
        <v>2.086920343538055</v>
      </c>
      <c r="L16" s="394">
        <f ca="1">L15*IF(AND(ISNUMBER($C17),$C17&gt;0),($C17/$E15)^$C15,1)*IF(AND($E15&gt;$C17,ISNUMBER($C17),$C17&gt;0),($E15/$C17)^$D15,1)</f>
        <v>21.098535341263855</v>
      </c>
      <c r="M16" s="391">
        <f ca="1">M15*IF(AND($E15&gt;$C17,ISNUMBER($C17),$C17&gt;0),($E15/$C17)^$D15,1)</f>
        <v>62.1</v>
      </c>
      <c r="N16" s="395">
        <f ca="1">N15*IF(AND($E15&gt;$C17,ISNUMBER($C17),$C17&gt;0),($E15/$C17)^$D15,1)</f>
        <v>34.5</v>
      </c>
      <c r="O16" s="396">
        <v>100</v>
      </c>
      <c r="P16" s="397">
        <f t="shared" ref="P16:U16" ca="1" si="8">P15*IF(AND($E15&gt;$C17,ISNUMBER($C17),$C17&gt;0),($E15/$C17)^$D15,1)</f>
        <v>30</v>
      </c>
      <c r="Q16" s="391">
        <f t="shared" ca="1" si="8"/>
        <v>23.44</v>
      </c>
      <c r="R16" s="395">
        <f t="shared" ca="1" si="8"/>
        <v>24.302592000000001</v>
      </c>
      <c r="S16" s="391">
        <f t="shared" ca="1" si="8"/>
        <v>14.064</v>
      </c>
      <c r="T16" s="395">
        <f t="shared" ca="1" si="8"/>
        <v>3.6097600000000001</v>
      </c>
      <c r="U16" s="397">
        <f t="shared" ca="1" si="8"/>
        <v>5.3912000000000004</v>
      </c>
      <c r="V16" s="398"/>
      <c r="W16" s="399">
        <f ca="1">W15</f>
        <v>7.8</v>
      </c>
      <c r="X16" s="400"/>
      <c r="Y16" s="401"/>
      <c r="Z16" s="401"/>
      <c r="AA16" s="401"/>
      <c r="AB16" s="400"/>
      <c r="AC16" s="263"/>
      <c r="AD16" s="263"/>
      <c r="AE16" s="263"/>
      <c r="AF16" s="263"/>
      <c r="AG16" s="263"/>
      <c r="AH16" s="263"/>
    </row>
    <row r="17" spans="1:34" ht="15.75" customHeight="1" thickBot="1">
      <c r="A17" s="384"/>
      <c r="B17" s="402">
        <f>IF(AND(ISNUMBER(C17),C17&gt;0),C17,IF(AND(ISNUMBER(C16),C16&gt;0),F16/20/C16,SQRT(F16/20)))</f>
        <v>8</v>
      </c>
      <c r="C17" s="403">
        <v>8</v>
      </c>
      <c r="D17" s="404">
        <f ca="1">(SUM(H16:I16,K16:U16,W16)-V16*(H17-J18))/O16</f>
        <v>4.393234951884053</v>
      </c>
      <c r="E17" s="405"/>
      <c r="F17" s="406"/>
      <c r="G17" s="406" t="s">
        <v>203</v>
      </c>
      <c r="H17" s="503">
        <f ca="1">SUM(H18:K18)</f>
        <v>0.25725327483036958</v>
      </c>
      <c r="I17" s="505"/>
      <c r="J17" s="505"/>
      <c r="K17" s="504"/>
      <c r="L17" s="407"/>
      <c r="M17" s="503">
        <f ca="1">SUM(M18:N18)</f>
        <v>0.21988352787408466</v>
      </c>
      <c r="N17" s="504"/>
      <c r="O17" s="408">
        <f ca="1">1/O18</f>
        <v>4.393234951884053</v>
      </c>
      <c r="P17" s="503">
        <f ca="1">SUM(P18:R18)</f>
        <v>0.17695978669809101</v>
      </c>
      <c r="Q17" s="505"/>
      <c r="R17" s="504"/>
      <c r="S17" s="503">
        <f ca="1">SUM(S18:T18)</f>
        <v>4.0229489643891114E-2</v>
      </c>
      <c r="T17" s="504"/>
      <c r="U17" s="407"/>
      <c r="V17" s="407"/>
      <c r="W17" s="409"/>
      <c r="X17" s="410"/>
      <c r="Y17" s="411"/>
      <c r="Z17" s="411"/>
      <c r="AA17" s="411"/>
      <c r="AB17" s="400"/>
      <c r="AC17" s="263"/>
      <c r="AD17" s="263"/>
      <c r="AE17" s="263"/>
      <c r="AF17" s="263"/>
      <c r="AG17" s="263"/>
      <c r="AH17" s="263"/>
    </row>
    <row r="18" spans="1:34" ht="15" customHeight="1" thickBot="1">
      <c r="A18" s="384"/>
      <c r="B18" s="412">
        <f ca="1">E15</f>
        <v>4.4707135405436125</v>
      </c>
      <c r="C18" s="413">
        <f ca="1">F15</f>
        <v>399.74559123200004</v>
      </c>
      <c r="D18" s="414">
        <f ca="1">F16-F15</f>
        <v>1690.2544087679998</v>
      </c>
      <c r="E18" s="415"/>
      <c r="F18" s="416" t="s">
        <v>204</v>
      </c>
      <c r="G18" s="417"/>
      <c r="H18" s="418">
        <f t="shared" ref="H18:W18" ca="1" si="9">H16/SUM($H16:$X16)</f>
        <v>3.601437134359204E-2</v>
      </c>
      <c r="I18" s="419">
        <f t="shared" ca="1" si="9"/>
        <v>0.21648859906100792</v>
      </c>
      <c r="J18" s="419">
        <f t="shared" ca="1" si="9"/>
        <v>0</v>
      </c>
      <c r="K18" s="420">
        <f t="shared" ca="1" si="9"/>
        <v>4.7503044257696091E-3</v>
      </c>
      <c r="L18" s="421">
        <f t="shared" ca="1" si="9"/>
        <v>4.8025055733055391E-2</v>
      </c>
      <c r="M18" s="422">
        <f t="shared" ca="1" si="9"/>
        <v>0.14135369649048299</v>
      </c>
      <c r="N18" s="423">
        <f t="shared" ca="1" si="9"/>
        <v>7.8529831383601659E-2</v>
      </c>
      <c r="O18" s="424">
        <f t="shared" ca="1" si="9"/>
        <v>0.2276226996626135</v>
      </c>
      <c r="P18" s="421">
        <f t="shared" ca="1" si="9"/>
        <v>6.8286809898784051E-2</v>
      </c>
      <c r="Q18" s="422">
        <f t="shared" ca="1" si="9"/>
        <v>5.3354760800916605E-2</v>
      </c>
      <c r="R18" s="423">
        <f t="shared" ca="1" si="9"/>
        <v>5.531821599839034E-2</v>
      </c>
      <c r="S18" s="422">
        <f t="shared" ca="1" si="9"/>
        <v>3.201285648054996E-2</v>
      </c>
      <c r="T18" s="423">
        <f t="shared" ca="1" si="9"/>
        <v>8.2166331633411575E-3</v>
      </c>
      <c r="U18" s="421">
        <f t="shared" ca="1" si="9"/>
        <v>1.2271594984210821E-2</v>
      </c>
      <c r="V18" s="425">
        <f t="shared" ca="1" si="9"/>
        <v>0</v>
      </c>
      <c r="W18" s="421">
        <f t="shared" ca="1" si="9"/>
        <v>1.7754570573683851E-2</v>
      </c>
      <c r="X18" s="400"/>
      <c r="Y18" s="426"/>
      <c r="Z18" s="426"/>
      <c r="AA18" s="426"/>
      <c r="AB18" s="400"/>
      <c r="AC18" s="263"/>
      <c r="AD18" s="263"/>
      <c r="AE18" s="263"/>
      <c r="AF18" s="263"/>
      <c r="AG18" s="263"/>
      <c r="AH18" s="263"/>
    </row>
    <row r="19" spans="1:34" ht="15" customHeight="1">
      <c r="B19" s="534">
        <v>40787</v>
      </c>
      <c r="C19" s="535"/>
      <c r="D19" s="427">
        <f ca="1">D18/C18</f>
        <v>4.2283253295144618</v>
      </c>
      <c r="E19" s="536" t="s">
        <v>205</v>
      </c>
      <c r="F19" s="529" t="s">
        <v>215</v>
      </c>
      <c r="H19" s="463" t="str">
        <f>"1 - Planif. Initiale"</f>
        <v>1 - Planif. Initiale</v>
      </c>
      <c r="I19" s="463" t="str">
        <f>"2 - monitoring Project"</f>
        <v>2 - monitoring Project</v>
      </c>
      <c r="J19" s="463" t="str">
        <f>"3 - Subcontracting"</f>
        <v>3 - Subcontracting</v>
      </c>
      <c r="K19" s="463" t="str">
        <f>"4 - Analyse Measures"</f>
        <v>4 - Analyse Measures</v>
      </c>
      <c r="L19" s="463" t="str">
        <f>"5 - Quality"</f>
        <v>5 - Quality</v>
      </c>
      <c r="M19" s="463" t="str">
        <f>"6 - Requirements Spec"</f>
        <v>6 - Requirements Spec</v>
      </c>
      <c r="N19" s="463" t="str">
        <f>"7 - Conception"</f>
        <v>7 - Conception</v>
      </c>
      <c r="O19" s="467" t="str">
        <f>"8 - CTU"</f>
        <v>8 - CTU</v>
      </c>
      <c r="P19" s="463" t="str">
        <f>"9 - Integration-Tests"</f>
        <v>9 - Integration-Tests</v>
      </c>
      <c r="Q19" s="463" t="str">
        <f>"10 - Verif-Magazines"</f>
        <v>10 - Verif-Magazines</v>
      </c>
      <c r="R19" s="463" t="str">
        <f>"11 - Validation recipe"</f>
        <v>11 - Validation recipe</v>
      </c>
      <c r="S19" s="463" t="str">
        <f>"12 - Configuration"</f>
        <v>12 - Configuration</v>
      </c>
      <c r="T19" s="463" t="str">
        <f>"13 - G. average"</f>
        <v>13 - G. average</v>
      </c>
      <c r="U19" s="463" t="str">
        <f>"14 - Formation-Coaching"</f>
        <v>14 - Formation-Coaching</v>
      </c>
      <c r="V19" s="533" t="str">
        <f>"15 - specific services"</f>
        <v>15 - specific services</v>
      </c>
      <c r="W19" s="531" t="str">
        <f>"16 - warranty"</f>
        <v>16 - warranty</v>
      </c>
      <c r="Y19" s="465" t="s">
        <v>214</v>
      </c>
      <c r="Z19" s="465" t="s">
        <v>215</v>
      </c>
      <c r="AA19" s="465" t="s">
        <v>216</v>
      </c>
      <c r="AC19" s="263"/>
      <c r="AD19" s="263"/>
      <c r="AE19" s="263"/>
      <c r="AF19" s="263"/>
      <c r="AG19" s="263"/>
      <c r="AH19" s="263"/>
    </row>
    <row r="20" spans="1:34" ht="71.25" customHeight="1">
      <c r="A20" s="527" t="s">
        <v>206</v>
      </c>
      <c r="B20" s="527"/>
      <c r="C20" s="527"/>
      <c r="D20" s="528"/>
      <c r="E20" s="537"/>
      <c r="F20" s="530"/>
      <c r="H20" s="464"/>
      <c r="I20" s="464"/>
      <c r="J20" s="464"/>
      <c r="K20" s="464"/>
      <c r="L20" s="464"/>
      <c r="M20" s="464"/>
      <c r="N20" s="464"/>
      <c r="O20" s="468"/>
      <c r="P20" s="464"/>
      <c r="Q20" s="464"/>
      <c r="R20" s="464"/>
      <c r="S20" s="464"/>
      <c r="T20" s="464"/>
      <c r="U20" s="464"/>
      <c r="V20" s="468"/>
      <c r="W20" s="532"/>
      <c r="Y20" s="466"/>
      <c r="Z20" s="466"/>
      <c r="AA20" s="466"/>
      <c r="AC20" s="263"/>
      <c r="AD20" s="263"/>
      <c r="AE20" s="263"/>
      <c r="AF20" s="263"/>
      <c r="AG20" s="263"/>
      <c r="AH20" s="263"/>
    </row>
    <row r="21" spans="1:34" ht="22.5" customHeight="1" collapsed="1">
      <c r="A21" s="428">
        <v>1</v>
      </c>
      <c r="B21" s="460" t="s">
        <v>191</v>
      </c>
      <c r="C21" s="461"/>
      <c r="D21" s="462"/>
      <c r="E21" s="429" t="s">
        <v>222</v>
      </c>
      <c r="F21" s="430" t="str">
        <f>HLOOKUP($F$19,Y$19:AA21,ROWS(Y$19:AA21),0)</f>
        <v>average</v>
      </c>
      <c r="G21" s="431"/>
      <c r="H21" s="432">
        <f ca="1">IF((OFFSET(H21,1,0)+OFFSET(H21,2,0))=0,1,VLOOKUP(IF($E21="",$F21,$E21),$D22:H27,COLUMNS($D22:H27),0))</f>
        <v>1.2</v>
      </c>
      <c r="I21" s="432">
        <f ca="1">IF((OFFSET(I21,1,0)+OFFSET(I21,2,0))=0,1,VLOOKUP(IF($E21="",$F21,$E21),$D22:I27,COLUMNS($D22:I27),0))</f>
        <v>1.2</v>
      </c>
      <c r="J21" s="432">
        <f ca="1">IF((OFFSET(J21,1,0)+OFFSET(J21,2,0))=0,1,VLOOKUP(IF($E21="",$F21,$E21),$D22:J27,COLUMNS($D22:J27),0))</f>
        <v>1.2</v>
      </c>
      <c r="K21" s="432">
        <f ca="1">IF((OFFSET(K21,1,0)+OFFSET(K21,2,0))=0,1,VLOOKUP(IF($E21="",$F21,$E21),$D22:K27,COLUMNS($D22:K27),0))</f>
        <v>1</v>
      </c>
      <c r="L21" s="432">
        <f ca="1">IF((OFFSET(L21,1,0)+OFFSET(L21,2,0))=0,1,VLOOKUP(IF($E21="",$F21,$E21),$D22:L27,COLUMNS($D22:L27),0))</f>
        <v>1.1499999999999999</v>
      </c>
      <c r="M21" s="432">
        <f ca="1">IF((OFFSET(M21,1,0)+OFFSET(M21,2,0))=0,1,VLOOKUP(IF($E21="",$F21,$E21),$D22:M27,COLUMNS($D22:M27),0))</f>
        <v>1.1499999999999999</v>
      </c>
      <c r="N21" s="432">
        <f ca="1">IF((OFFSET(N21,1,0)+OFFSET(N21,2,0))=0,1,VLOOKUP(IF($E21="",$F21,$E21),$D22:N27,COLUMNS($D22:N27),0))</f>
        <v>1.1499999999999999</v>
      </c>
      <c r="O21" s="433">
        <f ca="1">IF((OFFSET(O21,1,0)+OFFSET(O21,2,0))=0,1,VLOOKUP(IF($E21="",$F21,$E21),$D22:O27,COLUMNS($D22:O27),0))</f>
        <v>1</v>
      </c>
      <c r="P21" s="432">
        <f ca="1">IF((OFFSET(P21,1,0)+OFFSET(P21,2,0))=0,1,VLOOKUP(IF($E21="",$F21,$E21),$D22:P27,COLUMNS($D22:P27),0))</f>
        <v>1</v>
      </c>
      <c r="Q21" s="432">
        <f ca="1">IF((OFFSET(Q21,1,0)+OFFSET(Q21,2,0))=0,1,VLOOKUP(IF($E21="",$F21,$E21),$D22:Q27,COLUMNS($D22:Q27),0))</f>
        <v>1.25</v>
      </c>
      <c r="R21" s="432">
        <f ca="1">IF((OFFSET(R21,1,0)+OFFSET(R21,2,0))=0,1,VLOOKUP(IF($E21="",$F21,$E21),$D22:R27,COLUMNS($D22:R27),0))</f>
        <v>1.2</v>
      </c>
      <c r="S21" s="432">
        <f ca="1">IF((OFFSET(S21,1,0)+OFFSET(S21,2,0))=0,1,VLOOKUP(IF($E21="",$F21,$E21),$D22:S27,COLUMNS($D22:S27),0))</f>
        <v>1</v>
      </c>
      <c r="T21" s="432">
        <f ca="1">IF((OFFSET(T21,1,0)+OFFSET(T21,2,0))=0,1,VLOOKUP(IF($E21="",$F21,$E21),$D22:T27,COLUMNS($D22:T27),0))</f>
        <v>1</v>
      </c>
      <c r="U21" s="432">
        <f ca="1">IF((OFFSET(U21,1,0)+OFFSET(U21,2,0))=0,1,VLOOKUP(IF($E21="",$F21,$E21),$D22:U27,COLUMNS($D22:U27),0))</f>
        <v>1.1499999999999999</v>
      </c>
      <c r="V21" s="433">
        <f ca="1">IF((OFFSET(V21,1,0)+OFFSET(V21,2,0))=0,1,VLOOKUP(IF($E21="",$F21,$E21),$D22:V27,COLUMNS($D22:V27),0))</f>
        <v>1</v>
      </c>
      <c r="W21" s="432">
        <f ca="1">IF((OFFSET(W21,1,0)+OFFSET(W21,2,0))=0,1,VLOOKUP(IF($E21="",$F21,$E21),$D22:W27,COLUMNS($D22:W27),0))</f>
        <v>1</v>
      </c>
      <c r="Y21" s="434" t="str">
        <f>D22</f>
        <v>very low</v>
      </c>
      <c r="Z21" s="434" t="s">
        <v>220</v>
      </c>
      <c r="AA21" s="434" t="str">
        <f>D26</f>
        <v>very high</v>
      </c>
      <c r="AC21" s="263"/>
      <c r="AD21" s="263"/>
      <c r="AE21" s="263"/>
      <c r="AF21" s="263"/>
      <c r="AG21" s="263"/>
      <c r="AH21" s="263"/>
    </row>
    <row r="22" spans="1:34" ht="28.5" hidden="1" customHeight="1" outlineLevel="1">
      <c r="A22" s="435"/>
      <c r="B22" s="469" t="s">
        <v>217</v>
      </c>
      <c r="C22" s="470"/>
      <c r="D22" s="436" t="s">
        <v>218</v>
      </c>
      <c r="E22" s="506"/>
      <c r="F22" s="512"/>
      <c r="H22" s="437">
        <v>0.9</v>
      </c>
      <c r="I22" s="437">
        <v>0.8</v>
      </c>
      <c r="J22" s="437">
        <v>0.8</v>
      </c>
      <c r="K22" s="437"/>
      <c r="L22" s="437">
        <v>0.9</v>
      </c>
      <c r="M22" s="437">
        <v>0.9</v>
      </c>
      <c r="N22" s="437">
        <v>0.9</v>
      </c>
      <c r="O22" s="435"/>
      <c r="P22" s="437"/>
      <c r="Q22" s="437">
        <v>0.7</v>
      </c>
      <c r="R22" s="437">
        <v>0.8</v>
      </c>
      <c r="S22" s="437"/>
      <c r="T22" s="437"/>
      <c r="U22" s="437">
        <v>0.8</v>
      </c>
      <c r="V22" s="435"/>
      <c r="W22" s="437"/>
      <c r="Y22" s="454"/>
      <c r="Z22" s="454"/>
      <c r="AA22" s="454"/>
      <c r="AC22" s="263"/>
      <c r="AD22" s="263"/>
      <c r="AE22" s="263"/>
      <c r="AF22" s="263"/>
      <c r="AG22" s="263"/>
      <c r="AH22" s="263"/>
    </row>
    <row r="23" spans="1:34" ht="28.5" hidden="1" customHeight="1" outlineLevel="1">
      <c r="A23" s="435"/>
      <c r="B23" s="469"/>
      <c r="C23" s="470"/>
      <c r="D23" s="438" t="s">
        <v>219</v>
      </c>
      <c r="E23" s="513"/>
      <c r="F23" s="514"/>
      <c r="H23" s="437">
        <v>0.95</v>
      </c>
      <c r="I23" s="437">
        <v>0.9</v>
      </c>
      <c r="J23" s="437">
        <v>0.9</v>
      </c>
      <c r="K23" s="437"/>
      <c r="L23" s="437">
        <v>0.95</v>
      </c>
      <c r="M23" s="437">
        <v>0.95</v>
      </c>
      <c r="N23" s="437">
        <v>0.95</v>
      </c>
      <c r="O23" s="435"/>
      <c r="P23" s="437"/>
      <c r="Q23" s="437">
        <v>0.85</v>
      </c>
      <c r="R23" s="437">
        <v>0.9</v>
      </c>
      <c r="S23" s="437"/>
      <c r="T23" s="437"/>
      <c r="U23" s="437">
        <v>0.9</v>
      </c>
      <c r="V23" s="435"/>
      <c r="W23" s="437"/>
      <c r="Y23" s="455"/>
      <c r="Z23" s="455"/>
      <c r="AA23" s="455"/>
      <c r="AC23" s="263"/>
      <c r="AD23" s="263"/>
      <c r="AE23" s="263"/>
      <c r="AF23" s="263"/>
      <c r="AG23" s="263"/>
      <c r="AH23" s="263"/>
    </row>
    <row r="24" spans="1:34" ht="28.5" hidden="1" customHeight="1" outlineLevel="1">
      <c r="A24" s="435"/>
      <c r="B24" s="469"/>
      <c r="C24" s="470"/>
      <c r="D24" s="438" t="s">
        <v>220</v>
      </c>
      <c r="E24" s="513"/>
      <c r="F24" s="514"/>
      <c r="H24" s="437">
        <v>1</v>
      </c>
      <c r="I24" s="437">
        <v>1</v>
      </c>
      <c r="J24" s="437">
        <v>1</v>
      </c>
      <c r="K24" s="437"/>
      <c r="L24" s="437">
        <v>1</v>
      </c>
      <c r="M24" s="437">
        <v>1</v>
      </c>
      <c r="N24" s="437">
        <v>1</v>
      </c>
      <c r="O24" s="435"/>
      <c r="P24" s="437"/>
      <c r="Q24" s="437">
        <v>1</v>
      </c>
      <c r="R24" s="437">
        <v>1</v>
      </c>
      <c r="S24" s="437"/>
      <c r="T24" s="437"/>
      <c r="U24" s="437">
        <v>1</v>
      </c>
      <c r="V24" s="435"/>
      <c r="W24" s="437"/>
      <c r="Y24" s="455"/>
      <c r="Z24" s="455"/>
      <c r="AA24" s="455"/>
      <c r="AC24" s="263"/>
      <c r="AD24" s="263"/>
      <c r="AE24" s="263"/>
      <c r="AF24" s="263"/>
      <c r="AG24" s="263"/>
      <c r="AH24" s="263"/>
    </row>
    <row r="25" spans="1:34" ht="28.5" hidden="1" customHeight="1" outlineLevel="1">
      <c r="A25" s="435"/>
      <c r="B25" s="469"/>
      <c r="C25" s="470"/>
      <c r="D25" s="438" t="s">
        <v>222</v>
      </c>
      <c r="E25" s="513"/>
      <c r="F25" s="514"/>
      <c r="H25" s="437">
        <v>1.2</v>
      </c>
      <c r="I25" s="437">
        <v>1.2</v>
      </c>
      <c r="J25" s="437">
        <v>1.2</v>
      </c>
      <c r="K25" s="437"/>
      <c r="L25" s="437">
        <v>1.1499999999999999</v>
      </c>
      <c r="M25" s="437">
        <v>1.1499999999999999</v>
      </c>
      <c r="N25" s="437">
        <v>1.1499999999999999</v>
      </c>
      <c r="O25" s="435"/>
      <c r="P25" s="437"/>
      <c r="Q25" s="437">
        <v>1.25</v>
      </c>
      <c r="R25" s="437">
        <v>1.2</v>
      </c>
      <c r="S25" s="437"/>
      <c r="T25" s="437"/>
      <c r="U25" s="437">
        <v>1.1499999999999999</v>
      </c>
      <c r="V25" s="435"/>
      <c r="W25" s="437"/>
      <c r="Y25" s="455"/>
      <c r="Z25" s="455"/>
      <c r="AA25" s="455"/>
      <c r="AC25" s="263"/>
      <c r="AD25" s="263"/>
      <c r="AE25" s="263"/>
      <c r="AF25" s="263"/>
      <c r="AG25" s="263"/>
      <c r="AH25" s="263"/>
    </row>
    <row r="26" spans="1:34" ht="28.5" hidden="1" customHeight="1" outlineLevel="1">
      <c r="A26" s="435"/>
      <c r="B26" s="469"/>
      <c r="C26" s="470"/>
      <c r="D26" s="439" t="s">
        <v>221</v>
      </c>
      <c r="E26" s="515"/>
      <c r="F26" s="516"/>
      <c r="H26" s="437">
        <v>1.4</v>
      </c>
      <c r="I26" s="437">
        <v>1.4</v>
      </c>
      <c r="J26" s="437">
        <v>1.4</v>
      </c>
      <c r="K26" s="437"/>
      <c r="L26" s="437">
        <v>1.3</v>
      </c>
      <c r="M26" s="437">
        <v>1.3</v>
      </c>
      <c r="N26" s="437">
        <v>1.3</v>
      </c>
      <c r="O26" s="435"/>
      <c r="P26" s="437"/>
      <c r="Q26" s="437">
        <v>1.5</v>
      </c>
      <c r="R26" s="437">
        <v>1.4</v>
      </c>
      <c r="S26" s="437"/>
      <c r="T26" s="437"/>
      <c r="U26" s="437">
        <v>1.3</v>
      </c>
      <c r="V26" s="435"/>
      <c r="W26" s="437"/>
      <c r="Y26" s="456"/>
      <c r="Z26" s="456"/>
      <c r="AA26" s="456"/>
      <c r="AC26" s="263"/>
      <c r="AD26" s="263"/>
      <c r="AE26" s="263"/>
      <c r="AF26" s="263"/>
      <c r="AG26" s="263"/>
      <c r="AH26" s="263"/>
    </row>
    <row r="27" spans="1:34" ht="4.5" hidden="1" customHeight="1" outlineLevel="1">
      <c r="A27" s="440"/>
      <c r="B27" s="440"/>
      <c r="C27" s="440"/>
      <c r="D27" s="440"/>
      <c r="E27" s="440"/>
      <c r="F27" s="440"/>
      <c r="G27" s="440"/>
      <c r="H27" s="440"/>
      <c r="I27" s="440"/>
      <c r="J27" s="440"/>
      <c r="K27" s="440"/>
      <c r="L27" s="440"/>
      <c r="M27" s="440"/>
      <c r="N27" s="440"/>
      <c r="O27" s="440"/>
      <c r="P27" s="440"/>
      <c r="Q27" s="440"/>
      <c r="R27" s="440"/>
      <c r="S27" s="440"/>
      <c r="T27" s="440"/>
      <c r="U27" s="440"/>
      <c r="V27" s="440"/>
      <c r="W27" s="440"/>
      <c r="X27" s="440"/>
      <c r="Y27" s="440"/>
      <c r="Z27" s="440"/>
      <c r="AA27" s="440"/>
      <c r="AC27" s="263"/>
      <c r="AD27" s="263"/>
      <c r="AE27" s="263"/>
      <c r="AF27" s="263"/>
      <c r="AG27" s="263"/>
      <c r="AH27" s="263"/>
    </row>
    <row r="28" spans="1:34" ht="27" customHeight="1" collapsed="1">
      <c r="A28" s="428">
        <f ca="1">MAX(A$20:OFFSET(A28,-1,0))+1</f>
        <v>2</v>
      </c>
      <c r="B28" s="471" t="s">
        <v>192</v>
      </c>
      <c r="C28" s="472"/>
      <c r="D28" s="473"/>
      <c r="E28" s="429" t="s">
        <v>177</v>
      </c>
      <c r="F28" s="441" t="str">
        <f>HLOOKUP($F$19,Y$19:AA28,ROWS(Y$19:AA28),0)</f>
        <v>200..499K€</v>
      </c>
      <c r="G28" s="431"/>
      <c r="H28" s="432">
        <f ca="1">IF((OFFSET(H28,1,0)+OFFSET(H28,2,0))=0,1,VLOOKUP(IF($E28="",$F28,$E28),$D29:H35,COLUMNS($D29:H35),0))</f>
        <v>1</v>
      </c>
      <c r="I28" s="432">
        <f ca="1">IF((OFFSET(I28,1,0)+OFFSET(I28,2,0))=0,1,VLOOKUP(IF($E28="",$F28,$E28),$D29:I35,COLUMNS($D29:I35),0))</f>
        <v>1</v>
      </c>
      <c r="J28" s="432">
        <f ca="1">IF((OFFSET(J28,1,0)+OFFSET(J28,2,0))=0,1,VLOOKUP(IF($E28="",$F28,$E28),$D29:J35,COLUMNS($D29:J35),0))</f>
        <v>1</v>
      </c>
      <c r="K28" s="432">
        <f ca="1">IF((OFFSET(K28,1,0)+OFFSET(K28,2,0))=0,1,VLOOKUP(IF($E28="",$F28,$E28),$D29:K35,COLUMNS($D29:K35),0))</f>
        <v>0.7</v>
      </c>
      <c r="L28" s="432">
        <f ca="1">IF((OFFSET(L28,1,0)+OFFSET(L28,2,0))=0,1,VLOOKUP(IF($E28="",$F28,$E28),$D29:L35,COLUMNS($D29:L35),0))</f>
        <v>1</v>
      </c>
      <c r="M28" s="432">
        <f ca="1">IF((OFFSET(M28,1,0)+OFFSET(M28,2,0))=0,1,VLOOKUP(IF($E28="",$F28,$E28),$D29:M35,COLUMNS($D29:M35),0))</f>
        <v>1</v>
      </c>
      <c r="N28" s="432">
        <f ca="1">IF((OFFSET(N28,1,0)+OFFSET(N28,2,0))=0,1,VLOOKUP(IF($E28="",$F28,$E28),$D29:N35,COLUMNS($D29:N35),0))</f>
        <v>1</v>
      </c>
      <c r="O28" s="433">
        <f ca="1">IF((OFFSET(O28,1,0)+OFFSET(O28,2,0))=0,1,VLOOKUP(IF($E28="",$F28,$E28),$D29:O35,COLUMNS($D29:O35),0))</f>
        <v>1</v>
      </c>
      <c r="P28" s="432">
        <f ca="1">IF((OFFSET(P28,1,0)+OFFSET(P28,2,0))=0,1,VLOOKUP(IF($E28="",$F28,$E28),$D29:P35,COLUMNS($D29:P35),0))</f>
        <v>1</v>
      </c>
      <c r="Q28" s="432">
        <f ca="1">IF((OFFSET(Q28,1,0)+OFFSET(Q28,2,0))=0,1,VLOOKUP(IF($E28="",$F28,$E28),$D29:Q35,COLUMNS($D29:Q35),0))</f>
        <v>1</v>
      </c>
      <c r="R28" s="432">
        <f ca="1">IF((OFFSET(R28,1,0)+OFFSET(R28,2,0))=0,1,VLOOKUP(IF($E28="",$F28,$E28),$D29:R35,COLUMNS($D29:R35),0))</f>
        <v>1</v>
      </c>
      <c r="S28" s="432">
        <f ca="1">IF((OFFSET(S28,1,0)+OFFSET(S28,2,0))=0,1,VLOOKUP(IF($E28="",$F28,$E28),$D29:S35,COLUMNS($D29:S35),0))</f>
        <v>1</v>
      </c>
      <c r="T28" s="432">
        <f ca="1">IF((OFFSET(T28,1,0)+OFFSET(T28,2,0))=0,1,VLOOKUP(IF($E28="",$F28,$E28),$D29:T35,COLUMNS($D29:T35),0))</f>
        <v>0.7</v>
      </c>
      <c r="U28" s="432">
        <f ca="1">IF((OFFSET(U28,1,0)+OFFSET(U28,2,0))=0,1,VLOOKUP(IF($E28="",$F28,$E28),$D29:U35,COLUMNS($D29:U35),0))</f>
        <v>1</v>
      </c>
      <c r="V28" s="433">
        <f ca="1">IF((OFFSET(V28,1,0)+OFFSET(V28,2,0))=0,1,VLOOKUP(IF($E28="",$F28,$E28),$D29:V35,COLUMNS($D29:V35),0))</f>
        <v>1</v>
      </c>
      <c r="W28" s="432">
        <f ca="1">IF((OFFSET(W28,1,0)+OFFSET(W28,2,0))=0,1,VLOOKUP(IF($E28="",$F28,$E28),$D29:W35,COLUMNS($D29:W35),0))</f>
        <v>1</v>
      </c>
      <c r="Y28" s="434" t="str">
        <f>D29</f>
        <v xml:space="preserve">  &lt; 50 K€</v>
      </c>
      <c r="Z28" s="434" t="str">
        <f>$D31</f>
        <v>200..499K€</v>
      </c>
      <c r="AA28" s="434" t="str">
        <f>D34</f>
        <v xml:space="preserve">  &gt; 2M€</v>
      </c>
      <c r="AC28" s="263"/>
      <c r="AD28" s="263"/>
      <c r="AE28" s="263"/>
      <c r="AF28" s="263"/>
      <c r="AG28" s="263"/>
      <c r="AH28" s="263"/>
    </row>
    <row r="29" spans="1:34" ht="15.75" hidden="1" customHeight="1" outlineLevel="1">
      <c r="A29" s="435"/>
      <c r="B29" s="480" t="s">
        <v>223</v>
      </c>
      <c r="C29" s="481"/>
      <c r="D29" s="436" t="s">
        <v>179</v>
      </c>
      <c r="E29" s="474"/>
      <c r="F29" s="475"/>
      <c r="H29" s="437"/>
      <c r="I29" s="437"/>
      <c r="J29" s="437"/>
      <c r="K29" s="437">
        <v>1.4</v>
      </c>
      <c r="L29" s="437"/>
      <c r="M29" s="437"/>
      <c r="N29" s="437"/>
      <c r="O29" s="435"/>
      <c r="P29" s="437"/>
      <c r="Q29" s="437"/>
      <c r="R29" s="437"/>
      <c r="S29" s="437"/>
      <c r="T29" s="437">
        <v>1.4</v>
      </c>
      <c r="U29" s="437"/>
      <c r="V29" s="435"/>
      <c r="W29" s="437"/>
      <c r="Y29" s="457"/>
      <c r="Z29" s="457"/>
      <c r="AA29" s="457"/>
      <c r="AC29" s="263"/>
      <c r="AD29" s="263"/>
      <c r="AE29" s="263"/>
      <c r="AF29" s="263"/>
      <c r="AG29" s="263"/>
      <c r="AH29" s="263"/>
    </row>
    <row r="30" spans="1:34" ht="15.75" hidden="1" customHeight="1" outlineLevel="1">
      <c r="A30" s="435"/>
      <c r="B30" s="482"/>
      <c r="C30" s="483"/>
      <c r="D30" s="442" t="s">
        <v>174</v>
      </c>
      <c r="E30" s="476"/>
      <c r="F30" s="477"/>
      <c r="H30" s="437"/>
      <c r="I30" s="437"/>
      <c r="J30" s="437"/>
      <c r="K30" s="437">
        <v>1.2</v>
      </c>
      <c r="L30" s="437"/>
      <c r="M30" s="437"/>
      <c r="N30" s="437"/>
      <c r="O30" s="435"/>
      <c r="P30" s="437"/>
      <c r="Q30" s="437"/>
      <c r="R30" s="437"/>
      <c r="S30" s="437"/>
      <c r="T30" s="437">
        <v>1.2</v>
      </c>
      <c r="U30" s="437"/>
      <c r="V30" s="435"/>
      <c r="W30" s="437"/>
      <c r="Y30" s="458"/>
      <c r="Z30" s="458"/>
      <c r="AA30" s="458"/>
      <c r="AC30" s="263"/>
      <c r="AD30" s="263"/>
      <c r="AE30" s="263"/>
      <c r="AF30" s="263"/>
      <c r="AG30" s="263"/>
      <c r="AH30" s="263"/>
    </row>
    <row r="31" spans="1:34" ht="15.75" hidden="1" customHeight="1" outlineLevel="1">
      <c r="A31" s="435"/>
      <c r="B31" s="482"/>
      <c r="C31" s="483"/>
      <c r="D31" s="442" t="s">
        <v>175</v>
      </c>
      <c r="E31" s="476"/>
      <c r="F31" s="477"/>
      <c r="H31" s="437"/>
      <c r="I31" s="437"/>
      <c r="J31" s="437"/>
      <c r="K31" s="437">
        <v>1</v>
      </c>
      <c r="L31" s="437"/>
      <c r="M31" s="437"/>
      <c r="N31" s="437"/>
      <c r="O31" s="435"/>
      <c r="P31" s="437"/>
      <c r="Q31" s="437"/>
      <c r="R31" s="437"/>
      <c r="S31" s="437"/>
      <c r="T31" s="437">
        <v>1</v>
      </c>
      <c r="U31" s="437"/>
      <c r="V31" s="435"/>
      <c r="W31" s="437"/>
      <c r="Y31" s="458"/>
      <c r="Z31" s="458"/>
      <c r="AA31" s="458"/>
      <c r="AC31" s="263"/>
      <c r="AD31" s="263"/>
      <c r="AE31" s="263"/>
      <c r="AF31" s="263"/>
      <c r="AG31" s="263"/>
      <c r="AH31" s="263"/>
    </row>
    <row r="32" spans="1:34" ht="15.75" hidden="1" customHeight="1" outlineLevel="1">
      <c r="A32" s="435"/>
      <c r="B32" s="482"/>
      <c r="C32" s="483"/>
      <c r="D32" s="442" t="s">
        <v>176</v>
      </c>
      <c r="E32" s="476"/>
      <c r="F32" s="477"/>
      <c r="H32" s="437"/>
      <c r="I32" s="437"/>
      <c r="J32" s="437"/>
      <c r="K32" s="437">
        <v>0.8</v>
      </c>
      <c r="L32" s="437"/>
      <c r="M32" s="437"/>
      <c r="N32" s="437"/>
      <c r="O32" s="435"/>
      <c r="P32" s="437"/>
      <c r="Q32" s="437"/>
      <c r="R32" s="437"/>
      <c r="S32" s="437"/>
      <c r="T32" s="437">
        <v>0.8</v>
      </c>
      <c r="U32" s="437"/>
      <c r="V32" s="435"/>
      <c r="W32" s="437"/>
      <c r="Y32" s="458"/>
      <c r="Z32" s="458"/>
      <c r="AA32" s="458"/>
      <c r="AC32" s="263"/>
      <c r="AD32" s="263"/>
      <c r="AE32" s="263"/>
      <c r="AF32" s="263"/>
      <c r="AG32" s="263"/>
      <c r="AH32" s="263"/>
    </row>
    <row r="33" spans="1:34" ht="15.75" hidden="1" customHeight="1" outlineLevel="1">
      <c r="A33" s="435"/>
      <c r="B33" s="482"/>
      <c r="C33" s="483"/>
      <c r="D33" s="442" t="s">
        <v>177</v>
      </c>
      <c r="E33" s="476"/>
      <c r="F33" s="477"/>
      <c r="H33" s="437"/>
      <c r="I33" s="437"/>
      <c r="J33" s="437"/>
      <c r="K33" s="437">
        <v>0.7</v>
      </c>
      <c r="L33" s="437"/>
      <c r="M33" s="437"/>
      <c r="N33" s="437"/>
      <c r="O33" s="435"/>
      <c r="P33" s="437"/>
      <c r="Q33" s="437"/>
      <c r="R33" s="437"/>
      <c r="S33" s="437"/>
      <c r="T33" s="437">
        <v>0.7</v>
      </c>
      <c r="U33" s="437"/>
      <c r="V33" s="435"/>
      <c r="W33" s="437"/>
      <c r="Y33" s="458"/>
      <c r="Z33" s="458"/>
      <c r="AA33" s="458"/>
      <c r="AC33" s="263"/>
      <c r="AD33" s="263"/>
      <c r="AE33" s="263"/>
      <c r="AF33" s="263"/>
      <c r="AG33" s="263"/>
      <c r="AH33" s="263"/>
    </row>
    <row r="34" spans="1:34" ht="15.75" hidden="1" customHeight="1" outlineLevel="1">
      <c r="A34" s="435"/>
      <c r="B34" s="484"/>
      <c r="C34" s="485"/>
      <c r="D34" s="438" t="s">
        <v>178</v>
      </c>
      <c r="E34" s="478"/>
      <c r="F34" s="479"/>
      <c r="H34" s="437"/>
      <c r="I34" s="437"/>
      <c r="J34" s="437"/>
      <c r="K34" s="437">
        <v>0.6</v>
      </c>
      <c r="L34" s="437"/>
      <c r="M34" s="437"/>
      <c r="N34" s="437"/>
      <c r="O34" s="435"/>
      <c r="P34" s="437"/>
      <c r="Q34" s="437"/>
      <c r="R34" s="437"/>
      <c r="S34" s="437"/>
      <c r="T34" s="437">
        <v>0.6</v>
      </c>
      <c r="U34" s="437"/>
      <c r="V34" s="435"/>
      <c r="W34" s="437"/>
      <c r="Y34" s="459"/>
      <c r="Z34" s="459"/>
      <c r="AA34" s="459"/>
      <c r="AC34" s="263"/>
      <c r="AD34" s="263"/>
      <c r="AE34" s="263"/>
      <c r="AF34" s="263"/>
      <c r="AG34" s="263"/>
      <c r="AH34" s="263"/>
    </row>
    <row r="35" spans="1:34" ht="4.5" hidden="1" customHeight="1" outlineLevel="1">
      <c r="A35" s="440"/>
      <c r="B35" s="440"/>
      <c r="C35" s="440"/>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C35" s="263"/>
      <c r="AD35" s="263"/>
      <c r="AE35" s="263"/>
      <c r="AF35" s="263"/>
      <c r="AG35" s="263"/>
      <c r="AH35" s="263"/>
    </row>
    <row r="36" spans="1:34" ht="27" customHeight="1" collapsed="1">
      <c r="A36" s="428">
        <f ca="1">MAX(A$20:OFFSET(A36,-1,0))+1</f>
        <v>3</v>
      </c>
      <c r="B36" s="486" t="s">
        <v>193</v>
      </c>
      <c r="C36" s="487"/>
      <c r="D36" s="473"/>
      <c r="E36" s="429" t="s">
        <v>222</v>
      </c>
      <c r="F36" s="430" t="str">
        <f>HLOOKUP($F$19,Y$19:AA36,ROWS(Y$19:AA36),0)</f>
        <v>high</v>
      </c>
      <c r="G36" s="431"/>
      <c r="H36" s="432">
        <f ca="1">IF((OFFSET(H36,1,0)+OFFSET(H36,2,0))=0,1,VLOOKUP(IF($E36="",$F36,$E36),$D37:H42,COLUMNS($D37:H42),0))</f>
        <v>1.2</v>
      </c>
      <c r="I36" s="432">
        <f ca="1">IF((OFFSET(I36,1,0)+OFFSET(I36,2,0))=0,1,VLOOKUP(IF($E36="",$F36,$E36),$D37:I42,COLUMNS($D37:I42),0))</f>
        <v>1.2</v>
      </c>
      <c r="J36" s="432">
        <f ca="1">IF((OFFSET(J36,1,0)+OFFSET(J36,2,0))=0,1,VLOOKUP(IF($E36="",$F36,$E36),$D37:J42,COLUMNS($D37:J42),0))</f>
        <v>1</v>
      </c>
      <c r="K36" s="432">
        <f ca="1">IF((OFFSET(K36,1,0)+OFFSET(K36,2,0))=0,1,VLOOKUP(IF($E36="",$F36,$E36),$D37:K42,COLUMNS($D37:K42),0))</f>
        <v>1</v>
      </c>
      <c r="L36" s="432">
        <f ca="1">IF((OFFSET(L36,1,0)+OFFSET(L36,2,0))=0,1,VLOOKUP(IF($E36="",$F36,$E36),$D37:L42,COLUMNS($D37:L42),0))</f>
        <v>1</v>
      </c>
      <c r="M36" s="432">
        <f ca="1">IF((OFFSET(M36,1,0)+OFFSET(M36,2,0))=0,1,VLOOKUP(IF($E36="",$F36,$E36),$D37:M42,COLUMNS($D37:M42),0))</f>
        <v>1</v>
      </c>
      <c r="N36" s="432">
        <f ca="1">IF((OFFSET(N36,1,0)+OFFSET(N36,2,0))=0,1,VLOOKUP(IF($E36="",$F36,$E36),$D37:N42,COLUMNS($D37:N42),0))</f>
        <v>1</v>
      </c>
      <c r="O36" s="433">
        <f ca="1">IF((OFFSET(O36,1,0)+OFFSET(O36,2,0))=0,1,VLOOKUP(IF($E36="",$F36,$E36),$D37:O42,COLUMNS($D37:O42),0))</f>
        <v>1</v>
      </c>
      <c r="P36" s="432">
        <f ca="1">IF((OFFSET(P36,1,0)+OFFSET(P36,2,0))=0,1,VLOOKUP(IF($E36="",$F36,$E36),$D37:P42,COLUMNS($D37:P42),0))</f>
        <v>1</v>
      </c>
      <c r="Q36" s="432">
        <f ca="1">IF((OFFSET(Q36,1,0)+OFFSET(Q36,2,0))=0,1,VLOOKUP(IF($E36="",$F36,$E36),$D37:Q42,COLUMNS($D37:Q42),0))</f>
        <v>1</v>
      </c>
      <c r="R36" s="432">
        <f ca="1">IF((OFFSET(R36,1,0)+OFFSET(R36,2,0))=0,1,VLOOKUP(IF($E36="",$F36,$E36),$D37:R42,COLUMNS($D37:R42),0))</f>
        <v>1.2</v>
      </c>
      <c r="S36" s="432">
        <f ca="1">IF((OFFSET(S36,1,0)+OFFSET(S36,2,0))=0,1,VLOOKUP(IF($E36="",$F36,$E36),$D37:S42,COLUMNS($D37:S42),0))</f>
        <v>1</v>
      </c>
      <c r="T36" s="432">
        <f ca="1">IF((OFFSET(T36,1,0)+OFFSET(T36,2,0))=0,1,VLOOKUP(IF($E36="",$F36,$E36),$D37:T42,COLUMNS($D37:T42),0))</f>
        <v>1</v>
      </c>
      <c r="U36" s="432">
        <f ca="1">IF((OFFSET(U36,1,0)+OFFSET(U36,2,0))=0,1,VLOOKUP(IF($E36="",$F36,$E36),$D37:U42,COLUMNS($D37:U42),0))</f>
        <v>1</v>
      </c>
      <c r="V36" s="433">
        <f ca="1">IF((OFFSET(V36,1,0)+OFFSET(V36,2,0))=0,1,VLOOKUP(IF($E36="",$F36,$E36),$D37:V42,COLUMNS($D37:V42),0))</f>
        <v>1</v>
      </c>
      <c r="W36" s="432">
        <f ca="1">IF((OFFSET(W36,1,0)+OFFSET(W36,2,0))=0,1,VLOOKUP(IF($E36="",$F36,$E36),$D37:W42,COLUMNS($D37:W42),0))</f>
        <v>1</v>
      </c>
      <c r="Y36" s="434" t="str">
        <f>D37</f>
        <v>very low</v>
      </c>
      <c r="Z36" s="434" t="s">
        <v>222</v>
      </c>
      <c r="AA36" s="434" t="str">
        <f>D41</f>
        <v>very high</v>
      </c>
      <c r="AC36" s="263"/>
      <c r="AD36" s="263"/>
      <c r="AE36" s="263"/>
      <c r="AF36" s="263"/>
      <c r="AG36" s="263"/>
      <c r="AH36" s="263"/>
    </row>
    <row r="37" spans="1:34" ht="12.75" hidden="1" customHeight="1" outlineLevel="1">
      <c r="A37" s="435"/>
      <c r="B37" s="469" t="s">
        <v>43</v>
      </c>
      <c r="C37" s="470" t="s">
        <v>43</v>
      </c>
      <c r="D37" s="436" t="s">
        <v>218</v>
      </c>
      <c r="E37" s="506"/>
      <c r="F37" s="507"/>
      <c r="H37" s="437">
        <v>0.8</v>
      </c>
      <c r="I37" s="437">
        <v>0.8</v>
      </c>
      <c r="J37" s="437"/>
      <c r="K37" s="437"/>
      <c r="L37" s="437"/>
      <c r="M37" s="437"/>
      <c r="N37" s="437"/>
      <c r="O37" s="435"/>
      <c r="P37" s="437"/>
      <c r="Q37" s="437"/>
      <c r="R37" s="437">
        <v>0.8</v>
      </c>
      <c r="S37" s="437"/>
      <c r="T37" s="437"/>
      <c r="U37" s="437"/>
      <c r="V37" s="435"/>
      <c r="W37" s="437"/>
      <c r="Y37" s="454"/>
      <c r="Z37" s="454"/>
      <c r="AA37" s="454"/>
      <c r="AC37" s="263"/>
      <c r="AD37" s="263"/>
      <c r="AE37" s="263"/>
      <c r="AF37" s="263"/>
      <c r="AG37" s="263"/>
      <c r="AH37" s="263"/>
    </row>
    <row r="38" spans="1:34" ht="12.75" hidden="1" customHeight="1" outlineLevel="1">
      <c r="A38" s="435"/>
      <c r="B38" s="469"/>
      <c r="C38" s="470"/>
      <c r="D38" s="438" t="s">
        <v>219</v>
      </c>
      <c r="E38" s="508"/>
      <c r="F38" s="509"/>
      <c r="H38" s="437">
        <v>0.9</v>
      </c>
      <c r="I38" s="437">
        <v>0.9</v>
      </c>
      <c r="J38" s="437"/>
      <c r="K38" s="437"/>
      <c r="L38" s="437"/>
      <c r="M38" s="437"/>
      <c r="N38" s="437"/>
      <c r="O38" s="435"/>
      <c r="P38" s="437"/>
      <c r="Q38" s="437"/>
      <c r="R38" s="437">
        <v>0.9</v>
      </c>
      <c r="S38" s="437"/>
      <c r="T38" s="437"/>
      <c r="U38" s="437"/>
      <c r="V38" s="435"/>
      <c r="W38" s="437"/>
      <c r="Y38" s="455"/>
      <c r="Z38" s="455"/>
      <c r="AA38" s="455"/>
      <c r="AC38" s="263"/>
      <c r="AD38" s="263"/>
      <c r="AE38" s="263"/>
      <c r="AF38" s="263"/>
      <c r="AG38" s="263"/>
      <c r="AH38" s="263"/>
    </row>
    <row r="39" spans="1:34" ht="12.75" hidden="1" customHeight="1" outlineLevel="1">
      <c r="A39" s="435"/>
      <c r="B39" s="469"/>
      <c r="C39" s="470"/>
      <c r="D39" s="438" t="s">
        <v>220</v>
      </c>
      <c r="E39" s="508"/>
      <c r="F39" s="509"/>
      <c r="H39" s="437">
        <v>1</v>
      </c>
      <c r="I39" s="437">
        <v>1</v>
      </c>
      <c r="J39" s="437"/>
      <c r="K39" s="437"/>
      <c r="L39" s="437"/>
      <c r="M39" s="437"/>
      <c r="N39" s="437"/>
      <c r="O39" s="435"/>
      <c r="P39" s="437"/>
      <c r="Q39" s="437"/>
      <c r="R39" s="437">
        <v>1</v>
      </c>
      <c r="S39" s="437"/>
      <c r="T39" s="437"/>
      <c r="U39" s="437"/>
      <c r="V39" s="435"/>
      <c r="W39" s="437"/>
      <c r="Y39" s="455"/>
      <c r="Z39" s="455"/>
      <c r="AA39" s="455"/>
      <c r="AC39" s="263"/>
      <c r="AD39" s="263"/>
      <c r="AE39" s="263"/>
      <c r="AF39" s="263"/>
      <c r="AG39" s="263"/>
      <c r="AH39" s="263"/>
    </row>
    <row r="40" spans="1:34" ht="12.75" hidden="1" customHeight="1" outlineLevel="1">
      <c r="A40" s="435"/>
      <c r="B40" s="469"/>
      <c r="C40" s="470"/>
      <c r="D40" s="438" t="s">
        <v>222</v>
      </c>
      <c r="E40" s="508"/>
      <c r="F40" s="509"/>
      <c r="H40" s="437">
        <v>1.2</v>
      </c>
      <c r="I40" s="437">
        <v>1.2</v>
      </c>
      <c r="J40" s="437"/>
      <c r="K40" s="437"/>
      <c r="L40" s="437"/>
      <c r="M40" s="437"/>
      <c r="N40" s="437"/>
      <c r="O40" s="435"/>
      <c r="P40" s="437"/>
      <c r="Q40" s="437"/>
      <c r="R40" s="437">
        <v>1.2</v>
      </c>
      <c r="S40" s="437"/>
      <c r="T40" s="437"/>
      <c r="U40" s="437"/>
      <c r="V40" s="435"/>
      <c r="W40" s="437"/>
      <c r="Y40" s="455"/>
      <c r="Z40" s="455"/>
      <c r="AA40" s="455"/>
      <c r="AC40" s="263"/>
      <c r="AD40" s="263"/>
      <c r="AE40" s="263"/>
      <c r="AF40" s="263"/>
      <c r="AG40" s="263"/>
      <c r="AH40" s="263"/>
    </row>
    <row r="41" spans="1:34" ht="12.75" hidden="1" customHeight="1" outlineLevel="1">
      <c r="A41" s="435"/>
      <c r="B41" s="469"/>
      <c r="C41" s="470"/>
      <c r="D41" s="439" t="s">
        <v>221</v>
      </c>
      <c r="E41" s="510"/>
      <c r="F41" s="511"/>
      <c r="H41" s="437">
        <v>1.4</v>
      </c>
      <c r="I41" s="437">
        <v>1.4</v>
      </c>
      <c r="J41" s="437"/>
      <c r="K41" s="437"/>
      <c r="L41" s="437"/>
      <c r="M41" s="437"/>
      <c r="N41" s="437"/>
      <c r="O41" s="435"/>
      <c r="P41" s="437"/>
      <c r="Q41" s="437"/>
      <c r="R41" s="437">
        <v>1.4</v>
      </c>
      <c r="S41" s="437"/>
      <c r="T41" s="437"/>
      <c r="U41" s="437"/>
      <c r="V41" s="435"/>
      <c r="W41" s="437"/>
      <c r="Y41" s="456"/>
      <c r="Z41" s="456"/>
      <c r="AA41" s="456"/>
      <c r="AC41" s="263"/>
      <c r="AD41" s="263"/>
      <c r="AE41" s="263"/>
      <c r="AF41" s="263"/>
      <c r="AG41" s="263"/>
      <c r="AH41" s="263"/>
    </row>
    <row r="42" spans="1:34" ht="4.5" hidden="1" customHeight="1" outlineLevel="1">
      <c r="A42" s="440"/>
      <c r="B42" s="440"/>
      <c r="C42" s="440"/>
      <c r="D42" s="440"/>
      <c r="E42" s="440"/>
      <c r="F42" s="440"/>
      <c r="G42" s="440"/>
      <c r="H42" s="440"/>
      <c r="I42" s="440"/>
      <c r="J42" s="440"/>
      <c r="K42" s="440"/>
      <c r="L42" s="440"/>
      <c r="M42" s="440"/>
      <c r="N42" s="440"/>
      <c r="O42" s="440"/>
      <c r="P42" s="440"/>
      <c r="Q42" s="440"/>
      <c r="R42" s="440"/>
      <c r="S42" s="440"/>
      <c r="T42" s="440"/>
      <c r="U42" s="440"/>
      <c r="V42" s="440"/>
      <c r="W42" s="440"/>
      <c r="X42" s="440"/>
      <c r="Y42" s="440"/>
      <c r="Z42" s="440"/>
      <c r="AA42" s="440"/>
      <c r="AC42" s="263"/>
      <c r="AD42" s="263"/>
      <c r="AE42" s="263"/>
      <c r="AF42" s="263"/>
      <c r="AG42" s="263"/>
      <c r="AH42" s="263"/>
    </row>
    <row r="43" spans="1:34" ht="27.75" customHeight="1" collapsed="1">
      <c r="A43" s="428">
        <f ca="1">MAX(A$20:OFFSET(A43,-1,0))+1</f>
        <v>4</v>
      </c>
      <c r="B43" s="460" t="s">
        <v>224</v>
      </c>
      <c r="C43" s="461"/>
      <c r="D43" s="462"/>
      <c r="E43" s="429" t="s">
        <v>222</v>
      </c>
      <c r="F43" s="430" t="str">
        <f>HLOOKUP($F$19,Y$19:AA43,ROWS(Y$19:AA43),0)</f>
        <v>average</v>
      </c>
      <c r="G43" s="431"/>
      <c r="H43" s="432">
        <f ca="1">IF((OFFSET(H43,1,0)+OFFSET(H43,2,0))=0,1,VLOOKUP(IF($E43="",$F43,$E43),$D44:H49,COLUMNS($D44:H49),0))</f>
        <v>1.2</v>
      </c>
      <c r="I43" s="432">
        <f ca="1">IF((OFFSET(I43,1,0)+OFFSET(I43,2,0))=0,1,VLOOKUP(IF($E43="",$F43,$E43),$D44:I49,COLUMNS($D44:I49),0))</f>
        <v>1.2</v>
      </c>
      <c r="J43" s="432">
        <f ca="1">IF((OFFSET(J43,1,0)+OFFSET(J43,2,0))=0,1,VLOOKUP(IF($E43="",$F43,$E43),$D44:J49,COLUMNS($D44:J49),0))</f>
        <v>1</v>
      </c>
      <c r="K43" s="432">
        <f ca="1">IF((OFFSET(K43,1,0)+OFFSET(K43,2,0))=0,1,VLOOKUP(IF($E43="",$F43,$E43),$D44:K49,COLUMNS($D44:K49),0))</f>
        <v>1.3</v>
      </c>
      <c r="L43" s="432">
        <f ca="1">IF((OFFSET(L43,1,0)+OFFSET(L43,2,0))=0,1,VLOOKUP(IF($E43="",$F43,$E43),$D44:L49,COLUMNS($D44:L49),0))</f>
        <v>1</v>
      </c>
      <c r="M43" s="432">
        <f ca="1">IF((OFFSET(M43,1,0)+OFFSET(M43,2,0))=0,1,VLOOKUP(IF($E43="",$F43,$E43),$D44:M49,COLUMNS($D44:M49),0))</f>
        <v>1.2</v>
      </c>
      <c r="N43" s="432">
        <f ca="1">IF((OFFSET(N43,1,0)+OFFSET(N43,2,0))=0,1,VLOOKUP(IF($E43="",$F43,$E43),$D44:N49,COLUMNS($D44:N49),0))</f>
        <v>1</v>
      </c>
      <c r="O43" s="433">
        <f ca="1">IF((OFFSET(O43,1,0)+OFFSET(O43,2,0))=0,1,VLOOKUP(IF($E43="",$F43,$E43),$D44:O49,COLUMNS($D44:O49),0))</f>
        <v>1</v>
      </c>
      <c r="P43" s="432">
        <f ca="1">IF((OFFSET(P43,1,0)+OFFSET(P43,2,0))=0,1,VLOOKUP(IF($E43="",$F43,$E43),$D44:P49,COLUMNS($D44:P49),0))</f>
        <v>1.2</v>
      </c>
      <c r="Q43" s="432">
        <f ca="1">IF((OFFSET(Q43,1,0)+OFFSET(Q43,2,0))=0,1,VLOOKUP(IF($E43="",$F43,$E43),$D44:Q49,COLUMNS($D44:Q49),0))</f>
        <v>1</v>
      </c>
      <c r="R43" s="432">
        <f ca="1">IF((OFFSET(R43,1,0)+OFFSET(R43,2,0))=0,1,VLOOKUP(IF($E43="",$F43,$E43),$D44:R49,COLUMNS($D44:R49),0))</f>
        <v>1</v>
      </c>
      <c r="S43" s="432">
        <f ca="1">IF((OFFSET(S43,1,0)+OFFSET(S43,2,0))=0,1,VLOOKUP(IF($E43="",$F43,$E43),$D44:S49,COLUMNS($D44:S49),0))</f>
        <v>1.2</v>
      </c>
      <c r="T43" s="432">
        <f ca="1">IF((OFFSET(T43,1,0)+OFFSET(T43,2,0))=0,1,VLOOKUP(IF($E43="",$F43,$E43),$D44:T49,COLUMNS($D44:T49),0))</f>
        <v>1.1000000000000001</v>
      </c>
      <c r="U43" s="432">
        <f ca="1">IF((OFFSET(U43,1,0)+OFFSET(U43,2,0))=0,1,VLOOKUP(IF($E43="",$F43,$E43),$D44:U49,COLUMNS($D44:U49),0))</f>
        <v>1</v>
      </c>
      <c r="V43" s="433">
        <f ca="1">IF((OFFSET(V43,1,0)+OFFSET(V43,2,0))=0,1,VLOOKUP(IF($E43="",$F43,$E43),$D44:V49,COLUMNS($D44:V49),0))</f>
        <v>1</v>
      </c>
      <c r="W43" s="432">
        <f ca="1">IF((OFFSET(W43,1,0)+OFFSET(W43,2,0))=0,1,VLOOKUP(IF($E43="",$F43,$E43),$D44:W49,COLUMNS($D44:W49),0))</f>
        <v>1</v>
      </c>
      <c r="Y43" s="434" t="str">
        <f>D44</f>
        <v>very low</v>
      </c>
      <c r="Z43" s="434" t="s">
        <v>220</v>
      </c>
      <c r="AA43" s="434" t="str">
        <f>D48</f>
        <v>very high</v>
      </c>
      <c r="AC43" s="263"/>
      <c r="AD43" s="263"/>
      <c r="AE43" s="263"/>
      <c r="AF43" s="263"/>
      <c r="AG43" s="263"/>
      <c r="AH43" s="263"/>
    </row>
    <row r="44" spans="1:34" ht="17.25" hidden="1" customHeight="1" outlineLevel="1">
      <c r="A44" s="435"/>
      <c r="B44" s="469" t="s">
        <v>225</v>
      </c>
      <c r="C44" s="470" t="s">
        <v>67</v>
      </c>
      <c r="D44" s="436" t="s">
        <v>218</v>
      </c>
      <c r="E44" s="506"/>
      <c r="F44" s="507"/>
      <c r="H44" s="437">
        <v>0.8</v>
      </c>
      <c r="I44" s="437">
        <v>0.8</v>
      </c>
      <c r="J44" s="437"/>
      <c r="K44" s="437">
        <v>0.8</v>
      </c>
      <c r="L44" s="437"/>
      <c r="M44" s="437">
        <v>0.8</v>
      </c>
      <c r="N44" s="437"/>
      <c r="O44" s="435"/>
      <c r="P44" s="437">
        <v>0.8</v>
      </c>
      <c r="Q44" s="437"/>
      <c r="R44" s="437"/>
      <c r="S44" s="437">
        <v>0.8</v>
      </c>
      <c r="T44" s="437">
        <v>0.8</v>
      </c>
      <c r="U44" s="437"/>
      <c r="V44" s="435"/>
      <c r="W44" s="437"/>
      <c r="Y44" s="454"/>
      <c r="Z44" s="454"/>
      <c r="AA44" s="454"/>
      <c r="AC44" s="263"/>
      <c r="AD44" s="263"/>
      <c r="AE44" s="263"/>
      <c r="AF44" s="263"/>
      <c r="AG44" s="263"/>
      <c r="AH44" s="263"/>
    </row>
    <row r="45" spans="1:34" ht="17.25" hidden="1" customHeight="1" outlineLevel="1">
      <c r="A45" s="435"/>
      <c r="B45" s="469"/>
      <c r="C45" s="470"/>
      <c r="D45" s="438" t="s">
        <v>219</v>
      </c>
      <c r="E45" s="508"/>
      <c r="F45" s="509"/>
      <c r="H45" s="437">
        <v>0.9</v>
      </c>
      <c r="I45" s="437">
        <v>0.9</v>
      </c>
      <c r="J45" s="437"/>
      <c r="K45" s="437">
        <v>0.9</v>
      </c>
      <c r="L45" s="437"/>
      <c r="M45" s="437">
        <v>0.9</v>
      </c>
      <c r="N45" s="437"/>
      <c r="O45" s="435"/>
      <c r="P45" s="437">
        <v>0.9</v>
      </c>
      <c r="Q45" s="437"/>
      <c r="R45" s="437"/>
      <c r="S45" s="437">
        <v>0.9</v>
      </c>
      <c r="T45" s="437">
        <v>0.9</v>
      </c>
      <c r="U45" s="437"/>
      <c r="V45" s="435"/>
      <c r="W45" s="437"/>
      <c r="Y45" s="455"/>
      <c r="Z45" s="455"/>
      <c r="AA45" s="455"/>
      <c r="AC45" s="263"/>
      <c r="AD45" s="263"/>
      <c r="AE45" s="263"/>
      <c r="AF45" s="263"/>
      <c r="AG45" s="263"/>
      <c r="AH45" s="263"/>
    </row>
    <row r="46" spans="1:34" ht="17.25" hidden="1" customHeight="1" outlineLevel="1">
      <c r="A46" s="435"/>
      <c r="B46" s="469"/>
      <c r="C46" s="470"/>
      <c r="D46" s="438" t="s">
        <v>220</v>
      </c>
      <c r="E46" s="508"/>
      <c r="F46" s="509"/>
      <c r="H46" s="437">
        <v>1</v>
      </c>
      <c r="I46" s="437">
        <v>1</v>
      </c>
      <c r="J46" s="437"/>
      <c r="K46" s="437">
        <v>1</v>
      </c>
      <c r="L46" s="437"/>
      <c r="M46" s="437">
        <v>1</v>
      </c>
      <c r="N46" s="437"/>
      <c r="O46" s="435"/>
      <c r="P46" s="437">
        <v>1</v>
      </c>
      <c r="Q46" s="437"/>
      <c r="R46" s="437"/>
      <c r="S46" s="437">
        <v>1</v>
      </c>
      <c r="T46" s="437">
        <v>1</v>
      </c>
      <c r="U46" s="437"/>
      <c r="V46" s="435"/>
      <c r="W46" s="437"/>
      <c r="Y46" s="455"/>
      <c r="Z46" s="455"/>
      <c r="AA46" s="455"/>
      <c r="AC46" s="263"/>
      <c r="AD46" s="263"/>
      <c r="AE46" s="263"/>
      <c r="AF46" s="263"/>
      <c r="AG46" s="263"/>
      <c r="AH46" s="263"/>
    </row>
    <row r="47" spans="1:34" ht="17.25" hidden="1" customHeight="1" outlineLevel="1">
      <c r="A47" s="435"/>
      <c r="B47" s="469"/>
      <c r="C47" s="470"/>
      <c r="D47" s="438" t="s">
        <v>222</v>
      </c>
      <c r="E47" s="508"/>
      <c r="F47" s="509"/>
      <c r="H47" s="437">
        <v>1.2</v>
      </c>
      <c r="I47" s="437">
        <v>1.2</v>
      </c>
      <c r="J47" s="437"/>
      <c r="K47" s="437">
        <v>1.3</v>
      </c>
      <c r="L47" s="437"/>
      <c r="M47" s="437">
        <v>1.2</v>
      </c>
      <c r="N47" s="437"/>
      <c r="O47" s="435"/>
      <c r="P47" s="437">
        <v>1.2</v>
      </c>
      <c r="Q47" s="437"/>
      <c r="R47" s="437"/>
      <c r="S47" s="437">
        <v>1.2</v>
      </c>
      <c r="T47" s="437">
        <v>1.1000000000000001</v>
      </c>
      <c r="U47" s="437"/>
      <c r="V47" s="435"/>
      <c r="W47" s="437"/>
      <c r="Y47" s="455"/>
      <c r="Z47" s="455"/>
      <c r="AA47" s="455"/>
      <c r="AC47" s="263"/>
      <c r="AD47" s="263"/>
      <c r="AE47" s="263"/>
      <c r="AF47" s="263"/>
      <c r="AG47" s="263"/>
      <c r="AH47" s="263"/>
    </row>
    <row r="48" spans="1:34" ht="17.25" hidden="1" customHeight="1" outlineLevel="1">
      <c r="A48" s="435"/>
      <c r="B48" s="469"/>
      <c r="C48" s="470"/>
      <c r="D48" s="439" t="s">
        <v>221</v>
      </c>
      <c r="E48" s="510"/>
      <c r="F48" s="511"/>
      <c r="H48" s="437">
        <v>1.4</v>
      </c>
      <c r="I48" s="437">
        <v>1.4</v>
      </c>
      <c r="J48" s="437"/>
      <c r="K48" s="437">
        <v>1.8</v>
      </c>
      <c r="L48" s="437"/>
      <c r="M48" s="437">
        <v>1.4</v>
      </c>
      <c r="N48" s="437"/>
      <c r="O48" s="435"/>
      <c r="P48" s="437">
        <v>1.4</v>
      </c>
      <c r="Q48" s="437"/>
      <c r="R48" s="437"/>
      <c r="S48" s="437">
        <v>1.4</v>
      </c>
      <c r="T48" s="437">
        <v>1.2</v>
      </c>
      <c r="U48" s="437"/>
      <c r="V48" s="435"/>
      <c r="W48" s="437"/>
      <c r="Y48" s="456"/>
      <c r="Z48" s="456"/>
      <c r="AA48" s="456"/>
      <c r="AC48" s="263"/>
      <c r="AD48" s="263"/>
      <c r="AE48" s="263"/>
      <c r="AF48" s="263"/>
      <c r="AG48" s="263"/>
      <c r="AH48" s="263"/>
    </row>
    <row r="49" spans="1:34" ht="4.5" hidden="1" customHeight="1" outlineLevel="1">
      <c r="A49" s="440"/>
      <c r="B49" s="440"/>
      <c r="C49" s="440"/>
      <c r="D49" s="440"/>
      <c r="E49" s="440"/>
      <c r="F49" s="440"/>
      <c r="G49" s="440"/>
      <c r="H49" s="440"/>
      <c r="I49" s="440"/>
      <c r="J49" s="440"/>
      <c r="K49" s="440"/>
      <c r="L49" s="440"/>
      <c r="M49" s="440"/>
      <c r="N49" s="440"/>
      <c r="O49" s="440"/>
      <c r="P49" s="440"/>
      <c r="Q49" s="440"/>
      <c r="R49" s="440"/>
      <c r="S49" s="440"/>
      <c r="T49" s="440"/>
      <c r="U49" s="440"/>
      <c r="V49" s="440"/>
      <c r="W49" s="440"/>
      <c r="X49" s="440"/>
      <c r="Y49" s="440"/>
      <c r="Z49" s="440"/>
      <c r="AA49" s="440"/>
      <c r="AC49" s="263"/>
      <c r="AD49" s="263"/>
      <c r="AE49" s="263"/>
      <c r="AF49" s="263"/>
      <c r="AG49" s="263"/>
      <c r="AH49" s="263"/>
    </row>
    <row r="50" spans="1:34" ht="28.5" customHeight="1" collapsed="1">
      <c r="A50" s="428">
        <f ca="1">MAX(A$20:OFFSET(A50,-1,0))+1</f>
        <v>5</v>
      </c>
      <c r="B50" s="486" t="s">
        <v>194</v>
      </c>
      <c r="C50" s="487"/>
      <c r="D50" s="473"/>
      <c r="E50" s="429" t="s">
        <v>220</v>
      </c>
      <c r="F50" s="430" t="str">
        <f>HLOOKUP($F$19,Y$19:AA50,ROWS(Y$19:AA50),0)</f>
        <v>average</v>
      </c>
      <c r="G50" s="431"/>
      <c r="H50" s="432">
        <f ca="1">IF((OFFSET(H50,1,0)+OFFSET(H50,2,0))=0,1,VLOOKUP(IF($E50="",$F50,$E50),$D51:H55,COLUMNS($D51:H55),0))</f>
        <v>1</v>
      </c>
      <c r="I50" s="432">
        <f ca="1">IF((OFFSET(I50,1,0)+OFFSET(I50,2,0))=0,1,VLOOKUP(IF($E50="",$F50,$E50),$D51:I55,COLUMNS($D51:I55),0))</f>
        <v>1</v>
      </c>
      <c r="J50" s="432">
        <f ca="1">IF((OFFSET(J50,1,0)+OFFSET(J50,2,0))=0,1,VLOOKUP(IF($E50="",$F50,$E50),$D51:J55,COLUMNS($D51:J55),0))</f>
        <v>1</v>
      </c>
      <c r="K50" s="432">
        <f ca="1">IF((OFFSET(K50,1,0)+OFFSET(K50,2,0))=0,1,VLOOKUP(IF($E50="",$F50,$E50),$D51:K55,COLUMNS($D51:K55),0))</f>
        <v>1</v>
      </c>
      <c r="L50" s="432">
        <f ca="1">IF((OFFSET(L50,1,0)+OFFSET(L50,2,0))=0,1,VLOOKUP(IF($E50="",$F50,$E50),$D51:L55,COLUMNS($D51:L55),0))</f>
        <v>1</v>
      </c>
      <c r="M50" s="432">
        <f ca="1">IF((OFFSET(M50,1,0)+OFFSET(M50,2,0))=0,1,VLOOKUP(IF($E50="",$F50,$E50),$D51:M55,COLUMNS($D51:M55),0))</f>
        <v>1</v>
      </c>
      <c r="N50" s="432">
        <f ca="1">IF((OFFSET(N50,1,0)+OFFSET(N50,2,0))=0,1,VLOOKUP(IF($E50="",$F50,$E50),$D51:N55,COLUMNS($D51:N55),0))</f>
        <v>1</v>
      </c>
      <c r="O50" s="433">
        <f ca="1">IF((OFFSET(O50,1,0)+OFFSET(O50,2,0))=0,1,VLOOKUP(IF($E50="",$F50,$E50),$D51:O55,COLUMNS($D51:O55),0))</f>
        <v>1</v>
      </c>
      <c r="P50" s="432">
        <f ca="1">IF((OFFSET(P50,1,0)+OFFSET(P50,2,0))=0,1,VLOOKUP(IF($E50="",$F50,$E50),$D51:P55,COLUMNS($D51:P55),0))</f>
        <v>1</v>
      </c>
      <c r="Q50" s="432">
        <f ca="1">IF((OFFSET(Q50,1,0)+OFFSET(Q50,2,0))=0,1,VLOOKUP(IF($E50="",$F50,$E50),$D51:Q55,COLUMNS($D51:Q55),0))</f>
        <v>1</v>
      </c>
      <c r="R50" s="432">
        <f ca="1">IF((OFFSET(R50,1,0)+OFFSET(R50,2,0))=0,1,VLOOKUP(IF($E50="",$F50,$E50),$D51:R55,COLUMNS($D51:R55),0))</f>
        <v>1</v>
      </c>
      <c r="S50" s="432">
        <f ca="1">IF((OFFSET(S50,1,0)+OFFSET(S50,2,0))=0,1,VLOOKUP(IF($E50="",$F50,$E50),$D51:S55,COLUMNS($D51:S55),0))</f>
        <v>1</v>
      </c>
      <c r="T50" s="432">
        <f ca="1">IF((OFFSET(T50,1,0)+OFFSET(T50,2,0))=0,1,VLOOKUP(IF($E50="",$F50,$E50),$D51:T55,COLUMNS($D51:T55),0))</f>
        <v>1</v>
      </c>
      <c r="U50" s="432">
        <f ca="1">IF((OFFSET(U50,1,0)+OFFSET(U50,2,0))=0,1,VLOOKUP(IF($E50="",$F50,$E50),$D51:U55,COLUMNS($D51:U55),0))</f>
        <v>1</v>
      </c>
      <c r="V50" s="433">
        <f ca="1">IF((OFFSET(V50,1,0)+OFFSET(V50,2,0))=0,1,VLOOKUP(IF($E50="",$F50,$E50),$D51:V55,COLUMNS($D51:V55),0))</f>
        <v>1</v>
      </c>
      <c r="W50" s="432">
        <f ca="1">IF((OFFSET(W50,1,0)+OFFSET(W50,2,0))=0,1,VLOOKUP(IF($E50="",$F50,$E50),$D51:W55,COLUMNS($D51:W55),0))</f>
        <v>1</v>
      </c>
      <c r="Y50" s="434" t="str">
        <f>D51</f>
        <v>low</v>
      </c>
      <c r="Z50" s="434" t="s">
        <v>220</v>
      </c>
      <c r="AA50" s="434" t="str">
        <f>D54</f>
        <v>very high</v>
      </c>
      <c r="AC50" s="263"/>
      <c r="AD50" s="263"/>
      <c r="AE50" s="263"/>
      <c r="AF50" s="263"/>
      <c r="AG50" s="263"/>
      <c r="AH50" s="263"/>
    </row>
    <row r="51" spans="1:34" ht="20.25" hidden="1" customHeight="1" outlineLevel="1">
      <c r="A51" s="435"/>
      <c r="B51" s="469" t="s">
        <v>227</v>
      </c>
      <c r="C51" s="470" t="s">
        <v>68</v>
      </c>
      <c r="D51" s="436" t="s">
        <v>219</v>
      </c>
      <c r="E51" s="506"/>
      <c r="F51" s="507"/>
      <c r="H51" s="437"/>
      <c r="I51" s="437"/>
      <c r="J51" s="437"/>
      <c r="K51" s="437"/>
      <c r="L51" s="437">
        <v>0.8</v>
      </c>
      <c r="M51" s="437"/>
      <c r="N51" s="437"/>
      <c r="O51" s="435"/>
      <c r="P51" s="437"/>
      <c r="Q51" s="437"/>
      <c r="R51" s="437"/>
      <c r="S51" s="437"/>
      <c r="T51" s="437"/>
      <c r="U51" s="437"/>
      <c r="V51" s="435"/>
      <c r="W51" s="437"/>
      <c r="Y51" s="454"/>
      <c r="Z51" s="454"/>
      <c r="AA51" s="454"/>
      <c r="AC51" s="263"/>
      <c r="AD51" s="263"/>
      <c r="AE51" s="263"/>
      <c r="AF51" s="263"/>
      <c r="AG51" s="263"/>
      <c r="AH51" s="263"/>
    </row>
    <row r="52" spans="1:34" ht="20.25" hidden="1" customHeight="1" outlineLevel="1">
      <c r="A52" s="435"/>
      <c r="B52" s="469"/>
      <c r="C52" s="470"/>
      <c r="D52" s="438" t="s">
        <v>220</v>
      </c>
      <c r="E52" s="508"/>
      <c r="F52" s="509"/>
      <c r="H52" s="437"/>
      <c r="I52" s="437"/>
      <c r="J52" s="437"/>
      <c r="K52" s="437"/>
      <c r="L52" s="437">
        <v>1</v>
      </c>
      <c r="M52" s="437"/>
      <c r="N52" s="437"/>
      <c r="O52" s="435"/>
      <c r="P52" s="437"/>
      <c r="Q52" s="437"/>
      <c r="R52" s="437"/>
      <c r="S52" s="437"/>
      <c r="T52" s="437"/>
      <c r="U52" s="437"/>
      <c r="V52" s="435"/>
      <c r="W52" s="437"/>
      <c r="Y52" s="455"/>
      <c r="Z52" s="455"/>
      <c r="AA52" s="455"/>
      <c r="AC52" s="263"/>
      <c r="AD52" s="263"/>
      <c r="AE52" s="263"/>
      <c r="AF52" s="263"/>
      <c r="AG52" s="263"/>
      <c r="AH52" s="263"/>
    </row>
    <row r="53" spans="1:34" ht="20.25" hidden="1" customHeight="1" outlineLevel="1">
      <c r="A53" s="435"/>
      <c r="B53" s="469"/>
      <c r="C53" s="470"/>
      <c r="D53" s="438" t="s">
        <v>222</v>
      </c>
      <c r="E53" s="508"/>
      <c r="F53" s="509"/>
      <c r="H53" s="437"/>
      <c r="I53" s="437"/>
      <c r="J53" s="437"/>
      <c r="K53" s="437"/>
      <c r="L53" s="437">
        <v>1.4</v>
      </c>
      <c r="M53" s="437"/>
      <c r="N53" s="437"/>
      <c r="O53" s="435"/>
      <c r="P53" s="437"/>
      <c r="Q53" s="437"/>
      <c r="R53" s="437"/>
      <c r="S53" s="437"/>
      <c r="T53" s="437"/>
      <c r="U53" s="437"/>
      <c r="V53" s="435"/>
      <c r="W53" s="437"/>
      <c r="Y53" s="455"/>
      <c r="Z53" s="455"/>
      <c r="AA53" s="455"/>
      <c r="AC53" s="263"/>
      <c r="AD53" s="263"/>
      <c r="AE53" s="263"/>
      <c r="AF53" s="263"/>
      <c r="AG53" s="263"/>
      <c r="AH53" s="263"/>
    </row>
    <row r="54" spans="1:34" ht="20.25" hidden="1" customHeight="1" outlineLevel="1">
      <c r="A54" s="435"/>
      <c r="B54" s="469"/>
      <c r="C54" s="470"/>
      <c r="D54" s="439" t="s">
        <v>221</v>
      </c>
      <c r="E54" s="510"/>
      <c r="F54" s="511"/>
      <c r="H54" s="437"/>
      <c r="I54" s="437"/>
      <c r="J54" s="437"/>
      <c r="K54" s="437"/>
      <c r="L54" s="437">
        <v>2</v>
      </c>
      <c r="M54" s="437"/>
      <c r="N54" s="437"/>
      <c r="O54" s="435"/>
      <c r="P54" s="437"/>
      <c r="Q54" s="437"/>
      <c r="R54" s="437"/>
      <c r="S54" s="437"/>
      <c r="T54" s="437"/>
      <c r="U54" s="437"/>
      <c r="V54" s="435"/>
      <c r="W54" s="437"/>
      <c r="Y54" s="456"/>
      <c r="Z54" s="456"/>
      <c r="AA54" s="456"/>
      <c r="AC54" s="263"/>
      <c r="AD54" s="263"/>
      <c r="AE54" s="263"/>
      <c r="AF54" s="263"/>
      <c r="AG54" s="263"/>
      <c r="AH54" s="263"/>
    </row>
    <row r="55" spans="1:34" ht="4.5" hidden="1" customHeight="1" outlineLevel="1">
      <c r="A55" s="440"/>
      <c r="B55" s="440"/>
      <c r="C55" s="440"/>
      <c r="D55" s="440"/>
      <c r="E55" s="440"/>
      <c r="F55" s="440"/>
      <c r="G55" s="440"/>
      <c r="H55" s="440"/>
      <c r="I55" s="440"/>
      <c r="J55" s="440"/>
      <c r="K55" s="440"/>
      <c r="L55" s="440"/>
      <c r="M55" s="440"/>
      <c r="N55" s="440"/>
      <c r="O55" s="440"/>
      <c r="P55" s="440"/>
      <c r="Q55" s="440"/>
      <c r="R55" s="440"/>
      <c r="S55" s="440"/>
      <c r="T55" s="440"/>
      <c r="U55" s="440"/>
      <c r="V55" s="440"/>
      <c r="W55" s="440"/>
      <c r="X55" s="440"/>
      <c r="Y55" s="440"/>
      <c r="Z55" s="440"/>
      <c r="AA55" s="440"/>
      <c r="AC55" s="263"/>
      <c r="AD55" s="263"/>
      <c r="AE55" s="263"/>
      <c r="AF55" s="263"/>
      <c r="AG55" s="263"/>
      <c r="AH55" s="263"/>
    </row>
    <row r="56" spans="1:34" ht="26.25" customHeight="1" collapsed="1">
      <c r="A56" s="428">
        <f ca="1">MAX(A$20:OFFSET(A56,-1,0))+1</f>
        <v>6</v>
      </c>
      <c r="B56" s="460" t="s">
        <v>195</v>
      </c>
      <c r="C56" s="461"/>
      <c r="D56" s="462"/>
      <c r="E56" s="429" t="s">
        <v>220</v>
      </c>
      <c r="F56" s="430" t="str">
        <f>HLOOKUP($F$19,Y$19:AA56,ROWS(Y$19:AA56),0)</f>
        <v>average</v>
      </c>
      <c r="G56" s="431"/>
      <c r="H56" s="432">
        <f ca="1">IF((OFFSET(H56,1,0)+OFFSET(H56,2,0))=0,1,VLOOKUP(IF($E56="",$F56,$E56),$D57:H61,COLUMNS($D57:H61),0))</f>
        <v>1</v>
      </c>
      <c r="I56" s="432">
        <f ca="1">IF((OFFSET(I56,1,0)+OFFSET(I56,2,0))=0,1,VLOOKUP(IF($E56="",$F56,$E56),$D57:I61,COLUMNS($D57:I61),0))</f>
        <v>1</v>
      </c>
      <c r="J56" s="432">
        <f ca="1">IF((OFFSET(J56,1,0)+OFFSET(J56,2,0))=0,1,VLOOKUP(IF($E56="",$F56,$E56),$D57:J61,COLUMNS($D57:J61),0))</f>
        <v>1</v>
      </c>
      <c r="K56" s="432">
        <f ca="1">IF((OFFSET(K56,1,0)+OFFSET(K56,2,0))=0,1,VLOOKUP(IF($E56="",$F56,$E56),$D57:K61,COLUMNS($D57:K61),0))</f>
        <v>1</v>
      </c>
      <c r="L56" s="432">
        <f ca="1">IF((OFFSET(L56,1,0)+OFFSET(L56,2,0))=0,1,VLOOKUP(IF($E56="",$F56,$E56),$D57:L61,COLUMNS($D57:L61),0))</f>
        <v>1</v>
      </c>
      <c r="M56" s="432">
        <f ca="1">IF((OFFSET(M56,1,0)+OFFSET(M56,2,0))=0,1,VLOOKUP(IF($E56="",$F56,$E56),$D57:M61,COLUMNS($D57:M61),0))</f>
        <v>1</v>
      </c>
      <c r="N56" s="432">
        <f ca="1">IF((OFFSET(N56,1,0)+OFFSET(N56,2,0))=0,1,VLOOKUP(IF($E56="",$F56,$E56),$D57:N61,COLUMNS($D57:N61),0))</f>
        <v>1</v>
      </c>
      <c r="O56" s="433">
        <f ca="1">IF((OFFSET(O56,1,0)+OFFSET(O56,2,0))=0,1,VLOOKUP(IF($E56="",$F56,$E56),$D57:O61,COLUMNS($D57:O61),0))</f>
        <v>1</v>
      </c>
      <c r="P56" s="432">
        <f ca="1">IF((OFFSET(P56,1,0)+OFFSET(P56,2,0))=0,1,VLOOKUP(IF($E56="",$F56,$E56),$D57:P61,COLUMNS($D57:P61),0))</f>
        <v>1</v>
      </c>
      <c r="Q56" s="432">
        <f ca="1">IF((OFFSET(Q56,1,0)+OFFSET(Q56,2,0))=0,1,VLOOKUP(IF($E56="",$F56,$E56),$D57:Q61,COLUMNS($D57:Q61),0))</f>
        <v>1</v>
      </c>
      <c r="R56" s="432">
        <f ca="1">IF((OFFSET(R56,1,0)+OFFSET(R56,2,0))=0,1,VLOOKUP(IF($E56="",$F56,$E56),$D57:R61,COLUMNS($D57:R61),0))</f>
        <v>1</v>
      </c>
      <c r="S56" s="432">
        <f ca="1">IF((OFFSET(S56,1,0)+OFFSET(S56,2,0))=0,1,VLOOKUP(IF($E56="",$F56,$E56),$D57:S61,COLUMNS($D57:S61),0))</f>
        <v>1</v>
      </c>
      <c r="T56" s="432">
        <f ca="1">IF((OFFSET(T56,1,0)+OFFSET(T56,2,0))=0,1,VLOOKUP(IF($E56="",$F56,$E56),$D57:T61,COLUMNS($D57:T61),0))</f>
        <v>1</v>
      </c>
      <c r="U56" s="432">
        <f ca="1">IF((OFFSET(U56,1,0)+OFFSET(U56,2,0))=0,1,VLOOKUP(IF($E56="",$F56,$E56),$D57:U61,COLUMNS($D57:U61),0))</f>
        <v>1</v>
      </c>
      <c r="V56" s="433">
        <f ca="1">IF((OFFSET(V56,1,0)+OFFSET(V56,2,0))=0,1,VLOOKUP(IF($E56="",$F56,$E56),$D57:V61,COLUMNS($D57:V61),0))</f>
        <v>1</v>
      </c>
      <c r="W56" s="432">
        <f ca="1">IF((OFFSET(W56,1,0)+OFFSET(W56,2,0))=0,1,VLOOKUP(IF($E56="",$F56,$E56),$D57:W61,COLUMNS($D57:W61),0))</f>
        <v>1</v>
      </c>
      <c r="Y56" s="434" t="str">
        <f>D57</f>
        <v>low</v>
      </c>
      <c r="Z56" s="434" t="s">
        <v>220</v>
      </c>
      <c r="AA56" s="434" t="str">
        <f>D60</f>
        <v>very high</v>
      </c>
      <c r="AC56" s="263"/>
      <c r="AD56" s="263"/>
      <c r="AE56" s="263"/>
      <c r="AF56" s="263"/>
      <c r="AG56" s="263"/>
      <c r="AH56" s="263"/>
    </row>
    <row r="57" spans="1:34" ht="21.75" hidden="1" customHeight="1" outlineLevel="1">
      <c r="A57" s="435"/>
      <c r="B57" s="469" t="s">
        <v>226</v>
      </c>
      <c r="C57" s="470" t="s">
        <v>69</v>
      </c>
      <c r="D57" s="436" t="s">
        <v>219</v>
      </c>
      <c r="E57" s="506"/>
      <c r="F57" s="507"/>
      <c r="H57" s="437">
        <v>0.8</v>
      </c>
      <c r="I57" s="437"/>
      <c r="J57" s="437"/>
      <c r="K57" s="437"/>
      <c r="L57" s="437">
        <v>0.8</v>
      </c>
      <c r="M57" s="437">
        <v>0.8</v>
      </c>
      <c r="N57" s="437">
        <v>0.8</v>
      </c>
      <c r="O57" s="435"/>
      <c r="P57" s="437"/>
      <c r="Q57" s="437"/>
      <c r="R57" s="437"/>
      <c r="S57" s="437">
        <v>0.9</v>
      </c>
      <c r="T57" s="437"/>
      <c r="U57" s="437"/>
      <c r="V57" s="435"/>
      <c r="W57" s="437"/>
      <c r="Y57" s="454"/>
      <c r="Z57" s="454"/>
      <c r="AA57" s="454"/>
      <c r="AC57" s="263"/>
      <c r="AD57" s="263"/>
      <c r="AE57" s="263"/>
      <c r="AF57" s="263"/>
      <c r="AG57" s="263"/>
      <c r="AH57" s="263"/>
    </row>
    <row r="58" spans="1:34" ht="21.75" hidden="1" customHeight="1" outlineLevel="1">
      <c r="A58" s="435"/>
      <c r="B58" s="469"/>
      <c r="C58" s="470"/>
      <c r="D58" s="438" t="s">
        <v>220</v>
      </c>
      <c r="E58" s="508"/>
      <c r="F58" s="509"/>
      <c r="H58" s="437">
        <v>1</v>
      </c>
      <c r="I58" s="437"/>
      <c r="J58" s="437"/>
      <c r="K58" s="437"/>
      <c r="L58" s="437">
        <v>1</v>
      </c>
      <c r="M58" s="437">
        <v>1</v>
      </c>
      <c r="N58" s="437">
        <v>1</v>
      </c>
      <c r="O58" s="435"/>
      <c r="P58" s="437"/>
      <c r="Q58" s="437"/>
      <c r="R58" s="437"/>
      <c r="S58" s="437">
        <v>1</v>
      </c>
      <c r="T58" s="437"/>
      <c r="U58" s="437"/>
      <c r="V58" s="435"/>
      <c r="W58" s="437"/>
      <c r="Y58" s="455"/>
      <c r="Z58" s="455"/>
      <c r="AA58" s="455"/>
      <c r="AC58" s="263"/>
      <c r="AD58" s="263"/>
      <c r="AE58" s="263"/>
      <c r="AF58" s="263"/>
      <c r="AG58" s="263"/>
      <c r="AH58" s="263"/>
    </row>
    <row r="59" spans="1:34" ht="21.75" hidden="1" customHeight="1" outlineLevel="1">
      <c r="A59" s="435"/>
      <c r="B59" s="469"/>
      <c r="C59" s="470"/>
      <c r="D59" s="438" t="s">
        <v>222</v>
      </c>
      <c r="E59" s="508"/>
      <c r="F59" s="509"/>
      <c r="H59" s="437">
        <v>1.1000000000000001</v>
      </c>
      <c r="I59" s="437"/>
      <c r="J59" s="437"/>
      <c r="K59" s="437"/>
      <c r="L59" s="437">
        <v>1.1000000000000001</v>
      </c>
      <c r="M59" s="437">
        <v>1.1000000000000001</v>
      </c>
      <c r="N59" s="437">
        <v>1.1000000000000001</v>
      </c>
      <c r="O59" s="435"/>
      <c r="P59" s="437"/>
      <c r="Q59" s="437"/>
      <c r="R59" s="437"/>
      <c r="S59" s="437">
        <v>1.1000000000000001</v>
      </c>
      <c r="T59" s="437"/>
      <c r="U59" s="437"/>
      <c r="V59" s="435"/>
      <c r="W59" s="437"/>
      <c r="Y59" s="455"/>
      <c r="Z59" s="455"/>
      <c r="AA59" s="455"/>
      <c r="AC59" s="263"/>
      <c r="AD59" s="263"/>
      <c r="AE59" s="263"/>
      <c r="AF59" s="263"/>
      <c r="AG59" s="263"/>
      <c r="AH59" s="263"/>
    </row>
    <row r="60" spans="1:34" ht="21.75" hidden="1" customHeight="1" outlineLevel="1">
      <c r="A60" s="435"/>
      <c r="B60" s="469"/>
      <c r="C60" s="470"/>
      <c r="D60" s="439" t="s">
        <v>221</v>
      </c>
      <c r="E60" s="510"/>
      <c r="F60" s="511"/>
      <c r="H60" s="437">
        <v>1.3</v>
      </c>
      <c r="I60" s="437"/>
      <c r="J60" s="437"/>
      <c r="K60" s="437"/>
      <c r="L60" s="437">
        <v>1.3</v>
      </c>
      <c r="M60" s="437">
        <v>1.3</v>
      </c>
      <c r="N60" s="437">
        <v>1.3</v>
      </c>
      <c r="O60" s="435"/>
      <c r="P60" s="437"/>
      <c r="Q60" s="437"/>
      <c r="R60" s="437"/>
      <c r="S60" s="437">
        <v>1.3</v>
      </c>
      <c r="T60" s="437"/>
      <c r="U60" s="437"/>
      <c r="V60" s="435"/>
      <c r="W60" s="437"/>
      <c r="Y60" s="456"/>
      <c r="Z60" s="456"/>
      <c r="AA60" s="456"/>
      <c r="AC60" s="263"/>
      <c r="AD60" s="263"/>
      <c r="AE60" s="263"/>
      <c r="AF60" s="263"/>
      <c r="AG60" s="263"/>
      <c r="AH60" s="263"/>
    </row>
    <row r="61" spans="1:34" ht="4.5" hidden="1" customHeight="1" outlineLevel="1">
      <c r="A61" s="440"/>
      <c r="B61" s="440"/>
      <c r="C61" s="440"/>
      <c r="D61" s="440"/>
      <c r="E61" s="440"/>
      <c r="F61" s="440"/>
      <c r="G61" s="440"/>
      <c r="H61" s="440"/>
      <c r="I61" s="440"/>
      <c r="J61" s="440"/>
      <c r="K61" s="440"/>
      <c r="L61" s="440"/>
      <c r="M61" s="440"/>
      <c r="N61" s="440"/>
      <c r="O61" s="440"/>
      <c r="P61" s="440"/>
      <c r="Q61" s="440"/>
      <c r="R61" s="440"/>
      <c r="S61" s="440"/>
      <c r="T61" s="440"/>
      <c r="U61" s="440"/>
      <c r="V61" s="440"/>
      <c r="W61" s="440"/>
      <c r="X61" s="440"/>
      <c r="Y61" s="440"/>
      <c r="Z61" s="440"/>
      <c r="AA61" s="440"/>
      <c r="AC61" s="263"/>
      <c r="AD61" s="263"/>
      <c r="AE61" s="263"/>
      <c r="AF61" s="263"/>
      <c r="AG61" s="263"/>
      <c r="AH61" s="263"/>
    </row>
    <row r="62" spans="1:34" ht="27" customHeight="1" collapsed="1">
      <c r="A62" s="428">
        <f ca="1">MAX(A$20:OFFSET(A62,-1,0))+1</f>
        <v>7</v>
      </c>
      <c r="B62" s="486" t="s">
        <v>196</v>
      </c>
      <c r="C62" s="487"/>
      <c r="D62" s="473"/>
      <c r="E62" s="429" t="s">
        <v>219</v>
      </c>
      <c r="F62" s="430" t="str">
        <f>HLOOKUP($F$19,Y$19:AA62,ROWS(Y$19:AA62),0)</f>
        <v>average</v>
      </c>
      <c r="G62" s="431"/>
      <c r="H62" s="432">
        <f ca="1">IF((OFFSET(H62,1,0)+OFFSET(H62,2,0))=0,1,VLOOKUP(IF($E62="",$F62,$E62),$D63:H68,COLUMNS($D63:H68),0))</f>
        <v>1</v>
      </c>
      <c r="I62" s="432">
        <f ca="1">IF((OFFSET(I62,1,0)+OFFSET(I62,2,0))=0,1,VLOOKUP(IF($E62="",$F62,$E62),$D63:I68,COLUMNS($D63:I68),0))</f>
        <v>1</v>
      </c>
      <c r="J62" s="432">
        <f ca="1">IF((OFFSET(J62,1,0)+OFFSET(J62,2,0))=0,1,VLOOKUP(IF($E62="",$F62,$E62),$D63:J68,COLUMNS($D63:J68),0))</f>
        <v>1</v>
      </c>
      <c r="K62" s="432">
        <f ca="1">IF((OFFSET(K62,1,0)+OFFSET(K62,2,0))=0,1,VLOOKUP(IF($E62="",$F62,$E62),$D63:K68,COLUMNS($D63:K68),0))</f>
        <v>1</v>
      </c>
      <c r="L62" s="432">
        <f ca="1">IF((OFFSET(L62,1,0)+OFFSET(L62,2,0))=0,1,VLOOKUP(IF($E62="",$F62,$E62),$D63:L68,COLUMNS($D63:L68),0))</f>
        <v>1</v>
      </c>
      <c r="M62" s="432">
        <f ca="1">IF((OFFSET(M62,1,0)+OFFSET(M62,2,0))=0,1,VLOOKUP(IF($E62="",$F62,$E62),$D63:M68,COLUMNS($D63:M68),0))</f>
        <v>1.8</v>
      </c>
      <c r="N62" s="432">
        <f ca="1">IF((OFFSET(N62,1,0)+OFFSET(N62,2,0))=0,1,VLOOKUP(IF($E62="",$F62,$E62),$D63:N68,COLUMNS($D63:N68),0))</f>
        <v>1.5</v>
      </c>
      <c r="O62" s="433">
        <f ca="1">IF((OFFSET(O62,1,0)+OFFSET(O62,2,0))=0,1,VLOOKUP(IF($E62="",$F62,$E62),$D63:O68,COLUMNS($D63:O68),0))</f>
        <v>1</v>
      </c>
      <c r="P62" s="432">
        <f ca="1">IF((OFFSET(P62,1,0)+OFFSET(P62,2,0))=0,1,VLOOKUP(IF($E62="",$F62,$E62),$D63:P68,COLUMNS($D63:P68),0))</f>
        <v>1</v>
      </c>
      <c r="Q62" s="432">
        <f ca="1">IF((OFFSET(Q62,1,0)+OFFSET(Q62,2,0))=0,1,VLOOKUP(IF($E62="",$F62,$E62),$D63:Q68,COLUMNS($D63:Q68),0))</f>
        <v>1</v>
      </c>
      <c r="R62" s="432">
        <f ca="1">IF((OFFSET(R62,1,0)+OFFSET(R62,2,0))=0,1,VLOOKUP(IF($E62="",$F62,$E62),$D63:R68,COLUMNS($D63:R68),0))</f>
        <v>1.2</v>
      </c>
      <c r="S62" s="432">
        <f ca="1">IF((OFFSET(S62,1,0)+OFFSET(S62,2,0))=0,1,VLOOKUP(IF($E62="",$F62,$E62),$D63:S68,COLUMNS($D63:S68),0))</f>
        <v>1</v>
      </c>
      <c r="T62" s="432">
        <f ca="1">IF((OFFSET(T62,1,0)+OFFSET(T62,2,0))=0,1,VLOOKUP(IF($E62="",$F62,$E62),$D63:T68,COLUMNS($D63:T68),0))</f>
        <v>1</v>
      </c>
      <c r="U62" s="432">
        <f ca="1">IF((OFFSET(U62,1,0)+OFFSET(U62,2,0))=0,1,VLOOKUP(IF($E62="",$F62,$E62),$D63:U68,COLUMNS($D63:U68),0))</f>
        <v>1</v>
      </c>
      <c r="V62" s="433">
        <f ca="1">IF((OFFSET(V62,1,0)+OFFSET(V62,2,0))=0,1,VLOOKUP(IF($E62="",$F62,$E62),$D63:V68,COLUMNS($D63:V68),0))</f>
        <v>1</v>
      </c>
      <c r="W62" s="432">
        <f ca="1">IF((OFFSET(W62,1,0)+OFFSET(W62,2,0))=0,1,VLOOKUP(IF($E62="",$F62,$E62),$D63:W68,COLUMNS($D63:W68),0))</f>
        <v>1</v>
      </c>
      <c r="Y62" s="434" t="str">
        <f>D67</f>
        <v>very high</v>
      </c>
      <c r="Z62" s="434" t="s">
        <v>220</v>
      </c>
      <c r="AA62" s="434" t="str">
        <f>D63</f>
        <v>very low</v>
      </c>
      <c r="AC62" s="263"/>
      <c r="AD62" s="263"/>
      <c r="AE62" s="263"/>
      <c r="AF62" s="263"/>
      <c r="AG62" s="263"/>
      <c r="AH62" s="263"/>
    </row>
    <row r="63" spans="1:34" ht="15.75" hidden="1" customHeight="1" outlineLevel="1">
      <c r="A63" s="435"/>
      <c r="B63" s="469" t="s">
        <v>228</v>
      </c>
      <c r="C63" s="470"/>
      <c r="D63" s="436" t="s">
        <v>218</v>
      </c>
      <c r="E63" s="506" t="s">
        <v>184</v>
      </c>
      <c r="F63" s="507"/>
      <c r="H63" s="437"/>
      <c r="I63" s="437"/>
      <c r="J63" s="437"/>
      <c r="K63" s="437"/>
      <c r="L63" s="437"/>
      <c r="M63" s="437">
        <v>2.5</v>
      </c>
      <c r="N63" s="437">
        <v>1.8</v>
      </c>
      <c r="O63" s="435"/>
      <c r="P63" s="437"/>
      <c r="Q63" s="437"/>
      <c r="R63" s="437">
        <v>1.4</v>
      </c>
      <c r="S63" s="437"/>
      <c r="T63" s="437"/>
      <c r="U63" s="437"/>
      <c r="V63" s="435"/>
      <c r="W63" s="437"/>
      <c r="Y63" s="454"/>
      <c r="Z63" s="454"/>
      <c r="AA63" s="454"/>
      <c r="AC63" s="263"/>
      <c r="AD63" s="263"/>
      <c r="AE63" s="263"/>
      <c r="AF63" s="263"/>
      <c r="AG63" s="263"/>
      <c r="AH63" s="263"/>
    </row>
    <row r="64" spans="1:34" ht="15.75" hidden="1" customHeight="1" outlineLevel="1">
      <c r="A64" s="435"/>
      <c r="B64" s="469"/>
      <c r="C64" s="470"/>
      <c r="D64" s="438" t="s">
        <v>219</v>
      </c>
      <c r="E64" s="508"/>
      <c r="F64" s="509"/>
      <c r="H64" s="437"/>
      <c r="I64" s="437"/>
      <c r="J64" s="437"/>
      <c r="K64" s="437"/>
      <c r="L64" s="437"/>
      <c r="M64" s="437">
        <v>1.8</v>
      </c>
      <c r="N64" s="437">
        <v>1.5</v>
      </c>
      <c r="O64" s="435"/>
      <c r="P64" s="437"/>
      <c r="Q64" s="437"/>
      <c r="R64" s="437">
        <v>1.2</v>
      </c>
      <c r="S64" s="437"/>
      <c r="T64" s="437"/>
      <c r="U64" s="437"/>
      <c r="V64" s="435"/>
      <c r="W64" s="437"/>
      <c r="Y64" s="455"/>
      <c r="Z64" s="455"/>
      <c r="AA64" s="455"/>
      <c r="AC64" s="263"/>
      <c r="AD64" s="263"/>
      <c r="AE64" s="263"/>
      <c r="AF64" s="263"/>
      <c r="AG64" s="263"/>
      <c r="AH64" s="263"/>
    </row>
    <row r="65" spans="1:34" ht="15.75" hidden="1" customHeight="1" outlineLevel="1">
      <c r="A65" s="435"/>
      <c r="B65" s="469"/>
      <c r="C65" s="470"/>
      <c r="D65" s="438" t="s">
        <v>220</v>
      </c>
      <c r="E65" s="508"/>
      <c r="F65" s="509"/>
      <c r="H65" s="437"/>
      <c r="I65" s="437"/>
      <c r="J65" s="437"/>
      <c r="K65" s="437"/>
      <c r="L65" s="437"/>
      <c r="M65" s="437">
        <v>1</v>
      </c>
      <c r="N65" s="437">
        <v>1</v>
      </c>
      <c r="O65" s="435"/>
      <c r="P65" s="437"/>
      <c r="Q65" s="437"/>
      <c r="R65" s="437">
        <v>1</v>
      </c>
      <c r="S65" s="437"/>
      <c r="T65" s="437"/>
      <c r="U65" s="437"/>
      <c r="V65" s="435"/>
      <c r="W65" s="437"/>
      <c r="Y65" s="455"/>
      <c r="Z65" s="455"/>
      <c r="AA65" s="455"/>
      <c r="AC65" s="263"/>
      <c r="AD65" s="263"/>
      <c r="AE65" s="263"/>
      <c r="AF65" s="263"/>
      <c r="AG65" s="263"/>
      <c r="AH65" s="263"/>
    </row>
    <row r="66" spans="1:34" ht="15.75" hidden="1" customHeight="1" outlineLevel="1">
      <c r="A66" s="435"/>
      <c r="B66" s="469"/>
      <c r="C66" s="470"/>
      <c r="D66" s="438" t="s">
        <v>222</v>
      </c>
      <c r="E66" s="508"/>
      <c r="F66" s="509"/>
      <c r="H66" s="437"/>
      <c r="I66" s="437"/>
      <c r="J66" s="437"/>
      <c r="K66" s="437"/>
      <c r="L66" s="437"/>
      <c r="M66" s="437">
        <v>0.8</v>
      </c>
      <c r="N66" s="437">
        <v>0.9</v>
      </c>
      <c r="O66" s="435"/>
      <c r="P66" s="437"/>
      <c r="Q66" s="437"/>
      <c r="R66" s="437">
        <v>0.9</v>
      </c>
      <c r="S66" s="437"/>
      <c r="T66" s="437"/>
      <c r="U66" s="437"/>
      <c r="V66" s="435"/>
      <c r="W66" s="437"/>
      <c r="Y66" s="455"/>
      <c r="Z66" s="455"/>
      <c r="AA66" s="455"/>
      <c r="AC66" s="263"/>
      <c r="AD66" s="263"/>
      <c r="AE66" s="263"/>
      <c r="AF66" s="263"/>
      <c r="AG66" s="263"/>
      <c r="AH66" s="263"/>
    </row>
    <row r="67" spans="1:34" ht="15.75" hidden="1" customHeight="1" outlineLevel="1">
      <c r="A67" s="435"/>
      <c r="B67" s="469"/>
      <c r="C67" s="470"/>
      <c r="D67" s="439" t="s">
        <v>221</v>
      </c>
      <c r="E67" s="510"/>
      <c r="F67" s="511"/>
      <c r="H67" s="437"/>
      <c r="I67" s="437"/>
      <c r="J67" s="437"/>
      <c r="K67" s="437"/>
      <c r="L67" s="437"/>
      <c r="M67" s="437">
        <v>0.7</v>
      </c>
      <c r="N67" s="437">
        <v>0.8</v>
      </c>
      <c r="O67" s="435"/>
      <c r="P67" s="437"/>
      <c r="Q67" s="437"/>
      <c r="R67" s="437">
        <v>0.8</v>
      </c>
      <c r="S67" s="437"/>
      <c r="T67" s="437"/>
      <c r="U67" s="437"/>
      <c r="V67" s="435"/>
      <c r="W67" s="437"/>
      <c r="Y67" s="456"/>
      <c r="Z67" s="456"/>
      <c r="AA67" s="456"/>
      <c r="AC67" s="263"/>
      <c r="AD67" s="263"/>
      <c r="AE67" s="263"/>
      <c r="AF67" s="263"/>
      <c r="AG67" s="263"/>
      <c r="AH67" s="263"/>
    </row>
    <row r="68" spans="1:34" ht="4.5" hidden="1" customHeight="1" outlineLevel="1">
      <c r="A68" s="440"/>
      <c r="B68" s="440"/>
      <c r="C68" s="440"/>
      <c r="D68" s="440"/>
      <c r="E68" s="440"/>
      <c r="F68" s="440"/>
      <c r="G68" s="440"/>
      <c r="H68" s="440"/>
      <c r="I68" s="440"/>
      <c r="J68" s="440"/>
      <c r="K68" s="440"/>
      <c r="L68" s="440"/>
      <c r="M68" s="440"/>
      <c r="N68" s="440"/>
      <c r="O68" s="440"/>
      <c r="P68" s="440"/>
      <c r="Q68" s="440"/>
      <c r="R68" s="440"/>
      <c r="S68" s="440"/>
      <c r="T68" s="440"/>
      <c r="U68" s="440"/>
      <c r="V68" s="440"/>
      <c r="W68" s="440"/>
      <c r="X68" s="440"/>
      <c r="Y68" s="440"/>
      <c r="Z68" s="440"/>
      <c r="AA68" s="440"/>
      <c r="AC68" s="263"/>
      <c r="AD68" s="263"/>
      <c r="AE68" s="263"/>
      <c r="AF68" s="263"/>
      <c r="AG68" s="263"/>
      <c r="AH68" s="263"/>
    </row>
    <row r="69" spans="1:34" ht="24" customHeight="1" collapsed="1">
      <c r="A69" s="428">
        <f ca="1">MAX(A$20:OFFSET(A69,-1,0))+1</f>
        <v>8</v>
      </c>
      <c r="B69" s="460" t="s">
        <v>197</v>
      </c>
      <c r="C69" s="461"/>
      <c r="D69" s="462"/>
      <c r="E69" s="429" t="s">
        <v>220</v>
      </c>
      <c r="F69" s="430" t="str">
        <f>HLOOKUP($F$19,Y$19:AA69,ROWS(Y$19:AA69),0)</f>
        <v>average</v>
      </c>
      <c r="G69" s="431"/>
      <c r="H69" s="432">
        <f ca="1">IF((OFFSET(H69,1,0)+OFFSET(H69,2,0))=0,1,VLOOKUP(IF($E69="",$F69,$E69),$D70:H75,COLUMNS($D70:H75),0))</f>
        <v>1</v>
      </c>
      <c r="I69" s="432">
        <f ca="1">IF((OFFSET(I69,1,0)+OFFSET(I69,2,0))=0,1,VLOOKUP(IF($E69="",$F69,$E69),$D70:I75,COLUMNS($D70:I75),0))</f>
        <v>1</v>
      </c>
      <c r="J69" s="432">
        <f ca="1">IF((OFFSET(J69,1,0)+OFFSET(J69,2,0))=0,1,VLOOKUP(IF($E69="",$F69,$E69),$D70:J75,COLUMNS($D70:J75),0))</f>
        <v>1</v>
      </c>
      <c r="K69" s="432">
        <f ca="1">IF((OFFSET(K69,1,0)+OFFSET(K69,2,0))=0,1,VLOOKUP(IF($E69="",$F69,$E69),$D70:K75,COLUMNS($D70:K75),0))</f>
        <v>1</v>
      </c>
      <c r="L69" s="432">
        <f ca="1">IF((OFFSET(L69,1,0)+OFFSET(L69,2,0))=0,1,VLOOKUP(IF($E69="",$F69,$E69),$D70:L75,COLUMNS($D70:L75),0))</f>
        <v>1</v>
      </c>
      <c r="M69" s="432">
        <f ca="1">IF((OFFSET(M69,1,0)+OFFSET(M69,2,0))=0,1,VLOOKUP(IF($E69="",$F69,$E69),$D70:M75,COLUMNS($D70:M75),0))</f>
        <v>1</v>
      </c>
      <c r="N69" s="432">
        <f ca="1">IF((OFFSET(N69,1,0)+OFFSET(N69,2,0))=0,1,VLOOKUP(IF($E69="",$F69,$E69),$D70:N75,COLUMNS($D70:N75),0))</f>
        <v>1</v>
      </c>
      <c r="O69" s="433">
        <f ca="1">IF((OFFSET(O69,1,0)+OFFSET(O69,2,0))=0,1,VLOOKUP(IF($E69="",$F69,$E69),$D70:O75,COLUMNS($D70:O75),0))</f>
        <v>1</v>
      </c>
      <c r="P69" s="432">
        <f ca="1">IF((OFFSET(P69,1,0)+OFFSET(P69,2,0))=0,1,VLOOKUP(IF($E69="",$F69,$E69),$D70:P75,COLUMNS($D70:P75),0))</f>
        <v>1</v>
      </c>
      <c r="Q69" s="432">
        <f ca="1">IF((OFFSET(Q69,1,0)+OFFSET(Q69,2,0))=0,1,VLOOKUP(IF($E69="",$F69,$E69),$D70:Q75,COLUMNS($D70:Q75),0))</f>
        <v>1</v>
      </c>
      <c r="R69" s="432">
        <f ca="1">IF((OFFSET(R69,1,0)+OFFSET(R69,2,0))=0,1,VLOOKUP(IF($E69="",$F69,$E69),$D70:R75,COLUMNS($D70:R75),0))</f>
        <v>1</v>
      </c>
      <c r="S69" s="432">
        <f ca="1">IF((OFFSET(S69,1,0)+OFFSET(S69,2,0))=0,1,VLOOKUP(IF($E69="",$F69,$E69),$D70:S75,COLUMNS($D70:S75),0))</f>
        <v>1</v>
      </c>
      <c r="T69" s="432">
        <f ca="1">IF((OFFSET(T69,1,0)+OFFSET(T69,2,0))=0,1,VLOOKUP(IF($E69="",$F69,$E69),$D70:T75,COLUMNS($D70:T75),0))</f>
        <v>1</v>
      </c>
      <c r="U69" s="432">
        <f ca="1">IF((OFFSET(U69,1,0)+OFFSET(U69,2,0))=0,1,VLOOKUP(IF($E69="",$F69,$E69),$D70:U75,COLUMNS($D70:U75),0))</f>
        <v>1</v>
      </c>
      <c r="V69" s="433">
        <f ca="1">IF((OFFSET(V69,1,0)+OFFSET(V69,2,0))=0,1,VLOOKUP(IF($E69="",$F69,$E69),$D70:V75,COLUMNS($D70:V75),0))</f>
        <v>1</v>
      </c>
      <c r="W69" s="432">
        <f ca="1">IF((OFFSET(W69,1,0)+OFFSET(W69,2,0))=0,1,VLOOKUP(IF($E69="",$F69,$E69),$D70:W75,COLUMNS($D70:W75),0))</f>
        <v>1</v>
      </c>
      <c r="Y69" s="434" t="str">
        <f>D70</f>
        <v>very low</v>
      </c>
      <c r="Z69" s="434" t="s">
        <v>220</v>
      </c>
      <c r="AA69" s="434" t="str">
        <f>D74</f>
        <v>very high</v>
      </c>
      <c r="AC69" s="263"/>
      <c r="AD69" s="263"/>
      <c r="AE69" s="263"/>
      <c r="AF69" s="263"/>
      <c r="AG69" s="263"/>
      <c r="AH69" s="263"/>
    </row>
    <row r="70" spans="1:34" ht="12.75" hidden="1" customHeight="1" outlineLevel="1">
      <c r="A70" s="435"/>
      <c r="B70" s="469" t="s">
        <v>229</v>
      </c>
      <c r="C70" s="470"/>
      <c r="D70" s="436" t="s">
        <v>218</v>
      </c>
      <c r="E70" s="506"/>
      <c r="F70" s="507"/>
      <c r="H70" s="437"/>
      <c r="I70" s="437"/>
      <c r="J70" s="437"/>
      <c r="K70" s="437"/>
      <c r="L70" s="437"/>
      <c r="M70" s="437"/>
      <c r="N70" s="437">
        <v>0.8</v>
      </c>
      <c r="O70" s="435"/>
      <c r="P70" s="437">
        <v>0.5</v>
      </c>
      <c r="Q70" s="437">
        <v>0.8</v>
      </c>
      <c r="R70" s="437"/>
      <c r="S70" s="437">
        <v>0.8</v>
      </c>
      <c r="T70" s="437"/>
      <c r="U70" s="437"/>
      <c r="V70" s="435"/>
      <c r="W70" s="437"/>
      <c r="Y70" s="454"/>
      <c r="Z70" s="454"/>
      <c r="AA70" s="454"/>
      <c r="AC70" s="263"/>
      <c r="AD70" s="263"/>
      <c r="AE70" s="263"/>
      <c r="AF70" s="263"/>
      <c r="AG70" s="263"/>
      <c r="AH70" s="263"/>
    </row>
    <row r="71" spans="1:34" ht="12.75" hidden="1" customHeight="1" outlineLevel="1">
      <c r="A71" s="435"/>
      <c r="B71" s="469"/>
      <c r="C71" s="470"/>
      <c r="D71" s="438" t="s">
        <v>219</v>
      </c>
      <c r="E71" s="508"/>
      <c r="F71" s="509"/>
      <c r="H71" s="437"/>
      <c r="I71" s="437"/>
      <c r="J71" s="437"/>
      <c r="K71" s="437"/>
      <c r="L71" s="437"/>
      <c r="M71" s="437"/>
      <c r="N71" s="437">
        <v>0.9</v>
      </c>
      <c r="O71" s="435"/>
      <c r="P71" s="437">
        <v>0.8</v>
      </c>
      <c r="Q71" s="437">
        <v>0.9</v>
      </c>
      <c r="R71" s="437"/>
      <c r="S71" s="437">
        <v>0.9</v>
      </c>
      <c r="T71" s="437"/>
      <c r="U71" s="437"/>
      <c r="V71" s="435"/>
      <c r="W71" s="437"/>
      <c r="Y71" s="455"/>
      <c r="Z71" s="455"/>
      <c r="AA71" s="455"/>
      <c r="AC71" s="263"/>
      <c r="AD71" s="263"/>
      <c r="AE71" s="263"/>
      <c r="AF71" s="263"/>
      <c r="AG71" s="263"/>
      <c r="AH71" s="263"/>
    </row>
    <row r="72" spans="1:34" ht="12.75" hidden="1" customHeight="1" outlineLevel="1">
      <c r="A72" s="435"/>
      <c r="B72" s="469"/>
      <c r="C72" s="470"/>
      <c r="D72" s="438" t="s">
        <v>220</v>
      </c>
      <c r="E72" s="508"/>
      <c r="F72" s="509"/>
      <c r="H72" s="437"/>
      <c r="I72" s="437"/>
      <c r="J72" s="437"/>
      <c r="K72" s="437"/>
      <c r="L72" s="437"/>
      <c r="M72" s="437"/>
      <c r="N72" s="437">
        <v>1</v>
      </c>
      <c r="O72" s="435"/>
      <c r="P72" s="437">
        <v>1</v>
      </c>
      <c r="Q72" s="437">
        <v>1</v>
      </c>
      <c r="R72" s="437"/>
      <c r="S72" s="437">
        <v>1</v>
      </c>
      <c r="T72" s="437"/>
      <c r="U72" s="437"/>
      <c r="V72" s="435"/>
      <c r="W72" s="437"/>
      <c r="Y72" s="455"/>
      <c r="Z72" s="455"/>
      <c r="AA72" s="455"/>
      <c r="AC72" s="263"/>
      <c r="AD72" s="263"/>
      <c r="AE72" s="263"/>
      <c r="AF72" s="263"/>
      <c r="AG72" s="263"/>
      <c r="AH72" s="263"/>
    </row>
    <row r="73" spans="1:34" ht="12.75" hidden="1" customHeight="1" outlineLevel="1">
      <c r="A73" s="435"/>
      <c r="B73" s="469"/>
      <c r="C73" s="470"/>
      <c r="D73" s="438" t="s">
        <v>222</v>
      </c>
      <c r="E73" s="508"/>
      <c r="F73" s="509"/>
      <c r="H73" s="437"/>
      <c r="I73" s="437"/>
      <c r="J73" s="437"/>
      <c r="K73" s="437"/>
      <c r="L73" s="437"/>
      <c r="M73" s="437"/>
      <c r="N73" s="437">
        <v>1.1000000000000001</v>
      </c>
      <c r="O73" s="435"/>
      <c r="P73" s="437">
        <v>1.5</v>
      </c>
      <c r="Q73" s="437">
        <v>1.1000000000000001</v>
      </c>
      <c r="R73" s="437"/>
      <c r="S73" s="437">
        <v>1.1000000000000001</v>
      </c>
      <c r="T73" s="437"/>
      <c r="U73" s="437"/>
      <c r="V73" s="435"/>
      <c r="W73" s="437"/>
      <c r="Y73" s="455"/>
      <c r="Z73" s="455"/>
      <c r="AA73" s="455"/>
      <c r="AC73" s="263"/>
      <c r="AD73" s="263"/>
      <c r="AE73" s="263"/>
      <c r="AF73" s="263"/>
      <c r="AG73" s="263"/>
      <c r="AH73" s="263"/>
    </row>
    <row r="74" spans="1:34" ht="12.75" hidden="1" customHeight="1" outlineLevel="1">
      <c r="A74" s="435"/>
      <c r="B74" s="469"/>
      <c r="C74" s="470"/>
      <c r="D74" s="439" t="s">
        <v>221</v>
      </c>
      <c r="E74" s="510"/>
      <c r="F74" s="511"/>
      <c r="H74" s="437"/>
      <c r="I74" s="437"/>
      <c r="J74" s="437"/>
      <c r="K74" s="437"/>
      <c r="L74" s="437"/>
      <c r="M74" s="437"/>
      <c r="N74" s="437">
        <v>1.2</v>
      </c>
      <c r="O74" s="435"/>
      <c r="P74" s="437">
        <v>2</v>
      </c>
      <c r="Q74" s="437">
        <v>1.2</v>
      </c>
      <c r="R74" s="437"/>
      <c r="S74" s="437">
        <v>1.2</v>
      </c>
      <c r="T74" s="437"/>
      <c r="U74" s="437"/>
      <c r="V74" s="435"/>
      <c r="W74" s="437"/>
      <c r="Y74" s="456"/>
      <c r="Z74" s="456"/>
      <c r="AA74" s="456"/>
      <c r="AC74" s="263"/>
      <c r="AD74" s="263"/>
      <c r="AE74" s="263"/>
      <c r="AF74" s="263"/>
      <c r="AG74" s="263"/>
      <c r="AH74" s="263"/>
    </row>
    <row r="75" spans="1:34" ht="4.5" hidden="1" customHeight="1" outlineLevel="1">
      <c r="A75" s="440"/>
      <c r="B75" s="440"/>
      <c r="C75" s="440"/>
      <c r="D75" s="440"/>
      <c r="E75" s="440"/>
      <c r="F75" s="440"/>
      <c r="G75" s="440"/>
      <c r="H75" s="440"/>
      <c r="I75" s="440"/>
      <c r="J75" s="440"/>
      <c r="K75" s="440"/>
      <c r="L75" s="440"/>
      <c r="M75" s="440"/>
      <c r="N75" s="440"/>
      <c r="O75" s="440"/>
      <c r="P75" s="440"/>
      <c r="Q75" s="440"/>
      <c r="R75" s="440"/>
      <c r="S75" s="440"/>
      <c r="T75" s="440"/>
      <c r="U75" s="440"/>
      <c r="V75" s="440"/>
      <c r="W75" s="440"/>
      <c r="X75" s="440"/>
      <c r="Y75" s="440"/>
      <c r="Z75" s="440"/>
      <c r="AA75" s="440"/>
      <c r="AC75" s="263"/>
      <c r="AD75" s="263"/>
      <c r="AE75" s="263"/>
      <c r="AF75" s="263"/>
      <c r="AG75" s="263"/>
      <c r="AH75" s="263"/>
    </row>
    <row r="76" spans="1:34" ht="24" customHeight="1" collapsed="1">
      <c r="A76" s="428">
        <f ca="1">MAX(A$20:OFFSET(A76,-1,0))+1</f>
        <v>9</v>
      </c>
      <c r="B76" s="486" t="s">
        <v>198</v>
      </c>
      <c r="C76" s="487"/>
      <c r="D76" s="473"/>
      <c r="E76" s="429" t="s">
        <v>220</v>
      </c>
      <c r="F76" s="430" t="str">
        <f>HLOOKUP($F$19,Y$19:AA76,ROWS(Y$19:AA76),0)</f>
        <v>average</v>
      </c>
      <c r="G76" s="431"/>
      <c r="H76" s="432">
        <f ca="1">IF((OFFSET(H76,1,0)+OFFSET(H76,2,0))=0,1,VLOOKUP(IF($E76="",$F76,$E76),$D77:H82,COLUMNS($D77:H82),0))</f>
        <v>1</v>
      </c>
      <c r="I76" s="432">
        <f ca="1">IF((OFFSET(I76,1,0)+OFFSET(I76,2,0))=0,1,VLOOKUP(IF($E76="",$F76,$E76),$D77:I82,COLUMNS($D77:I82),0))</f>
        <v>1</v>
      </c>
      <c r="J76" s="432">
        <f ca="1">IF((OFFSET(J76,1,0)+OFFSET(J76,2,0))=0,1,VLOOKUP(IF($E76="",$F76,$E76),$D77:J82,COLUMNS($D77:J82),0))</f>
        <v>1</v>
      </c>
      <c r="K76" s="432">
        <f ca="1">IF((OFFSET(K76,1,0)+OFFSET(K76,2,0))=0,1,VLOOKUP(IF($E76="",$F76,$E76),$D77:K82,COLUMNS($D77:K82),0))</f>
        <v>1</v>
      </c>
      <c r="L76" s="432">
        <f ca="1">IF((OFFSET(L76,1,0)+OFFSET(L76,2,0))=0,1,VLOOKUP(IF($E76="",$F76,$E76),$D77:L82,COLUMNS($D77:L82),0))</f>
        <v>1</v>
      </c>
      <c r="M76" s="432">
        <f ca="1">IF((OFFSET(M76,1,0)+OFFSET(M76,2,0))=0,1,VLOOKUP(IF($E76="",$F76,$E76),$D77:M82,COLUMNS($D77:M82),0))</f>
        <v>1</v>
      </c>
      <c r="N76" s="432">
        <f ca="1">IF((OFFSET(N76,1,0)+OFFSET(N76,2,0))=0,1,VLOOKUP(IF($E76="",$F76,$E76),$D77:N82,COLUMNS($D77:N82),0))</f>
        <v>1</v>
      </c>
      <c r="O76" s="433">
        <f ca="1">IF((OFFSET(O76,1,0)+OFFSET(O76,2,0))=0,1,VLOOKUP(IF($E76="",$F76,$E76),$D77:O82,COLUMNS($D77:O82),0))</f>
        <v>1</v>
      </c>
      <c r="P76" s="432">
        <f ca="1">IF((OFFSET(P76,1,0)+OFFSET(P76,2,0))=0,1,VLOOKUP(IF($E76="",$F76,$E76),$D77:P82,COLUMNS($D77:P82),0))</f>
        <v>1</v>
      </c>
      <c r="Q76" s="432">
        <f ca="1">IF((OFFSET(Q76,1,0)+OFFSET(Q76,2,0))=0,1,VLOOKUP(IF($E76="",$F76,$E76),$D77:Q82,COLUMNS($D77:Q82),0))</f>
        <v>1</v>
      </c>
      <c r="R76" s="432">
        <f ca="1">IF((OFFSET(R76,1,0)+OFFSET(R76,2,0))=0,1,VLOOKUP(IF($E76="",$F76,$E76),$D77:R82,COLUMNS($D77:R82),0))</f>
        <v>1</v>
      </c>
      <c r="S76" s="432">
        <f ca="1">IF((OFFSET(S76,1,0)+OFFSET(S76,2,0))=0,1,VLOOKUP(IF($E76="",$F76,$E76),$D77:S82,COLUMNS($D77:S82),0))</f>
        <v>1</v>
      </c>
      <c r="T76" s="432">
        <f ca="1">IF((OFFSET(T76,1,0)+OFFSET(T76,2,0))=0,1,VLOOKUP(IF($E76="",$F76,$E76),$D77:T82,COLUMNS($D77:T82),0))</f>
        <v>1</v>
      </c>
      <c r="U76" s="432">
        <f ca="1">IF((OFFSET(U76,1,0)+OFFSET(U76,2,0))=0,1,VLOOKUP(IF($E76="",$F76,$E76),$D77:U82,COLUMNS($D77:U82),0))</f>
        <v>1</v>
      </c>
      <c r="V76" s="433">
        <f ca="1">IF((OFFSET(V76,1,0)+OFFSET(V76,2,0))=0,1,VLOOKUP(IF($E76="",$F76,$E76),$D77:V82,COLUMNS($D77:V82),0))</f>
        <v>1</v>
      </c>
      <c r="W76" s="432">
        <f ca="1">IF((OFFSET(W76,1,0)+OFFSET(W76,2,0))=0,1,VLOOKUP(IF($E76="",$F76,$E76),$D77:W82,COLUMNS($D77:W82),0))</f>
        <v>1</v>
      </c>
      <c r="Y76" s="434" t="str">
        <f>D77</f>
        <v>very low</v>
      </c>
      <c r="Z76" s="434" t="s">
        <v>220</v>
      </c>
      <c r="AA76" s="434" t="str">
        <f>D81</f>
        <v>very high</v>
      </c>
      <c r="AC76" s="263"/>
      <c r="AD76" s="263"/>
      <c r="AE76" s="263"/>
      <c r="AF76" s="263"/>
      <c r="AG76" s="263"/>
      <c r="AH76" s="263"/>
    </row>
    <row r="77" spans="1:34" ht="12.75" hidden="1" customHeight="1" outlineLevel="1">
      <c r="A77" s="435"/>
      <c r="B77" s="469" t="s">
        <v>230</v>
      </c>
      <c r="C77" s="470"/>
      <c r="D77" s="436" t="s">
        <v>218</v>
      </c>
      <c r="E77" s="506"/>
      <c r="F77" s="507"/>
      <c r="H77" s="437"/>
      <c r="I77" s="437"/>
      <c r="J77" s="437"/>
      <c r="K77" s="437"/>
      <c r="L77" s="437"/>
      <c r="M77" s="437"/>
      <c r="N77" s="437">
        <v>0.8</v>
      </c>
      <c r="O77" s="435"/>
      <c r="P77" s="437">
        <v>0.8</v>
      </c>
      <c r="Q77" s="437"/>
      <c r="R77" s="437">
        <v>0.8</v>
      </c>
      <c r="S77" s="437">
        <v>0.8</v>
      </c>
      <c r="T77" s="437"/>
      <c r="U77" s="437"/>
      <c r="V77" s="435"/>
      <c r="W77" s="437"/>
      <c r="Y77" s="454"/>
      <c r="Z77" s="454"/>
      <c r="AA77" s="454"/>
      <c r="AC77" s="263"/>
      <c r="AD77" s="263"/>
      <c r="AE77" s="263"/>
      <c r="AF77" s="263"/>
      <c r="AG77" s="263"/>
      <c r="AH77" s="263"/>
    </row>
    <row r="78" spans="1:34" ht="12.75" hidden="1" customHeight="1" outlineLevel="1">
      <c r="A78" s="435"/>
      <c r="B78" s="469"/>
      <c r="C78" s="470"/>
      <c r="D78" s="438" t="s">
        <v>219</v>
      </c>
      <c r="E78" s="508"/>
      <c r="F78" s="509"/>
      <c r="H78" s="437"/>
      <c r="I78" s="437"/>
      <c r="J78" s="437"/>
      <c r="K78" s="437"/>
      <c r="L78" s="437"/>
      <c r="M78" s="437"/>
      <c r="N78" s="437">
        <v>0.9</v>
      </c>
      <c r="O78" s="435"/>
      <c r="P78" s="437">
        <v>0.9</v>
      </c>
      <c r="Q78" s="437"/>
      <c r="R78" s="437">
        <v>0.9</v>
      </c>
      <c r="S78" s="437">
        <v>0.9</v>
      </c>
      <c r="T78" s="437"/>
      <c r="U78" s="437"/>
      <c r="V78" s="435"/>
      <c r="W78" s="437"/>
      <c r="Y78" s="455"/>
      <c r="Z78" s="455"/>
      <c r="AA78" s="455"/>
      <c r="AC78" s="263"/>
      <c r="AD78" s="263"/>
      <c r="AE78" s="263"/>
      <c r="AF78" s="263"/>
      <c r="AG78" s="263"/>
      <c r="AH78" s="263"/>
    </row>
    <row r="79" spans="1:34" ht="12.75" hidden="1" customHeight="1" outlineLevel="1">
      <c r="A79" s="435"/>
      <c r="B79" s="469"/>
      <c r="C79" s="470"/>
      <c r="D79" s="438" t="s">
        <v>220</v>
      </c>
      <c r="E79" s="508"/>
      <c r="F79" s="509"/>
      <c r="H79" s="437"/>
      <c r="I79" s="437"/>
      <c r="J79" s="437"/>
      <c r="K79" s="437"/>
      <c r="L79" s="437"/>
      <c r="M79" s="437"/>
      <c r="N79" s="437">
        <v>1</v>
      </c>
      <c r="O79" s="435"/>
      <c r="P79" s="437">
        <v>1</v>
      </c>
      <c r="Q79" s="437"/>
      <c r="R79" s="437">
        <v>1</v>
      </c>
      <c r="S79" s="437">
        <v>1</v>
      </c>
      <c r="T79" s="437"/>
      <c r="U79" s="437"/>
      <c r="V79" s="435"/>
      <c r="W79" s="437"/>
      <c r="Y79" s="455"/>
      <c r="Z79" s="455"/>
      <c r="AA79" s="455"/>
      <c r="AC79" s="263"/>
      <c r="AD79" s="263"/>
      <c r="AE79" s="263"/>
      <c r="AF79" s="263"/>
      <c r="AG79" s="263"/>
      <c r="AH79" s="263"/>
    </row>
    <row r="80" spans="1:34" ht="12.75" hidden="1" customHeight="1" outlineLevel="1">
      <c r="A80" s="435"/>
      <c r="B80" s="469"/>
      <c r="C80" s="470"/>
      <c r="D80" s="438" t="s">
        <v>222</v>
      </c>
      <c r="E80" s="508"/>
      <c r="F80" s="509"/>
      <c r="H80" s="437"/>
      <c r="I80" s="437"/>
      <c r="J80" s="437"/>
      <c r="K80" s="437"/>
      <c r="L80" s="437"/>
      <c r="M80" s="437"/>
      <c r="N80" s="437">
        <v>1.1000000000000001</v>
      </c>
      <c r="O80" s="435"/>
      <c r="P80" s="437">
        <v>1.1000000000000001</v>
      </c>
      <c r="Q80" s="437"/>
      <c r="R80" s="437">
        <v>1.1000000000000001</v>
      </c>
      <c r="S80" s="437">
        <v>1.1000000000000001</v>
      </c>
      <c r="T80" s="437"/>
      <c r="U80" s="437"/>
      <c r="V80" s="435"/>
      <c r="W80" s="437"/>
      <c r="Y80" s="455"/>
      <c r="Z80" s="455"/>
      <c r="AA80" s="455"/>
      <c r="AC80" s="263"/>
      <c r="AD80" s="263"/>
      <c r="AE80" s="263"/>
      <c r="AF80" s="263"/>
      <c r="AG80" s="263"/>
      <c r="AH80" s="263"/>
    </row>
    <row r="81" spans="1:34" ht="12.75" hidden="1" customHeight="1" outlineLevel="1">
      <c r="A81" s="435"/>
      <c r="B81" s="469"/>
      <c r="C81" s="470"/>
      <c r="D81" s="439" t="s">
        <v>221</v>
      </c>
      <c r="E81" s="510"/>
      <c r="F81" s="511"/>
      <c r="H81" s="437"/>
      <c r="I81" s="437"/>
      <c r="J81" s="437"/>
      <c r="K81" s="437"/>
      <c r="L81" s="437"/>
      <c r="M81" s="437"/>
      <c r="N81" s="437">
        <v>1.2</v>
      </c>
      <c r="O81" s="435"/>
      <c r="P81" s="437">
        <v>1.2</v>
      </c>
      <c r="Q81" s="437"/>
      <c r="R81" s="437">
        <v>1.2</v>
      </c>
      <c r="S81" s="437">
        <v>1.2</v>
      </c>
      <c r="T81" s="437"/>
      <c r="U81" s="437"/>
      <c r="V81" s="435"/>
      <c r="W81" s="437"/>
      <c r="Y81" s="456"/>
      <c r="Z81" s="456"/>
      <c r="AA81" s="456"/>
      <c r="AC81" s="263"/>
      <c r="AD81" s="263"/>
      <c r="AE81" s="263"/>
      <c r="AF81" s="263"/>
      <c r="AG81" s="263"/>
      <c r="AH81" s="263"/>
    </row>
    <row r="82" spans="1:34" ht="4.5" hidden="1" customHeight="1" outlineLevel="1">
      <c r="A82" s="440"/>
      <c r="B82" s="440"/>
      <c r="C82" s="440"/>
      <c r="D82" s="440"/>
      <c r="E82" s="440"/>
      <c r="F82" s="440"/>
      <c r="G82" s="440"/>
      <c r="H82" s="440"/>
      <c r="I82" s="440"/>
      <c r="J82" s="440"/>
      <c r="K82" s="440"/>
      <c r="L82" s="440"/>
      <c r="M82" s="440"/>
      <c r="N82" s="440"/>
      <c r="O82" s="440"/>
      <c r="P82" s="440"/>
      <c r="Q82" s="440"/>
      <c r="R82" s="440"/>
      <c r="S82" s="440"/>
      <c r="T82" s="440"/>
      <c r="U82" s="440"/>
      <c r="V82" s="440"/>
      <c r="W82" s="440"/>
      <c r="X82" s="440"/>
      <c r="Y82" s="440"/>
      <c r="Z82" s="440"/>
      <c r="AA82" s="440"/>
      <c r="AC82" s="263"/>
      <c r="AD82" s="263"/>
      <c r="AE82" s="263"/>
      <c r="AF82" s="263"/>
      <c r="AG82" s="263"/>
      <c r="AH82" s="263"/>
    </row>
    <row r="83" spans="1:34" ht="26.25" customHeight="1" collapsed="1">
      <c r="A83" s="428">
        <f ca="1">MAX(A$20:OFFSET(A83,-1,0))+1</f>
        <v>10</v>
      </c>
      <c r="B83" s="460" t="s">
        <v>199</v>
      </c>
      <c r="C83" s="461"/>
      <c r="D83" s="462"/>
      <c r="E83" s="429" t="s">
        <v>220</v>
      </c>
      <c r="F83" s="430" t="str">
        <f>HLOOKUP($F$19,Y$19:AA83,ROWS(Y$19:AA83),0)</f>
        <v>average</v>
      </c>
      <c r="G83" s="431"/>
      <c r="H83" s="432">
        <f ca="1">IF((OFFSET(H83,1,0)+OFFSET(H83,2,0))=0,1,VLOOKUP(IF($E83="",$F83,$E83),$D84:H89,COLUMNS($D84:H89),0))</f>
        <v>1</v>
      </c>
      <c r="I83" s="432">
        <f ca="1">IF((OFFSET(I83,1,0)+OFFSET(I83,2,0))=0,1,VLOOKUP(IF($E83="",$F83,$E83),$D84:I89,COLUMNS($D84:I89),0))</f>
        <v>1</v>
      </c>
      <c r="J83" s="432">
        <f ca="1">IF((OFFSET(J83,1,0)+OFFSET(J83,2,0))=0,1,VLOOKUP(IF($E83="",$F83,$E83),$D84:J89,COLUMNS($D84:J89),0))</f>
        <v>1</v>
      </c>
      <c r="K83" s="432">
        <f ca="1">IF((OFFSET(K83,1,0)+OFFSET(K83,2,0))=0,1,VLOOKUP(IF($E83="",$F83,$E83),$D84:K89,COLUMNS($D84:K89),0))</f>
        <v>1</v>
      </c>
      <c r="L83" s="432">
        <f ca="1">IF((OFFSET(L83,1,0)+OFFSET(L83,2,0))=0,1,VLOOKUP(IF($E83="",$F83,$E83),$D84:L89,COLUMNS($D84:L89),0))</f>
        <v>1</v>
      </c>
      <c r="M83" s="432">
        <f ca="1">IF((OFFSET(M83,1,0)+OFFSET(M83,2,0))=0,1,VLOOKUP(IF($E83="",$F83,$E83),$D84:M89,COLUMNS($D84:M89),0))</f>
        <v>1</v>
      </c>
      <c r="N83" s="432">
        <f ca="1">IF((OFFSET(N83,1,0)+OFFSET(N83,2,0))=0,1,VLOOKUP(IF($E83="",$F83,$E83),$D84:N89,COLUMNS($D84:N89),0))</f>
        <v>1</v>
      </c>
      <c r="O83" s="433">
        <f ca="1">IF((OFFSET(O83,1,0)+OFFSET(O83,2,0))=0,1,VLOOKUP(IF($E83="",$F83,$E83),$D84:O89,COLUMNS($D84:O89),0))</f>
        <v>1</v>
      </c>
      <c r="P83" s="432">
        <f ca="1">IF((OFFSET(P83,1,0)+OFFSET(P83,2,0))=0,1,VLOOKUP(IF($E83="",$F83,$E83),$D84:P89,COLUMNS($D84:P89),0))</f>
        <v>1</v>
      </c>
      <c r="Q83" s="432">
        <f ca="1">IF((OFFSET(Q83,1,0)+OFFSET(Q83,2,0))=0,1,VLOOKUP(IF($E83="",$F83,$E83),$D84:Q89,COLUMNS($D84:Q89),0))</f>
        <v>1</v>
      </c>
      <c r="R83" s="432">
        <f ca="1">IF((OFFSET(R83,1,0)+OFFSET(R83,2,0))=0,1,VLOOKUP(IF($E83="",$F83,$E83),$D84:R89,COLUMNS($D84:R89),0))</f>
        <v>1</v>
      </c>
      <c r="S83" s="432">
        <f ca="1">IF((OFFSET(S83,1,0)+OFFSET(S83,2,0))=0,1,VLOOKUP(IF($E83="",$F83,$E83),$D84:S89,COLUMNS($D84:S89),0))</f>
        <v>1</v>
      </c>
      <c r="T83" s="432">
        <f ca="1">IF((OFFSET(T83,1,0)+OFFSET(T83,2,0))=0,1,VLOOKUP(IF($E83="",$F83,$E83),$D84:T89,COLUMNS($D84:T89),0))</f>
        <v>1</v>
      </c>
      <c r="U83" s="432">
        <f ca="1">IF((OFFSET(U83,1,0)+OFFSET(U83,2,0))=0,1,VLOOKUP(IF($E83="",$F83,$E83),$D84:U89,COLUMNS($D84:U89),0))</f>
        <v>1</v>
      </c>
      <c r="V83" s="433">
        <f ca="1">IF((OFFSET(V83,1,0)+OFFSET(V83,2,0))=0,1,VLOOKUP(IF($E83="",$F83,$E83),$D84:V89,COLUMNS($D84:V89),0))</f>
        <v>1</v>
      </c>
      <c r="W83" s="432">
        <f ca="1">IF((OFFSET(W83,1,0)+OFFSET(W83,2,0))=0,1,VLOOKUP(IF($E83="",$F83,$E83),$D84:W89,COLUMNS($D84:W89),0))</f>
        <v>1</v>
      </c>
      <c r="Y83" s="434" t="str">
        <f>D84</f>
        <v>very low</v>
      </c>
      <c r="Z83" s="434" t="s">
        <v>220</v>
      </c>
      <c r="AA83" s="434" t="str">
        <f>D88</f>
        <v>very high</v>
      </c>
      <c r="AC83" s="263"/>
      <c r="AD83" s="263"/>
      <c r="AE83" s="263"/>
      <c r="AF83" s="263"/>
      <c r="AG83" s="263"/>
      <c r="AH83" s="263"/>
    </row>
    <row r="84" spans="1:34" ht="24.75" hidden="1" customHeight="1" outlineLevel="1">
      <c r="A84" s="435"/>
      <c r="B84" s="469" t="s">
        <v>231</v>
      </c>
      <c r="C84" s="470"/>
      <c r="D84" s="436" t="s">
        <v>218</v>
      </c>
      <c r="E84" s="506"/>
      <c r="F84" s="507"/>
      <c r="H84" s="437"/>
      <c r="I84" s="437"/>
      <c r="J84" s="437"/>
      <c r="K84" s="437"/>
      <c r="L84" s="437"/>
      <c r="M84" s="437">
        <v>0.8</v>
      </c>
      <c r="N84" s="437">
        <v>0.7</v>
      </c>
      <c r="O84" s="435"/>
      <c r="P84" s="437">
        <v>0.7</v>
      </c>
      <c r="Q84" s="437"/>
      <c r="R84" s="437">
        <v>0.8</v>
      </c>
      <c r="S84" s="437">
        <v>0.8</v>
      </c>
      <c r="T84" s="437">
        <v>0.8</v>
      </c>
      <c r="U84" s="437"/>
      <c r="V84" s="435"/>
      <c r="W84" s="437"/>
      <c r="Y84" s="454"/>
      <c r="Z84" s="454"/>
      <c r="AA84" s="454"/>
      <c r="AC84" s="263"/>
      <c r="AD84" s="263"/>
      <c r="AE84" s="263"/>
      <c r="AF84" s="263"/>
      <c r="AG84" s="263"/>
      <c r="AH84" s="263"/>
    </row>
    <row r="85" spans="1:34" ht="24.75" hidden="1" customHeight="1" outlineLevel="1">
      <c r="A85" s="435"/>
      <c r="B85" s="469"/>
      <c r="C85" s="470"/>
      <c r="D85" s="438" t="s">
        <v>219</v>
      </c>
      <c r="E85" s="508"/>
      <c r="F85" s="509"/>
      <c r="H85" s="437"/>
      <c r="I85" s="437"/>
      <c r="J85" s="437"/>
      <c r="K85" s="437"/>
      <c r="L85" s="437"/>
      <c r="M85" s="437">
        <v>0.9</v>
      </c>
      <c r="N85" s="437">
        <v>0.85</v>
      </c>
      <c r="O85" s="435"/>
      <c r="P85" s="437">
        <v>0.85</v>
      </c>
      <c r="Q85" s="437"/>
      <c r="R85" s="437">
        <v>0.9</v>
      </c>
      <c r="S85" s="437">
        <v>0.9</v>
      </c>
      <c r="T85" s="437">
        <v>0.9</v>
      </c>
      <c r="U85" s="437"/>
      <c r="V85" s="435"/>
      <c r="W85" s="437"/>
      <c r="Y85" s="455"/>
      <c r="Z85" s="455"/>
      <c r="AA85" s="455"/>
      <c r="AC85" s="263"/>
      <c r="AD85" s="263"/>
      <c r="AE85" s="263"/>
      <c r="AF85" s="263"/>
      <c r="AG85" s="263"/>
      <c r="AH85" s="263"/>
    </row>
    <row r="86" spans="1:34" ht="24.75" hidden="1" customHeight="1" outlineLevel="1">
      <c r="A86" s="435"/>
      <c r="B86" s="469"/>
      <c r="C86" s="470"/>
      <c r="D86" s="438" t="s">
        <v>220</v>
      </c>
      <c r="E86" s="508"/>
      <c r="F86" s="509"/>
      <c r="H86" s="437"/>
      <c r="I86" s="437"/>
      <c r="J86" s="437"/>
      <c r="K86" s="437"/>
      <c r="L86" s="437"/>
      <c r="M86" s="437">
        <v>1</v>
      </c>
      <c r="N86" s="437">
        <v>1</v>
      </c>
      <c r="O86" s="435"/>
      <c r="P86" s="437">
        <v>1</v>
      </c>
      <c r="Q86" s="437"/>
      <c r="R86" s="437">
        <v>1</v>
      </c>
      <c r="S86" s="437">
        <v>1</v>
      </c>
      <c r="T86" s="437">
        <v>1</v>
      </c>
      <c r="U86" s="437"/>
      <c r="V86" s="435"/>
      <c r="W86" s="437"/>
      <c r="Y86" s="455"/>
      <c r="Z86" s="455"/>
      <c r="AA86" s="455"/>
      <c r="AC86" s="263"/>
      <c r="AD86" s="263"/>
      <c r="AE86" s="263"/>
      <c r="AF86" s="263"/>
      <c r="AG86" s="263"/>
      <c r="AH86" s="263"/>
    </row>
    <row r="87" spans="1:34" ht="24.75" hidden="1" customHeight="1" outlineLevel="1">
      <c r="A87" s="435"/>
      <c r="B87" s="469"/>
      <c r="C87" s="470"/>
      <c r="D87" s="438" t="s">
        <v>222</v>
      </c>
      <c r="E87" s="508"/>
      <c r="F87" s="509"/>
      <c r="H87" s="437"/>
      <c r="I87" s="437"/>
      <c r="J87" s="437"/>
      <c r="K87" s="437"/>
      <c r="L87" s="437"/>
      <c r="M87" s="437">
        <v>1.1000000000000001</v>
      </c>
      <c r="N87" s="437">
        <v>1.2</v>
      </c>
      <c r="O87" s="435"/>
      <c r="P87" s="437">
        <v>1.2</v>
      </c>
      <c r="Q87" s="437"/>
      <c r="R87" s="437">
        <v>1.1000000000000001</v>
      </c>
      <c r="S87" s="437">
        <v>1.1000000000000001</v>
      </c>
      <c r="T87" s="437">
        <v>1.1000000000000001</v>
      </c>
      <c r="U87" s="437"/>
      <c r="V87" s="435"/>
      <c r="W87" s="437"/>
      <c r="Y87" s="455"/>
      <c r="Z87" s="455"/>
      <c r="AA87" s="455"/>
      <c r="AC87" s="263"/>
      <c r="AD87" s="263"/>
      <c r="AE87" s="263"/>
      <c r="AF87" s="263"/>
      <c r="AG87" s="263"/>
      <c r="AH87" s="263"/>
    </row>
    <row r="88" spans="1:34" ht="24.75" hidden="1" customHeight="1" outlineLevel="1">
      <c r="A88" s="435"/>
      <c r="B88" s="469"/>
      <c r="C88" s="470"/>
      <c r="D88" s="439" t="s">
        <v>221</v>
      </c>
      <c r="E88" s="510"/>
      <c r="F88" s="511"/>
      <c r="H88" s="437"/>
      <c r="I88" s="437"/>
      <c r="J88" s="437"/>
      <c r="K88" s="437"/>
      <c r="L88" s="437"/>
      <c r="M88" s="437">
        <v>1.3</v>
      </c>
      <c r="N88" s="437">
        <v>1.5</v>
      </c>
      <c r="O88" s="435"/>
      <c r="P88" s="437">
        <v>1.5</v>
      </c>
      <c r="Q88" s="437"/>
      <c r="R88" s="437">
        <v>1.3</v>
      </c>
      <c r="S88" s="437">
        <v>1.3</v>
      </c>
      <c r="T88" s="437">
        <v>1.3</v>
      </c>
      <c r="U88" s="437"/>
      <c r="V88" s="435"/>
      <c r="W88" s="437"/>
      <c r="Y88" s="456"/>
      <c r="Z88" s="456"/>
      <c r="AA88" s="456"/>
      <c r="AC88" s="263"/>
      <c r="AD88" s="263"/>
      <c r="AE88" s="263"/>
      <c r="AF88" s="263"/>
      <c r="AG88" s="263"/>
      <c r="AH88" s="263"/>
    </row>
    <row r="89" spans="1:34" ht="4.5" hidden="1" customHeight="1" outlineLevel="1">
      <c r="A89" s="440"/>
      <c r="B89" s="440"/>
      <c r="C89" s="440"/>
      <c r="D89" s="440"/>
      <c r="E89" s="440"/>
      <c r="F89" s="440"/>
      <c r="G89" s="440"/>
      <c r="H89" s="440"/>
      <c r="I89" s="440"/>
      <c r="J89" s="440"/>
      <c r="K89" s="440"/>
      <c r="L89" s="440"/>
      <c r="M89" s="440"/>
      <c r="N89" s="440"/>
      <c r="O89" s="440"/>
      <c r="P89" s="440"/>
      <c r="Q89" s="440"/>
      <c r="R89" s="440"/>
      <c r="S89" s="440"/>
      <c r="T89" s="440"/>
      <c r="U89" s="440"/>
      <c r="V89" s="440"/>
      <c r="W89" s="440"/>
      <c r="X89" s="440"/>
      <c r="Y89" s="440"/>
      <c r="Z89" s="440"/>
      <c r="AA89" s="440"/>
      <c r="AC89" s="263"/>
      <c r="AD89" s="263"/>
      <c r="AE89" s="263"/>
      <c r="AF89" s="263"/>
      <c r="AG89" s="263"/>
      <c r="AH89" s="263"/>
    </row>
    <row r="90" spans="1:34" ht="18.75" collapsed="1">
      <c r="A90" s="428">
        <f ca="1">MAX(A$20:OFFSET(A90,-1,0))+1</f>
        <v>11</v>
      </c>
      <c r="B90" s="486" t="s">
        <v>200</v>
      </c>
      <c r="C90" s="487"/>
      <c r="D90" s="473"/>
      <c r="E90" s="429" t="s">
        <v>220</v>
      </c>
      <c r="F90" s="430" t="str">
        <f>HLOOKUP($F$19,Y$19:AA90,ROWS(Y$19:AA90),0)</f>
        <v>average</v>
      </c>
      <c r="G90" s="431"/>
      <c r="H90" s="432">
        <f ca="1">IF((OFFSET(H90,1,0)+OFFSET(H90,2,0))=0,1,VLOOKUP(IF($E90="",$F90,$E90),$D91:H96,COLUMNS($D91:H96),0))</f>
        <v>1</v>
      </c>
      <c r="I90" s="432">
        <f ca="1">IF((OFFSET(I90,1,0)+OFFSET(I90,2,0))=0,1,VLOOKUP(IF($E90="",$F90,$E90),$D91:I96,COLUMNS($D91:I96),0))</f>
        <v>1</v>
      </c>
      <c r="J90" s="432">
        <f ca="1">IF((OFFSET(J90,1,0)+OFFSET(J90,2,0))=0,1,VLOOKUP(IF($E90="",$F90,$E90),$D91:J96,COLUMNS($D91:J96),0))</f>
        <v>1</v>
      </c>
      <c r="K90" s="432">
        <f ca="1">IF((OFFSET(K90,1,0)+OFFSET(K90,2,0))=0,1,VLOOKUP(IF($E90="",$F90,$E90),$D91:K96,COLUMNS($D91:K96),0))</f>
        <v>1</v>
      </c>
      <c r="L90" s="432">
        <f ca="1">IF((OFFSET(L90,1,0)+OFFSET(L90,2,0))=0,1,VLOOKUP(IF($E90="",$F90,$E90),$D91:L96,COLUMNS($D91:L96),0))</f>
        <v>1</v>
      </c>
      <c r="M90" s="432">
        <f ca="1">IF((OFFSET(M90,1,0)+OFFSET(M90,2,0))=0,1,VLOOKUP(IF($E90="",$F90,$E90),$D91:M96,COLUMNS($D91:M96),0))</f>
        <v>1</v>
      </c>
      <c r="N90" s="432">
        <f ca="1">IF((OFFSET(N90,1,0)+OFFSET(N90,2,0))=0,1,VLOOKUP(IF($E90="",$F90,$E90),$D91:N96,COLUMNS($D91:N96),0))</f>
        <v>1</v>
      </c>
      <c r="O90" s="433">
        <f ca="1">IF((OFFSET(O90,1,0)+OFFSET(O90,2,0))=0,1,VLOOKUP(IF($E90="",$F90,$E90),$D91:O96,COLUMNS($D91:O96),0))</f>
        <v>1</v>
      </c>
      <c r="P90" s="432">
        <f ca="1">IF((OFFSET(P90,1,0)+OFFSET(P90,2,0))=0,1,VLOOKUP(IF($E90="",$F90,$E90),$D91:P96,COLUMNS($D91:P96),0))</f>
        <v>1</v>
      </c>
      <c r="Q90" s="432">
        <f ca="1">IF((OFFSET(Q90,1,0)+OFFSET(Q90,2,0))=0,1,VLOOKUP(IF($E90="",$F90,$E90),$D91:Q96,COLUMNS($D91:Q96),0))</f>
        <v>1</v>
      </c>
      <c r="R90" s="432">
        <f ca="1">IF((OFFSET(R90,1,0)+OFFSET(R90,2,0))=0,1,VLOOKUP(IF($E90="",$F90,$E90),$D91:R96,COLUMNS($D91:R96),0))</f>
        <v>1</v>
      </c>
      <c r="S90" s="432">
        <f ca="1">IF((OFFSET(S90,1,0)+OFFSET(S90,2,0))=0,1,VLOOKUP(IF($E90="",$F90,$E90),$D91:S96,COLUMNS($D91:S96),0))</f>
        <v>1</v>
      </c>
      <c r="T90" s="432">
        <f ca="1">IF((OFFSET(T90,1,0)+OFFSET(T90,2,0))=0,1,VLOOKUP(IF($E90="",$F90,$E90),$D91:T96,COLUMNS($D91:T96),0))</f>
        <v>1</v>
      </c>
      <c r="U90" s="432">
        <f ca="1">IF((OFFSET(U90,1,0)+OFFSET(U90,2,0))=0,1,VLOOKUP(IF($E90="",$F90,$E90),$D91:U96,COLUMNS($D91:U96),0))</f>
        <v>1</v>
      </c>
      <c r="V90" s="433">
        <f ca="1">IF((OFFSET(V90,1,0)+OFFSET(V90,2,0))=0,1,VLOOKUP(IF($E90="",$F90,$E90),$D91:V96,COLUMNS($D91:V96),0))</f>
        <v>1</v>
      </c>
      <c r="W90" s="432">
        <f ca="1">IF((OFFSET(W90,1,0)+OFFSET(W90,2,0))=0,1,VLOOKUP(IF($E90="",$F90,$E90),$D91:W96,COLUMNS($D91:W96),0))</f>
        <v>1</v>
      </c>
      <c r="Y90" s="434" t="str">
        <f>D91</f>
        <v>very low</v>
      </c>
      <c r="Z90" s="434" t="s">
        <v>220</v>
      </c>
      <c r="AA90" s="434" t="str">
        <f>D95</f>
        <v>very high</v>
      </c>
      <c r="AC90" s="263"/>
      <c r="AD90" s="263"/>
      <c r="AE90" s="263"/>
      <c r="AF90" s="263"/>
      <c r="AG90" s="263"/>
      <c r="AH90" s="263"/>
    </row>
    <row r="91" spans="1:34" ht="20.25" hidden="1" customHeight="1" outlineLevel="1">
      <c r="A91" s="435"/>
      <c r="B91" s="469" t="s">
        <v>232</v>
      </c>
      <c r="C91" s="470"/>
      <c r="D91" s="436" t="s">
        <v>218</v>
      </c>
      <c r="E91" s="506"/>
      <c r="F91" s="507"/>
      <c r="H91" s="437"/>
      <c r="I91" s="437"/>
      <c r="J91" s="437"/>
      <c r="K91" s="437"/>
      <c r="L91" s="437"/>
      <c r="M91" s="437"/>
      <c r="N91" s="437"/>
      <c r="O91" s="435"/>
      <c r="P91" s="437"/>
      <c r="Q91" s="437"/>
      <c r="R91" s="437"/>
      <c r="S91" s="437"/>
      <c r="T91" s="437"/>
      <c r="U91" s="437">
        <v>0.4</v>
      </c>
      <c r="V91" s="435"/>
      <c r="W91" s="437"/>
      <c r="Y91" s="454"/>
      <c r="Z91" s="454"/>
      <c r="AA91" s="454"/>
      <c r="AC91" s="263"/>
      <c r="AD91" s="263"/>
      <c r="AE91" s="263"/>
      <c r="AF91" s="263"/>
      <c r="AG91" s="263"/>
      <c r="AH91" s="263"/>
    </row>
    <row r="92" spans="1:34" ht="20.25" hidden="1" customHeight="1" outlineLevel="1">
      <c r="A92" s="435"/>
      <c r="B92" s="469"/>
      <c r="C92" s="470"/>
      <c r="D92" s="438" t="s">
        <v>219</v>
      </c>
      <c r="E92" s="508"/>
      <c r="F92" s="509"/>
      <c r="H92" s="437"/>
      <c r="I92" s="437"/>
      <c r="J92" s="437"/>
      <c r="K92" s="437"/>
      <c r="L92" s="437"/>
      <c r="M92" s="437"/>
      <c r="N92" s="437"/>
      <c r="O92" s="435"/>
      <c r="P92" s="437"/>
      <c r="Q92" s="437"/>
      <c r="R92" s="437"/>
      <c r="S92" s="437"/>
      <c r="T92" s="437"/>
      <c r="U92" s="437">
        <v>0.7</v>
      </c>
      <c r="V92" s="435"/>
      <c r="W92" s="437"/>
      <c r="Y92" s="455"/>
      <c r="Z92" s="455"/>
      <c r="AA92" s="455"/>
      <c r="AC92" s="263"/>
      <c r="AD92" s="263"/>
      <c r="AE92" s="263"/>
      <c r="AF92" s="263"/>
      <c r="AG92" s="263"/>
      <c r="AH92" s="263"/>
    </row>
    <row r="93" spans="1:34" ht="20.25" hidden="1" customHeight="1" outlineLevel="1">
      <c r="A93" s="435"/>
      <c r="B93" s="469"/>
      <c r="C93" s="470"/>
      <c r="D93" s="438" t="s">
        <v>220</v>
      </c>
      <c r="E93" s="508"/>
      <c r="F93" s="509"/>
      <c r="H93" s="437"/>
      <c r="I93" s="437"/>
      <c r="J93" s="437"/>
      <c r="K93" s="437"/>
      <c r="L93" s="437"/>
      <c r="M93" s="437"/>
      <c r="N93" s="437"/>
      <c r="O93" s="435"/>
      <c r="P93" s="437"/>
      <c r="Q93" s="437"/>
      <c r="R93" s="437"/>
      <c r="S93" s="437"/>
      <c r="T93" s="437"/>
      <c r="U93" s="437">
        <v>1</v>
      </c>
      <c r="V93" s="435"/>
      <c r="W93" s="437"/>
      <c r="Y93" s="455"/>
      <c r="Z93" s="455"/>
      <c r="AA93" s="455"/>
      <c r="AC93" s="263"/>
      <c r="AD93" s="263"/>
      <c r="AE93" s="263"/>
      <c r="AF93" s="263"/>
      <c r="AG93" s="263"/>
      <c r="AH93" s="263"/>
    </row>
    <row r="94" spans="1:34" ht="20.25" hidden="1" customHeight="1" outlineLevel="1">
      <c r="A94" s="435"/>
      <c r="B94" s="469"/>
      <c r="C94" s="470"/>
      <c r="D94" s="438" t="s">
        <v>222</v>
      </c>
      <c r="E94" s="508"/>
      <c r="F94" s="509"/>
      <c r="H94" s="437"/>
      <c r="I94" s="437"/>
      <c r="J94" s="437"/>
      <c r="K94" s="437"/>
      <c r="L94" s="437"/>
      <c r="M94" s="437"/>
      <c r="N94" s="437"/>
      <c r="O94" s="435"/>
      <c r="P94" s="437"/>
      <c r="Q94" s="437"/>
      <c r="R94" s="437"/>
      <c r="S94" s="437"/>
      <c r="T94" s="437"/>
      <c r="U94" s="437">
        <v>1.7</v>
      </c>
      <c r="V94" s="435"/>
      <c r="W94" s="437"/>
      <c r="Y94" s="455"/>
      <c r="Z94" s="455"/>
      <c r="AA94" s="455"/>
      <c r="AC94" s="263"/>
      <c r="AD94" s="263"/>
      <c r="AE94" s="263"/>
      <c r="AF94" s="263"/>
      <c r="AG94" s="263"/>
      <c r="AH94" s="263"/>
    </row>
    <row r="95" spans="1:34" ht="20.25" hidden="1" customHeight="1" outlineLevel="1">
      <c r="A95" s="435"/>
      <c r="B95" s="469"/>
      <c r="C95" s="470"/>
      <c r="D95" s="439" t="s">
        <v>221</v>
      </c>
      <c r="E95" s="510"/>
      <c r="F95" s="511"/>
      <c r="H95" s="437"/>
      <c r="I95" s="437"/>
      <c r="J95" s="437"/>
      <c r="K95" s="437"/>
      <c r="L95" s="437"/>
      <c r="M95" s="437"/>
      <c r="N95" s="437"/>
      <c r="O95" s="435"/>
      <c r="P95" s="437"/>
      <c r="Q95" s="437"/>
      <c r="R95" s="437"/>
      <c r="S95" s="437"/>
      <c r="T95" s="437"/>
      <c r="U95" s="437">
        <v>2.5</v>
      </c>
      <c r="V95" s="435"/>
      <c r="W95" s="437"/>
      <c r="Y95" s="456"/>
      <c r="Z95" s="456"/>
      <c r="AA95" s="456"/>
      <c r="AC95" s="263"/>
      <c r="AD95" s="263"/>
      <c r="AE95" s="263"/>
      <c r="AF95" s="263"/>
      <c r="AG95" s="263"/>
      <c r="AH95" s="263"/>
    </row>
    <row r="96" spans="1:34" ht="4.5" hidden="1" customHeight="1" outlineLevel="1">
      <c r="A96" s="440"/>
      <c r="B96" s="440"/>
      <c r="C96" s="440"/>
      <c r="D96" s="440"/>
      <c r="E96" s="440"/>
      <c r="F96" s="440"/>
      <c r="G96" s="440"/>
      <c r="H96" s="440"/>
      <c r="I96" s="440"/>
      <c r="J96" s="440"/>
      <c r="K96" s="440"/>
      <c r="L96" s="440"/>
      <c r="M96" s="440"/>
      <c r="N96" s="440"/>
      <c r="O96" s="440"/>
      <c r="P96" s="440"/>
      <c r="Q96" s="440"/>
      <c r="R96" s="440"/>
      <c r="S96" s="440"/>
      <c r="T96" s="440"/>
      <c r="U96" s="440"/>
      <c r="V96" s="440"/>
      <c r="W96" s="440"/>
      <c r="X96" s="440"/>
      <c r="Y96" s="440"/>
      <c r="Z96" s="440"/>
      <c r="AA96" s="440"/>
      <c r="AC96" s="263"/>
      <c r="AD96" s="263"/>
      <c r="AE96" s="263"/>
      <c r="AF96" s="263"/>
      <c r="AG96" s="263"/>
      <c r="AH96" s="263"/>
    </row>
    <row r="97" spans="1:34" ht="21" customHeight="1" collapsed="1">
      <c r="A97" s="428">
        <f ca="1">MAX(A$20:OFFSET(A97,-1,0))+1</f>
        <v>12</v>
      </c>
      <c r="B97" s="488" t="s">
        <v>201</v>
      </c>
      <c r="C97" s="489"/>
      <c r="D97" s="490"/>
      <c r="E97" s="429" t="s">
        <v>72</v>
      </c>
      <c r="F97" s="430" t="str">
        <f>HLOOKUP($F$19,Y$19:AA97,ROWS(Y$19:AA97),0)</f>
        <v>Cycle V</v>
      </c>
      <c r="G97" s="431"/>
      <c r="H97" s="432">
        <f ca="1">IF((OFFSET(H97,1,0)+OFFSET(H97,2,0))=0,1,VLOOKUP(IF($E97="",$F97,$E97),$D98:H101,COLUMNS($D98:H101),0))</f>
        <v>1</v>
      </c>
      <c r="I97" s="432">
        <f ca="1">IF((OFFSET(I97,1,0)+OFFSET(I97,2,0))=0,1,VLOOKUP(IF($E97="",$F97,$E97),$D98:I101,COLUMNS($D98:I101),0))</f>
        <v>1</v>
      </c>
      <c r="J97" s="432">
        <f ca="1">IF((OFFSET(J97,1,0)+OFFSET(J97,2,0))=0,1,VLOOKUP(IF($E97="",$F97,$E97),$D98:J101,COLUMNS($D98:J101),0))</f>
        <v>1</v>
      </c>
      <c r="K97" s="432">
        <f ca="1">IF((OFFSET(K97,1,0)+OFFSET(K97,2,0))=0,1,VLOOKUP(IF($E97="",$F97,$E97),$D98:K101,COLUMNS($D98:K101),0))</f>
        <v>1</v>
      </c>
      <c r="L97" s="432">
        <f ca="1">IF((OFFSET(L97,1,0)+OFFSET(L97,2,0))=0,1,VLOOKUP(IF($E97="",$F97,$E97),$D98:L101,COLUMNS($D98:L101),0))</f>
        <v>1</v>
      </c>
      <c r="M97" s="432">
        <f ca="1">IF((OFFSET(M97,1,0)+OFFSET(M97,2,0))=0,1,VLOOKUP(IF($E97="",$F97,$E97),$D98:M101,COLUMNS($D98:M101),0))</f>
        <v>1</v>
      </c>
      <c r="N97" s="432">
        <f ca="1">IF((OFFSET(N97,1,0)+OFFSET(N97,2,0))=0,1,VLOOKUP(IF($E97="",$F97,$E97),$D98:N101,COLUMNS($D98:N101),0))</f>
        <v>1</v>
      </c>
      <c r="O97" s="433">
        <f ca="1">IF((OFFSET(O97,1,0)+OFFSET(O97,2,0))=0,1,VLOOKUP(IF($E97="",$F97,$E97),$D98:O101,COLUMNS($D98:O101),0))</f>
        <v>1</v>
      </c>
      <c r="P97" s="432">
        <f ca="1">IF((OFFSET(P97,1,0)+OFFSET(P97,2,0))=0,1,VLOOKUP(IF($E97="",$F97,$E97),$D98:P101,COLUMNS($D98:P101),0))</f>
        <v>1</v>
      </c>
      <c r="Q97" s="432">
        <f ca="1">IF((OFFSET(Q97,1,0)+OFFSET(Q97,2,0))=0,1,VLOOKUP(IF($E97="",$F97,$E97),$D98:Q101,COLUMNS($D98:Q101),0))</f>
        <v>1</v>
      </c>
      <c r="R97" s="432">
        <f ca="1">IF((OFFSET(R97,1,0)+OFFSET(R97,2,0))=0,1,VLOOKUP(IF($E97="",$F97,$E97),$D98:R101,COLUMNS($D98:R101),0))</f>
        <v>1</v>
      </c>
      <c r="S97" s="432">
        <f ca="1">IF((OFFSET(S97,1,0)+OFFSET(S97,2,0))=0,1,VLOOKUP(IF($E97="",$F97,$E97),$D98:S101,COLUMNS($D98:S101),0))</f>
        <v>1</v>
      </c>
      <c r="T97" s="432">
        <f ca="1">IF((OFFSET(T97,1,0)+OFFSET(T97,2,0))=0,1,VLOOKUP(IF($E97="",$F97,$E97),$D98:T101,COLUMNS($D98:T101),0))</f>
        <v>1</v>
      </c>
      <c r="U97" s="432">
        <f ca="1">IF((OFFSET(U97,1,0)+OFFSET(U97,2,0))=0,1,VLOOKUP(IF($E97="",$F97,$E97),$D98:U101,COLUMNS($D98:U101),0))</f>
        <v>1</v>
      </c>
      <c r="V97" s="433">
        <f ca="1">IF((OFFSET(V97,1,0)+OFFSET(V97,2,0))=0,1,VLOOKUP(IF($E97="",$F97,$E97),$D98:V101,COLUMNS($D98:V101),0))</f>
        <v>1</v>
      </c>
      <c r="W97" s="432">
        <f ca="1">IF((OFFSET(W97,1,0)+OFFSET(W97,2,0))=0,1,VLOOKUP(IF($E97="",$F97,$E97),$D98:W101,COLUMNS($D98:W101),0))</f>
        <v>1</v>
      </c>
      <c r="Y97" s="434" t="str">
        <f>D98</f>
        <v>Cycle Y</v>
      </c>
      <c r="Z97" s="434" t="s">
        <v>71</v>
      </c>
      <c r="AA97" s="434" t="str">
        <f>D99</f>
        <v>Cycle V</v>
      </c>
      <c r="AC97" s="263"/>
      <c r="AD97" s="263"/>
      <c r="AE97" s="263"/>
      <c r="AF97" s="263"/>
      <c r="AG97" s="263"/>
      <c r="AH97" s="263"/>
    </row>
    <row r="98" spans="1:34" ht="36.75" hidden="1" customHeight="1" outlineLevel="1">
      <c r="A98" s="435"/>
      <c r="B98" s="469" t="s">
        <v>233</v>
      </c>
      <c r="C98" s="470"/>
      <c r="D98" s="436" t="s">
        <v>70</v>
      </c>
      <c r="E98" s="506" t="s">
        <v>172</v>
      </c>
      <c r="F98" s="507"/>
      <c r="H98" s="437"/>
      <c r="I98" s="437"/>
      <c r="J98" s="437"/>
      <c r="K98" s="437"/>
      <c r="L98" s="437"/>
      <c r="M98" s="437"/>
      <c r="N98" s="437"/>
      <c r="O98" s="435"/>
      <c r="P98" s="437"/>
      <c r="Q98" s="437"/>
      <c r="R98" s="437"/>
      <c r="S98" s="437"/>
      <c r="T98" s="437"/>
      <c r="U98" s="437"/>
      <c r="V98" s="435"/>
      <c r="W98" s="437"/>
      <c r="Y98" s="454"/>
      <c r="Z98" s="454"/>
      <c r="AA98" s="454"/>
      <c r="AC98" s="263"/>
      <c r="AD98" s="263"/>
      <c r="AE98" s="263"/>
      <c r="AF98" s="263"/>
      <c r="AG98" s="263"/>
      <c r="AH98" s="263"/>
    </row>
    <row r="99" spans="1:34" ht="36.75" hidden="1" customHeight="1" outlineLevel="1">
      <c r="A99" s="435"/>
      <c r="B99" s="469"/>
      <c r="C99" s="470"/>
      <c r="D99" s="438" t="s">
        <v>71</v>
      </c>
      <c r="E99" s="508"/>
      <c r="F99" s="509"/>
      <c r="H99" s="437"/>
      <c r="I99" s="437"/>
      <c r="J99" s="437"/>
      <c r="K99" s="437"/>
      <c r="L99" s="437"/>
      <c r="M99" s="437"/>
      <c r="N99" s="437"/>
      <c r="O99" s="435"/>
      <c r="P99" s="437"/>
      <c r="Q99" s="437"/>
      <c r="R99" s="437"/>
      <c r="S99" s="437"/>
      <c r="T99" s="437"/>
      <c r="U99" s="437"/>
      <c r="V99" s="435"/>
      <c r="W99" s="437"/>
      <c r="Y99" s="455"/>
      <c r="Z99" s="455"/>
      <c r="AA99" s="455"/>
      <c r="AC99" s="263"/>
      <c r="AD99" s="263"/>
      <c r="AE99" s="263"/>
      <c r="AF99" s="263"/>
      <c r="AG99" s="263"/>
      <c r="AH99" s="263"/>
    </row>
    <row r="100" spans="1:34" ht="36.75" hidden="1" customHeight="1" outlineLevel="1">
      <c r="A100" s="435"/>
      <c r="B100" s="469"/>
      <c r="C100" s="470"/>
      <c r="D100" s="439" t="s">
        <v>72</v>
      </c>
      <c r="E100" s="510"/>
      <c r="F100" s="511"/>
      <c r="H100" s="437"/>
      <c r="I100" s="437"/>
      <c r="J100" s="437"/>
      <c r="K100" s="437"/>
      <c r="L100" s="437"/>
      <c r="M100" s="437"/>
      <c r="N100" s="437"/>
      <c r="O100" s="435"/>
      <c r="P100" s="437"/>
      <c r="Q100" s="437"/>
      <c r="R100" s="437"/>
      <c r="S100" s="437"/>
      <c r="T100" s="437"/>
      <c r="U100" s="437"/>
      <c r="V100" s="435"/>
      <c r="W100" s="437"/>
      <c r="Y100" s="456"/>
      <c r="Z100" s="456"/>
      <c r="AA100" s="456"/>
      <c r="AC100" s="263"/>
      <c r="AD100" s="263"/>
      <c r="AE100" s="263"/>
      <c r="AF100" s="263"/>
      <c r="AG100" s="263"/>
      <c r="AH100" s="263"/>
    </row>
    <row r="101" spans="1:34" ht="4.5" hidden="1" customHeight="1" outlineLevel="1">
      <c r="A101" s="440"/>
      <c r="B101" s="440"/>
      <c r="C101" s="440"/>
      <c r="D101" s="440"/>
      <c r="E101" s="440"/>
      <c r="F101" s="440"/>
      <c r="G101" s="440"/>
      <c r="H101" s="440"/>
      <c r="I101" s="440"/>
      <c r="J101" s="440"/>
      <c r="K101" s="440"/>
      <c r="L101" s="440"/>
      <c r="M101" s="440"/>
      <c r="N101" s="440"/>
      <c r="O101" s="440"/>
      <c r="P101" s="440"/>
      <c r="Q101" s="440"/>
      <c r="R101" s="440"/>
      <c r="S101" s="440"/>
      <c r="T101" s="440"/>
      <c r="U101" s="440"/>
      <c r="V101" s="440"/>
      <c r="W101" s="440"/>
      <c r="X101" s="440"/>
      <c r="Y101" s="440"/>
      <c r="Z101" s="440"/>
      <c r="AA101" s="440"/>
      <c r="AC101" s="263"/>
      <c r="AD101" s="263"/>
      <c r="AE101" s="263"/>
      <c r="AF101" s="263"/>
      <c r="AG101" s="263"/>
      <c r="AH101" s="263"/>
    </row>
    <row r="102" spans="1:34" ht="21" customHeight="1" collapsed="1">
      <c r="A102" s="428">
        <f ca="1">MAX(A$20:OFFSET(A102,-1,0))+1</f>
        <v>13</v>
      </c>
      <c r="B102" s="517" t="s">
        <v>202</v>
      </c>
      <c r="C102" s="518"/>
      <c r="D102" s="519"/>
      <c r="E102" s="429" t="s">
        <v>64</v>
      </c>
      <c r="F102" s="430" t="str">
        <f>HLOOKUP($F$19,Y$19:AA102,ROWS(Y$19:AA102),0)</f>
        <v>undefine</v>
      </c>
      <c r="G102" s="431"/>
      <c r="H102" s="432">
        <f ca="1">IF((OFFSET(H102,1,0)+OFFSET(H102,2,0))=0,1,VLOOKUP(IF($E102="",$F102,$E102),$D103:H109,COLUMNS($D103:H109),0))</f>
        <v>1</v>
      </c>
      <c r="I102" s="432">
        <f ca="1">IF((OFFSET(I102,1,0)+OFFSET(I102,2,0))=0,1,VLOOKUP(IF($E102="",$F102,$E102),$D103:I109,COLUMNS($D103:I109),0))</f>
        <v>1</v>
      </c>
      <c r="J102" s="432">
        <f ca="1">IF((OFFSET(J102,1,0)+OFFSET(J102,2,0))=0,1,VLOOKUP(IF($E102="",$F102,$E102),$D103:J109,COLUMNS($D103:J109),0))</f>
        <v>1</v>
      </c>
      <c r="K102" s="432">
        <f ca="1">IF((OFFSET(K102,1,0)+OFFSET(K102,2,0))=0,1,VLOOKUP(IF($E102="",$F102,$E102),$D103:K109,COLUMNS($D103:K109),0))</f>
        <v>1</v>
      </c>
      <c r="L102" s="432">
        <f ca="1">IF((OFFSET(L102,1,0)+OFFSET(L102,2,0))=0,1,VLOOKUP(IF($E102="",$F102,$E102),$D103:L109,COLUMNS($D103:L109),0))</f>
        <v>1</v>
      </c>
      <c r="M102" s="432">
        <f ca="1">IF((OFFSET(M102,1,0)+OFFSET(M102,2,0))=0,1,VLOOKUP(IF($E102="",$F102,$E102),$D103:M109,COLUMNS($D103:M109),0))</f>
        <v>1</v>
      </c>
      <c r="N102" s="432">
        <f ca="1">IF((OFFSET(N102,1,0)+OFFSET(N102,2,0))=0,1,VLOOKUP(IF($E102="",$F102,$E102),$D103:N109,COLUMNS($D103:N109),0))</f>
        <v>1</v>
      </c>
      <c r="O102" s="433">
        <f ca="1">IF((OFFSET(O102,1,0)+OFFSET(O102,2,0))=0,1,VLOOKUP(IF($E102="",$F102,$E102),$D103:O109,COLUMNS($D103:O109),0))</f>
        <v>1</v>
      </c>
      <c r="P102" s="432">
        <f ca="1">IF((OFFSET(P102,1,0)+OFFSET(P102,2,0))=0,1,VLOOKUP(IF($E102="",$F102,$E102),$D103:P109,COLUMNS($D103:P109),0))</f>
        <v>1</v>
      </c>
      <c r="Q102" s="432">
        <f ca="1">IF((OFFSET(Q102,1,0)+OFFSET(Q102,2,0))=0,1,VLOOKUP(IF($E102="",$F102,$E102),$D103:Q109,COLUMNS($D103:Q109),0))</f>
        <v>1</v>
      </c>
      <c r="R102" s="432">
        <f ca="1">IF((OFFSET(R102,1,0)+OFFSET(R102,2,0))=0,1,VLOOKUP(IF($E102="",$F102,$E102),$D103:R109,COLUMNS($D103:R109),0))</f>
        <v>1</v>
      </c>
      <c r="S102" s="432">
        <f ca="1">IF((OFFSET(S102,1,0)+OFFSET(S102,2,0))=0,1,VLOOKUP(IF($E102="",$F102,$E102),$D103:S109,COLUMNS($D103:S109),0))</f>
        <v>1</v>
      </c>
      <c r="T102" s="432">
        <f ca="1">IF((OFFSET(T102,1,0)+OFFSET(T102,2,0))=0,1,VLOOKUP(IF($E102="",$F102,$E102),$D103:T109,COLUMNS($D103:T109),0))</f>
        <v>1</v>
      </c>
      <c r="U102" s="432">
        <f ca="1">IF((OFFSET(U102,1,0)+OFFSET(U102,2,0))=0,1,VLOOKUP(IF($E102="",$F102,$E102),$D103:U109,COLUMNS($D103:U109),0))</f>
        <v>1</v>
      </c>
      <c r="V102" s="433">
        <f ca="1">IF((OFFSET(V102,1,0)+OFFSET(V102,2,0))=0,1,VLOOKUP(IF($E102="",$F102,$E102),$D103:V109,COLUMNS($D103:V109),0))</f>
        <v>1</v>
      </c>
      <c r="W102" s="432">
        <f ca="1">IF((OFFSET(W102,1,0)+OFFSET(W102,2,0))=0,1,VLOOKUP(IF($E102="",$F102,$E102),$D103:W109,COLUMNS($D103:W109),0))</f>
        <v>1</v>
      </c>
      <c r="Y102" s="434" t="str">
        <f>D103</f>
        <v>undefine</v>
      </c>
      <c r="Z102" s="434" t="s">
        <v>234</v>
      </c>
      <c r="AA102" s="434" t="str">
        <f>D103</f>
        <v>undefine</v>
      </c>
      <c r="AC102" s="263"/>
      <c r="AD102" s="263"/>
      <c r="AE102" s="263"/>
      <c r="AF102" s="263"/>
      <c r="AG102" s="263"/>
      <c r="AH102" s="263"/>
    </row>
    <row r="103" spans="1:34" ht="15" hidden="1" customHeight="1" outlineLevel="1">
      <c r="A103" s="435"/>
      <c r="B103" s="469" t="s">
        <v>171</v>
      </c>
      <c r="C103" s="470"/>
      <c r="D103" s="436" t="s">
        <v>234</v>
      </c>
      <c r="E103" s="506" t="s">
        <v>173</v>
      </c>
      <c r="F103" s="507"/>
      <c r="H103" s="437"/>
      <c r="I103" s="437"/>
      <c r="J103" s="437"/>
      <c r="K103" s="437"/>
      <c r="L103" s="437"/>
      <c r="M103" s="437"/>
      <c r="N103" s="437"/>
      <c r="O103" s="435"/>
      <c r="P103" s="437"/>
      <c r="Q103" s="437"/>
      <c r="R103" s="437"/>
      <c r="S103" s="437"/>
      <c r="T103" s="437"/>
      <c r="U103" s="437"/>
      <c r="V103" s="435"/>
      <c r="W103" s="437"/>
      <c r="Y103" s="454"/>
      <c r="Z103" s="454"/>
      <c r="AA103" s="454"/>
      <c r="AC103" s="263"/>
      <c r="AD103" s="263"/>
      <c r="AE103" s="263"/>
      <c r="AF103" s="263"/>
      <c r="AG103" s="263"/>
      <c r="AH103" s="263"/>
    </row>
    <row r="104" spans="1:34" ht="12.75" hidden="1" customHeight="1" outlineLevel="1">
      <c r="A104" s="435"/>
      <c r="B104" s="469"/>
      <c r="C104" s="470"/>
      <c r="D104" s="436" t="s">
        <v>60</v>
      </c>
      <c r="E104" s="508"/>
      <c r="F104" s="509"/>
      <c r="H104" s="437"/>
      <c r="I104" s="437"/>
      <c r="J104" s="437"/>
      <c r="K104" s="437"/>
      <c r="L104" s="437"/>
      <c r="M104" s="437"/>
      <c r="N104" s="437"/>
      <c r="O104" s="435"/>
      <c r="P104" s="437"/>
      <c r="Q104" s="437"/>
      <c r="R104" s="437"/>
      <c r="S104" s="437"/>
      <c r="T104" s="437"/>
      <c r="U104" s="437"/>
      <c r="V104" s="435"/>
      <c r="W104" s="437"/>
      <c r="Y104" s="455"/>
      <c r="Z104" s="455"/>
      <c r="AA104" s="455"/>
      <c r="AC104" s="263"/>
      <c r="AD104" s="263"/>
      <c r="AE104" s="263"/>
      <c r="AF104" s="263"/>
      <c r="AG104" s="263"/>
      <c r="AH104" s="263"/>
    </row>
    <row r="105" spans="1:34" ht="12.75" hidden="1" customHeight="1" outlineLevel="1">
      <c r="A105" s="435"/>
      <c r="B105" s="469"/>
      <c r="C105" s="470"/>
      <c r="D105" s="438" t="s">
        <v>61</v>
      </c>
      <c r="E105" s="508"/>
      <c r="F105" s="509"/>
      <c r="H105" s="437"/>
      <c r="I105" s="437"/>
      <c r="J105" s="437"/>
      <c r="K105" s="437"/>
      <c r="L105" s="437"/>
      <c r="M105" s="437"/>
      <c r="N105" s="437"/>
      <c r="O105" s="435"/>
      <c r="P105" s="437"/>
      <c r="Q105" s="437"/>
      <c r="R105" s="437"/>
      <c r="S105" s="437"/>
      <c r="T105" s="437"/>
      <c r="U105" s="437"/>
      <c r="V105" s="435"/>
      <c r="W105" s="437"/>
      <c r="Y105" s="455"/>
      <c r="Z105" s="455"/>
      <c r="AA105" s="455"/>
      <c r="AC105" s="263"/>
      <c r="AD105" s="263"/>
      <c r="AE105" s="263"/>
      <c r="AF105" s="263"/>
      <c r="AG105" s="263"/>
      <c r="AH105" s="263"/>
    </row>
    <row r="106" spans="1:34" ht="12.75" hidden="1" customHeight="1" outlineLevel="1">
      <c r="A106" s="435"/>
      <c r="B106" s="469"/>
      <c r="C106" s="470"/>
      <c r="D106" s="438" t="s">
        <v>62</v>
      </c>
      <c r="E106" s="508"/>
      <c r="F106" s="509"/>
      <c r="H106" s="437"/>
      <c r="I106" s="437"/>
      <c r="J106" s="437"/>
      <c r="K106" s="437"/>
      <c r="L106" s="437"/>
      <c r="M106" s="437"/>
      <c r="N106" s="437"/>
      <c r="O106" s="435"/>
      <c r="P106" s="437"/>
      <c r="Q106" s="437"/>
      <c r="R106" s="437"/>
      <c r="S106" s="437"/>
      <c r="T106" s="437"/>
      <c r="U106" s="437"/>
      <c r="V106" s="435"/>
      <c r="W106" s="437"/>
      <c r="Y106" s="455"/>
      <c r="Z106" s="455"/>
      <c r="AA106" s="455"/>
      <c r="AC106" s="263"/>
      <c r="AD106" s="263"/>
      <c r="AE106" s="263"/>
      <c r="AF106" s="263"/>
      <c r="AG106" s="263"/>
      <c r="AH106" s="263"/>
    </row>
    <row r="107" spans="1:34" ht="12.75" hidden="1" customHeight="1" outlineLevel="1">
      <c r="A107" s="435"/>
      <c r="B107" s="469"/>
      <c r="C107" s="470"/>
      <c r="D107" s="438" t="s">
        <v>64</v>
      </c>
      <c r="E107" s="508"/>
      <c r="F107" s="509"/>
      <c r="H107" s="437"/>
      <c r="I107" s="437"/>
      <c r="J107" s="437"/>
      <c r="K107" s="437"/>
      <c r="L107" s="437"/>
      <c r="M107" s="437"/>
      <c r="N107" s="437"/>
      <c r="O107" s="435"/>
      <c r="P107" s="437"/>
      <c r="Q107" s="437"/>
      <c r="R107" s="437"/>
      <c r="S107" s="437"/>
      <c r="T107" s="437"/>
      <c r="U107" s="437"/>
      <c r="V107" s="435"/>
      <c r="W107" s="437"/>
      <c r="Y107" s="455"/>
      <c r="Z107" s="455"/>
      <c r="AA107" s="455"/>
      <c r="AC107" s="263"/>
      <c r="AD107" s="263"/>
      <c r="AE107" s="263"/>
      <c r="AF107" s="263"/>
      <c r="AG107" s="263"/>
      <c r="AH107" s="263"/>
    </row>
    <row r="108" spans="1:34" ht="12.75" hidden="1" customHeight="1" outlineLevel="1">
      <c r="A108" s="435"/>
      <c r="B108" s="469"/>
      <c r="C108" s="470"/>
      <c r="D108" s="439" t="s">
        <v>63</v>
      </c>
      <c r="E108" s="510"/>
      <c r="F108" s="511"/>
      <c r="H108" s="437"/>
      <c r="I108" s="437"/>
      <c r="J108" s="437"/>
      <c r="K108" s="437"/>
      <c r="L108" s="437"/>
      <c r="M108" s="437"/>
      <c r="N108" s="437"/>
      <c r="O108" s="435"/>
      <c r="P108" s="437"/>
      <c r="Q108" s="437"/>
      <c r="R108" s="437"/>
      <c r="S108" s="437"/>
      <c r="T108" s="437"/>
      <c r="U108" s="437"/>
      <c r="V108" s="435"/>
      <c r="W108" s="437"/>
      <c r="Y108" s="456"/>
      <c r="Z108" s="456"/>
      <c r="AA108" s="456"/>
      <c r="AC108" s="263"/>
      <c r="AD108" s="263"/>
      <c r="AE108" s="263"/>
      <c r="AF108" s="263"/>
      <c r="AG108" s="263"/>
      <c r="AH108" s="263"/>
    </row>
    <row r="109" spans="1:34" ht="4.5" hidden="1" customHeight="1" outlineLevel="1">
      <c r="A109" s="440"/>
      <c r="B109" s="440"/>
      <c r="C109" s="440"/>
      <c r="D109" s="440"/>
      <c r="E109" s="440"/>
      <c r="F109" s="440"/>
      <c r="G109" s="440"/>
      <c r="H109" s="440"/>
      <c r="I109" s="440"/>
      <c r="J109" s="440"/>
      <c r="K109" s="440"/>
      <c r="L109" s="440"/>
      <c r="M109" s="440"/>
      <c r="N109" s="440"/>
      <c r="O109" s="440"/>
      <c r="P109" s="440"/>
      <c r="Q109" s="440"/>
      <c r="R109" s="440"/>
      <c r="S109" s="440"/>
      <c r="T109" s="440"/>
      <c r="U109" s="440"/>
      <c r="V109" s="440"/>
      <c r="W109" s="440"/>
      <c r="X109" s="440"/>
      <c r="Y109" s="440"/>
      <c r="Z109" s="440"/>
      <c r="AA109" s="440"/>
      <c r="AC109" s="263"/>
      <c r="AD109" s="263"/>
      <c r="AE109" s="263"/>
      <c r="AF109" s="263"/>
      <c r="AG109" s="263"/>
      <c r="AH109" s="263"/>
    </row>
    <row r="110" spans="1:34" ht="26.25" customHeight="1" collapsed="1">
      <c r="A110" s="428">
        <f ca="1">MAX(A$20:OFFSET(A110,-1,0))+1</f>
        <v>14</v>
      </c>
      <c r="B110" s="524" t="s">
        <v>207</v>
      </c>
      <c r="C110" s="525"/>
      <c r="D110" s="526"/>
      <c r="E110" s="429" t="s">
        <v>220</v>
      </c>
      <c r="F110" s="430" t="str">
        <f>HLOOKUP($F$19,Y$19:AA110,ROWS(Y$19:AA110),0)</f>
        <v>average</v>
      </c>
      <c r="G110" s="431"/>
      <c r="H110" s="432">
        <f ca="1">IF((OFFSET(H110,1,0)+OFFSET(H110,2,0))=0,1,VLOOKUP(IF($E110="",$F110,$E110),$D111:H115,COLUMNS($D111:H115),0))</f>
        <v>1</v>
      </c>
      <c r="I110" s="432">
        <f ca="1">IF((OFFSET(I110,1,0)+OFFSET(I110,2,0))=0,1,VLOOKUP(IF($E110="",$F110,$E110),$D111:I115,COLUMNS($D111:I115),0))</f>
        <v>1</v>
      </c>
      <c r="J110" s="432">
        <f ca="1">IF((OFFSET(J110,1,0)+OFFSET(J110,2,0))=0,1,VLOOKUP(IF($E110="",$F110,$E110),$D111:J115,COLUMNS($D111:J115),0))</f>
        <v>1</v>
      </c>
      <c r="K110" s="432">
        <f ca="1">IF((OFFSET(K110,1,0)+OFFSET(K110,2,0))=0,1,VLOOKUP(IF($E110="",$F110,$E110),$D111:K115,COLUMNS($D111:K115),0))</f>
        <v>1</v>
      </c>
      <c r="L110" s="432">
        <f ca="1">IF((OFFSET(L110,1,0)+OFFSET(L110,2,0))=0,1,VLOOKUP(IF($E110="",$F110,$E110),$D111:L115,COLUMNS($D111:L115),0))</f>
        <v>1</v>
      </c>
      <c r="M110" s="432">
        <f ca="1">IF((OFFSET(M110,1,0)+OFFSET(M110,2,0))=0,1,VLOOKUP(IF($E110="",$F110,$E110),$D111:M115,COLUMNS($D111:M115),0))</f>
        <v>1</v>
      </c>
      <c r="N110" s="432">
        <f ca="1">IF((OFFSET(N110,1,0)+OFFSET(N110,2,0))=0,1,VLOOKUP(IF($E110="",$F110,$E110),$D111:N115,COLUMNS($D111:N115),0))</f>
        <v>1</v>
      </c>
      <c r="O110" s="433">
        <f ca="1">IF((OFFSET(O110,1,0)+OFFSET(O110,2,0))=0,1,VLOOKUP(IF($E110="",$F110,$E110),$D111:O115,COLUMNS($D111:O115),0))</f>
        <v>1</v>
      </c>
      <c r="P110" s="432">
        <f ca="1">IF((OFFSET(P110,1,0)+OFFSET(P110,2,0))=0,1,VLOOKUP(IF($E110="",$F110,$E110),$D111:P115,COLUMNS($D111:P115),0))</f>
        <v>1</v>
      </c>
      <c r="Q110" s="432">
        <f ca="1">IF((OFFSET(Q110,1,0)+OFFSET(Q110,2,0))=0,1,VLOOKUP(IF($E110="",$F110,$E110),$D111:Q115,COLUMNS($D111:Q115),0))</f>
        <v>1</v>
      </c>
      <c r="R110" s="432">
        <f ca="1">IF((OFFSET(R110,1,0)+OFFSET(R110,2,0))=0,1,VLOOKUP(IF($E110="",$F110,$E110),$D111:R115,COLUMNS($D111:R115),0))</f>
        <v>1</v>
      </c>
      <c r="S110" s="432">
        <f ca="1">IF((OFFSET(S110,1,0)+OFFSET(S110,2,0))=0,1,VLOOKUP(IF($E110="",$F110,$E110),$D111:S115,COLUMNS($D111:S115),0))</f>
        <v>1</v>
      </c>
      <c r="T110" s="432">
        <f ca="1">IF((OFFSET(T110,1,0)+OFFSET(T110,2,0))=0,1,VLOOKUP(IF($E110="",$F110,$E110),$D111:T115,COLUMNS($D111:T115),0))</f>
        <v>1</v>
      </c>
      <c r="U110" s="432">
        <f ca="1">IF((OFFSET(U110,1,0)+OFFSET(U110,2,0))=0,1,VLOOKUP(IF($E110="",$F110,$E110),$D111:U115,COLUMNS($D111:U115),0))</f>
        <v>1</v>
      </c>
      <c r="V110" s="433">
        <f ca="1">IF((OFFSET(V110,1,0)+OFFSET(V110,2,0))=0,1,VLOOKUP(IF($E110="",$F110,$E110),$D111:V115,COLUMNS($D111:V115),0))</f>
        <v>1</v>
      </c>
      <c r="W110" s="432">
        <f ca="1">IF((OFFSET(W110,1,0)+OFFSET(W110,2,0))=0,1,VLOOKUP(IF($E110="",$F110,$E110),$D111:W115,COLUMNS($D111:W115),0))</f>
        <v>1</v>
      </c>
      <c r="Y110" s="434" t="str">
        <f>D111</f>
        <v>low</v>
      </c>
      <c r="Z110" s="434" t="s">
        <v>220</v>
      </c>
      <c r="AA110" s="434" t="str">
        <f>D114</f>
        <v>very high</v>
      </c>
      <c r="AC110" s="263"/>
      <c r="AD110" s="263"/>
      <c r="AE110" s="263"/>
      <c r="AF110" s="263"/>
      <c r="AG110" s="263"/>
      <c r="AH110" s="263"/>
    </row>
    <row r="111" spans="1:34" ht="30" hidden="1" customHeight="1" outlineLevel="1">
      <c r="A111" s="435"/>
      <c r="B111" s="469" t="s">
        <v>235</v>
      </c>
      <c r="C111" s="470"/>
      <c r="D111" s="436" t="s">
        <v>219</v>
      </c>
      <c r="E111" s="506"/>
      <c r="F111" s="507"/>
      <c r="H111" s="437"/>
      <c r="I111" s="437"/>
      <c r="J111" s="437"/>
      <c r="K111" s="437"/>
      <c r="L111" s="437"/>
      <c r="M111" s="437"/>
      <c r="N111" s="437">
        <v>0.85</v>
      </c>
      <c r="O111" s="435"/>
      <c r="P111" s="437">
        <v>0.85</v>
      </c>
      <c r="Q111" s="437"/>
      <c r="R111" s="437">
        <v>0.85</v>
      </c>
      <c r="S111" s="437"/>
      <c r="T111" s="437"/>
      <c r="U111" s="437"/>
      <c r="V111" s="435"/>
      <c r="W111" s="437"/>
      <c r="Y111" s="454"/>
      <c r="Z111" s="454"/>
      <c r="AA111" s="454"/>
      <c r="AC111" s="263"/>
      <c r="AD111" s="263"/>
      <c r="AE111" s="263"/>
      <c r="AF111" s="263"/>
      <c r="AG111" s="263"/>
      <c r="AH111" s="263"/>
    </row>
    <row r="112" spans="1:34" ht="30" hidden="1" customHeight="1" outlineLevel="1">
      <c r="A112" s="435"/>
      <c r="B112" s="469"/>
      <c r="C112" s="470"/>
      <c r="D112" s="438" t="s">
        <v>220</v>
      </c>
      <c r="E112" s="508"/>
      <c r="F112" s="509"/>
      <c r="H112" s="437"/>
      <c r="I112" s="437"/>
      <c r="J112" s="437"/>
      <c r="K112" s="437"/>
      <c r="L112" s="437"/>
      <c r="M112" s="437"/>
      <c r="N112" s="437">
        <v>1</v>
      </c>
      <c r="O112" s="435"/>
      <c r="P112" s="437">
        <v>1</v>
      </c>
      <c r="Q112" s="437"/>
      <c r="R112" s="437">
        <v>1</v>
      </c>
      <c r="S112" s="437"/>
      <c r="T112" s="437"/>
      <c r="U112" s="437"/>
      <c r="V112" s="435"/>
      <c r="W112" s="437"/>
      <c r="Y112" s="455"/>
      <c r="Z112" s="455"/>
      <c r="AA112" s="455"/>
      <c r="AC112" s="263"/>
      <c r="AD112" s="263"/>
      <c r="AE112" s="263"/>
      <c r="AF112" s="263"/>
      <c r="AG112" s="263"/>
      <c r="AH112" s="263"/>
    </row>
    <row r="113" spans="1:34" ht="30" hidden="1" customHeight="1" outlineLevel="1">
      <c r="A113" s="435"/>
      <c r="B113" s="469"/>
      <c r="C113" s="470"/>
      <c r="D113" s="438" t="s">
        <v>222</v>
      </c>
      <c r="E113" s="508"/>
      <c r="F113" s="509"/>
      <c r="H113" s="437"/>
      <c r="I113" s="437"/>
      <c r="J113" s="437"/>
      <c r="K113" s="437"/>
      <c r="L113" s="437"/>
      <c r="M113" s="437"/>
      <c r="N113" s="437">
        <v>1.2</v>
      </c>
      <c r="O113" s="435"/>
      <c r="P113" s="437">
        <v>1.2</v>
      </c>
      <c r="Q113" s="437"/>
      <c r="R113" s="437">
        <v>1.2</v>
      </c>
      <c r="S113" s="437"/>
      <c r="T113" s="437"/>
      <c r="U113" s="437"/>
      <c r="V113" s="435"/>
      <c r="W113" s="437"/>
      <c r="Y113" s="455"/>
      <c r="Z113" s="455"/>
      <c r="AA113" s="455"/>
      <c r="AC113" s="263"/>
      <c r="AD113" s="263"/>
      <c r="AE113" s="263"/>
      <c r="AF113" s="263"/>
      <c r="AG113" s="263"/>
      <c r="AH113" s="263"/>
    </row>
    <row r="114" spans="1:34" ht="30" hidden="1" customHeight="1" outlineLevel="1">
      <c r="A114" s="435"/>
      <c r="B114" s="499"/>
      <c r="C114" s="500"/>
      <c r="D114" s="443" t="s">
        <v>221</v>
      </c>
      <c r="E114" s="510"/>
      <c r="F114" s="511"/>
      <c r="H114" s="437"/>
      <c r="I114" s="437"/>
      <c r="J114" s="437"/>
      <c r="K114" s="437"/>
      <c r="L114" s="437"/>
      <c r="M114" s="437"/>
      <c r="N114" s="437">
        <v>1.4</v>
      </c>
      <c r="O114" s="435"/>
      <c r="P114" s="437">
        <v>1.4</v>
      </c>
      <c r="Q114" s="437"/>
      <c r="R114" s="437">
        <v>1.4</v>
      </c>
      <c r="S114" s="437"/>
      <c r="T114" s="437"/>
      <c r="U114" s="437"/>
      <c r="V114" s="435"/>
      <c r="W114" s="437"/>
      <c r="Y114" s="456"/>
      <c r="Z114" s="456"/>
      <c r="AA114" s="456"/>
      <c r="AC114" s="263"/>
      <c r="AD114" s="263"/>
      <c r="AE114" s="263"/>
      <c r="AF114" s="263"/>
      <c r="AG114" s="263"/>
      <c r="AH114" s="263"/>
    </row>
    <row r="115" spans="1:34" ht="4.5" hidden="1" customHeight="1" outlineLevel="1">
      <c r="A115" s="440"/>
      <c r="B115" s="440"/>
      <c r="C115" s="440"/>
      <c r="D115" s="440"/>
      <c r="E115" s="440"/>
      <c r="F115" s="440"/>
      <c r="G115" s="440"/>
      <c r="H115" s="440"/>
      <c r="I115" s="440"/>
      <c r="J115" s="440"/>
      <c r="K115" s="440"/>
      <c r="L115" s="440"/>
      <c r="M115" s="440"/>
      <c r="N115" s="440"/>
      <c r="O115" s="440"/>
      <c r="P115" s="440"/>
      <c r="Q115" s="440"/>
      <c r="R115" s="440"/>
      <c r="S115" s="440"/>
      <c r="T115" s="440"/>
      <c r="U115" s="440"/>
      <c r="V115" s="440"/>
      <c r="W115" s="440"/>
      <c r="X115" s="440"/>
      <c r="Y115" s="440"/>
      <c r="Z115" s="440"/>
      <c r="AA115" s="440"/>
      <c r="AC115" s="263"/>
      <c r="AD115" s="263"/>
      <c r="AE115" s="263"/>
      <c r="AF115" s="263"/>
      <c r="AG115" s="263"/>
      <c r="AH115" s="263"/>
    </row>
    <row r="116" spans="1:34" ht="18" customHeight="1">
      <c r="A116" s="428">
        <f ca="1">MAX(A$20:OFFSET(A116,-1,0))+1</f>
        <v>15</v>
      </c>
      <c r="B116" s="520" t="s">
        <v>208</v>
      </c>
      <c r="C116" s="521"/>
      <c r="D116" s="522"/>
      <c r="E116" s="429">
        <v>6</v>
      </c>
      <c r="F116" s="430">
        <f>HLOOKUP($F$19,Y$19:AA116,ROWS(Y$19:AA116),0)</f>
        <v>6</v>
      </c>
      <c r="G116" s="431"/>
      <c r="H116" s="432">
        <f ca="1">IF((OFFSET(H116,1,0)+OFFSET(H116,2,0))=0,1,VLOOKUP(IF($E116="",$F116,$E116),$D117:H123,COLUMNS($D117:H123),0))</f>
        <v>1</v>
      </c>
      <c r="I116" s="432">
        <f ca="1">IF((OFFSET(I116,1,0)+OFFSET(I116,2,0))=0,1,VLOOKUP(IF($E116="",$F116,$E116),$D117:I123,COLUMNS($D117:I123),0))</f>
        <v>1</v>
      </c>
      <c r="J116" s="432">
        <f ca="1">IF((OFFSET(J116,1,0)+OFFSET(J116,2,0))=0,1,VLOOKUP(IF($E116="",$F116,$E116),$D117:J123,COLUMNS($D117:J123),0))</f>
        <v>1</v>
      </c>
      <c r="K116" s="432">
        <f ca="1">IF((OFFSET(K116,1,0)+OFFSET(K116,2,0))=0,1,VLOOKUP(IF($E116="",$F116,$E116),$D117:K123,COLUMNS($D117:K123),0))</f>
        <v>1</v>
      </c>
      <c r="L116" s="432">
        <f ca="1">IF((OFFSET(L116,1,0)+OFFSET(L116,2,0))=0,1,VLOOKUP(IF($E116="",$F116,$E116),$D117:L123,COLUMNS($D117:L123),0))</f>
        <v>1</v>
      </c>
      <c r="M116" s="432">
        <f ca="1">IF((OFFSET(M116,1,0)+OFFSET(M116,2,0))=0,1,VLOOKUP(IF($E116="",$F116,$E116),$D117:M123,COLUMNS($D117:M123),0))</f>
        <v>1</v>
      </c>
      <c r="N116" s="432">
        <f ca="1">IF((OFFSET(N116,1,0)+OFFSET(N116,2,0))=0,1,VLOOKUP(IF($E116="",$F116,$E116),$D117:N123,COLUMNS($D117:N123),0))</f>
        <v>1</v>
      </c>
      <c r="O116" s="433">
        <f ca="1">IF((OFFSET(O116,1,0)+OFFSET(O116,2,0))=0,1,VLOOKUP(IF($E116="",$F116,$E116),$D117:O123,COLUMNS($D117:O123),0))</f>
        <v>1</v>
      </c>
      <c r="P116" s="432">
        <f ca="1">IF((OFFSET(P116,1,0)+OFFSET(P116,2,0))=0,1,VLOOKUP(IF($E116="",$F116,$E116),$D117:P123,COLUMNS($D117:P123),0))</f>
        <v>1</v>
      </c>
      <c r="Q116" s="432">
        <f ca="1">IF((OFFSET(Q116,1,0)+OFFSET(Q116,2,0))=0,1,VLOOKUP(IF($E116="",$F116,$E116),$D117:Q123,COLUMNS($D117:Q123),0))</f>
        <v>1</v>
      </c>
      <c r="R116" s="432">
        <f ca="1">IF((OFFSET(R116,1,0)+OFFSET(R116,2,0))=0,1,VLOOKUP(IF($E116="",$F116,$E116),$D117:R123,COLUMNS($D117:R123),0))</f>
        <v>1</v>
      </c>
      <c r="S116" s="432">
        <f ca="1">IF((OFFSET(S116,1,0)+OFFSET(S116,2,0))=0,1,VLOOKUP(IF($E116="",$F116,$E116),$D117:S123,COLUMNS($D117:S123),0))</f>
        <v>1</v>
      </c>
      <c r="T116" s="432">
        <f ca="1">IF((OFFSET(T116,1,0)+OFFSET(T116,2,0))=0,1,VLOOKUP(IF($E116="",$F116,$E116),$D117:T123,COLUMNS($D117:T123),0))</f>
        <v>1</v>
      </c>
      <c r="U116" s="432">
        <f ca="1">IF((OFFSET(U116,1,0)+OFFSET(U116,2,0))=0,1,VLOOKUP(IF($E116="",$F116,$E116),$D117:U123,COLUMNS($D117:U123),0))</f>
        <v>1</v>
      </c>
      <c r="V116" s="433">
        <f ca="1">IF((OFFSET(V116,1,0)+OFFSET(V116,2,0))=0,1,VLOOKUP(IF($E116="",$F116,$E116),$D117:V123,COLUMNS($D117:V123),0))</f>
        <v>1</v>
      </c>
      <c r="W116" s="432">
        <f ca="1">IF((OFFSET(W116,1,0)+OFFSET(W116,2,0))=0,1,VLOOKUP(IF($E116="",$F116,$E116),$D117:W123,COLUMNS($D117:W123),0))</f>
        <v>1</v>
      </c>
      <c r="Y116" s="434">
        <f>D117</f>
        <v>0</v>
      </c>
      <c r="Z116" s="434">
        <v>6</v>
      </c>
      <c r="AA116" s="434">
        <f>D121</f>
        <v>12</v>
      </c>
      <c r="AC116" s="263"/>
      <c r="AD116" s="263"/>
      <c r="AE116" s="263"/>
      <c r="AF116" s="263"/>
      <c r="AG116" s="263"/>
      <c r="AH116" s="263"/>
    </row>
    <row r="117" spans="1:34" ht="22.5" customHeight="1" outlineLevel="1">
      <c r="A117" s="435"/>
      <c r="B117" s="497" t="s">
        <v>236</v>
      </c>
      <c r="C117" s="498"/>
      <c r="D117" s="436">
        <v>0</v>
      </c>
      <c r="E117" s="506"/>
      <c r="F117" s="507"/>
      <c r="H117" s="437"/>
      <c r="I117" s="437"/>
      <c r="J117" s="437"/>
      <c r="K117" s="437"/>
      <c r="L117" s="437"/>
      <c r="M117" s="437"/>
      <c r="N117" s="437"/>
      <c r="O117" s="435"/>
      <c r="P117" s="437"/>
      <c r="Q117" s="437"/>
      <c r="R117" s="437"/>
      <c r="S117" s="437"/>
      <c r="T117" s="437"/>
      <c r="U117" s="437"/>
      <c r="V117" s="435"/>
      <c r="W117" s="444">
        <f t="shared" ref="W117:W122" si="10">(D117/6)^0.74</f>
        <v>0</v>
      </c>
      <c r="Y117" s="454"/>
      <c r="Z117" s="454"/>
      <c r="AA117" s="454"/>
      <c r="AC117" s="263"/>
      <c r="AD117" s="263"/>
      <c r="AE117" s="263"/>
      <c r="AF117" s="263"/>
      <c r="AG117" s="263"/>
      <c r="AH117" s="263"/>
    </row>
    <row r="118" spans="1:34" ht="22.5" customHeight="1" outlineLevel="1">
      <c r="A118" s="435"/>
      <c r="B118" s="469"/>
      <c r="C118" s="470"/>
      <c r="D118" s="438">
        <v>3</v>
      </c>
      <c r="E118" s="508"/>
      <c r="F118" s="509"/>
      <c r="H118" s="437"/>
      <c r="I118" s="437"/>
      <c r="J118" s="437"/>
      <c r="K118" s="437"/>
      <c r="L118" s="437"/>
      <c r="M118" s="437"/>
      <c r="N118" s="437"/>
      <c r="O118" s="435"/>
      <c r="P118" s="437"/>
      <c r="Q118" s="437"/>
      <c r="R118" s="437"/>
      <c r="S118" s="437"/>
      <c r="T118" s="437"/>
      <c r="U118" s="437"/>
      <c r="V118" s="435"/>
      <c r="W118" s="444">
        <f t="shared" si="10"/>
        <v>0.59873935230946429</v>
      </c>
      <c r="Y118" s="455"/>
      <c r="Z118" s="455"/>
      <c r="AA118" s="455"/>
      <c r="AC118" s="263"/>
      <c r="AD118" s="263"/>
      <c r="AE118" s="263"/>
      <c r="AF118" s="263"/>
      <c r="AG118" s="263"/>
      <c r="AH118" s="263"/>
    </row>
    <row r="119" spans="1:34" ht="22.5" customHeight="1" outlineLevel="1">
      <c r="A119" s="435"/>
      <c r="B119" s="469"/>
      <c r="C119" s="470"/>
      <c r="D119" s="438">
        <v>6</v>
      </c>
      <c r="E119" s="508"/>
      <c r="F119" s="509"/>
      <c r="H119" s="437"/>
      <c r="I119" s="437"/>
      <c r="J119" s="437"/>
      <c r="K119" s="437"/>
      <c r="L119" s="437"/>
      <c r="M119" s="437"/>
      <c r="N119" s="437"/>
      <c r="O119" s="435"/>
      <c r="P119" s="437"/>
      <c r="Q119" s="437"/>
      <c r="R119" s="437"/>
      <c r="S119" s="437"/>
      <c r="T119" s="437"/>
      <c r="U119" s="437"/>
      <c r="V119" s="435"/>
      <c r="W119" s="444">
        <f t="shared" si="10"/>
        <v>1</v>
      </c>
      <c r="Y119" s="455"/>
      <c r="Z119" s="455"/>
      <c r="AA119" s="455"/>
      <c r="AC119" s="263"/>
      <c r="AD119" s="263"/>
      <c r="AE119" s="263"/>
      <c r="AF119" s="263"/>
      <c r="AG119" s="263"/>
      <c r="AH119" s="263"/>
    </row>
    <row r="120" spans="1:34" ht="22.5" customHeight="1" outlineLevel="1">
      <c r="A120" s="435"/>
      <c r="B120" s="469"/>
      <c r="C120" s="470"/>
      <c r="D120" s="438">
        <v>9</v>
      </c>
      <c r="E120" s="508"/>
      <c r="F120" s="509"/>
      <c r="H120" s="437"/>
      <c r="I120" s="437"/>
      <c r="J120" s="437"/>
      <c r="K120" s="437"/>
      <c r="L120" s="437"/>
      <c r="M120" s="437"/>
      <c r="N120" s="437"/>
      <c r="O120" s="435"/>
      <c r="P120" s="437"/>
      <c r="Q120" s="437"/>
      <c r="R120" s="437"/>
      <c r="S120" s="437"/>
      <c r="T120" s="437"/>
      <c r="U120" s="437"/>
      <c r="V120" s="435"/>
      <c r="W120" s="444">
        <f t="shared" si="10"/>
        <v>1.3499184456555735</v>
      </c>
      <c r="Y120" s="455"/>
      <c r="Z120" s="455"/>
      <c r="AA120" s="455"/>
      <c r="AC120" s="263"/>
      <c r="AD120" s="263"/>
      <c r="AE120" s="263"/>
      <c r="AF120" s="263"/>
      <c r="AG120" s="263"/>
      <c r="AH120" s="263"/>
    </row>
    <row r="121" spans="1:34" ht="22.5" customHeight="1" outlineLevel="1">
      <c r="A121" s="435"/>
      <c r="B121" s="469"/>
      <c r="C121" s="470"/>
      <c r="D121" s="443">
        <v>12</v>
      </c>
      <c r="E121" s="508"/>
      <c r="F121" s="509"/>
      <c r="H121" s="437"/>
      <c r="I121" s="437"/>
      <c r="J121" s="437"/>
      <c r="K121" s="437"/>
      <c r="L121" s="437"/>
      <c r="M121" s="437"/>
      <c r="N121" s="437"/>
      <c r="O121" s="435"/>
      <c r="P121" s="437"/>
      <c r="Q121" s="437"/>
      <c r="R121" s="437"/>
      <c r="S121" s="437"/>
      <c r="T121" s="437"/>
      <c r="U121" s="437"/>
      <c r="V121" s="435"/>
      <c r="W121" s="444">
        <f t="shared" si="10"/>
        <v>1.6701758388567387</v>
      </c>
      <c r="Y121" s="455"/>
      <c r="Z121" s="455"/>
      <c r="AA121" s="455"/>
      <c r="AC121" s="263"/>
      <c r="AD121" s="263"/>
      <c r="AE121" s="263"/>
      <c r="AF121" s="263"/>
      <c r="AG121" s="263"/>
      <c r="AH121" s="263"/>
    </row>
    <row r="122" spans="1:34" ht="22.5" customHeight="1" outlineLevel="1">
      <c r="A122" s="435"/>
      <c r="B122" s="499"/>
      <c r="C122" s="500"/>
      <c r="D122" s="445">
        <v>12</v>
      </c>
      <c r="E122" s="510"/>
      <c r="F122" s="511"/>
      <c r="H122" s="437"/>
      <c r="I122" s="437"/>
      <c r="J122" s="437"/>
      <c r="K122" s="437"/>
      <c r="L122" s="437"/>
      <c r="M122" s="437"/>
      <c r="N122" s="437"/>
      <c r="O122" s="435"/>
      <c r="P122" s="437"/>
      <c r="Q122" s="437"/>
      <c r="R122" s="437"/>
      <c r="S122" s="437"/>
      <c r="T122" s="437"/>
      <c r="U122" s="437"/>
      <c r="V122" s="435"/>
      <c r="W122" s="444">
        <f t="shared" si="10"/>
        <v>1.6701758388567387</v>
      </c>
      <c r="Y122" s="456"/>
      <c r="Z122" s="456"/>
      <c r="AA122" s="456"/>
      <c r="AC122" s="263"/>
      <c r="AD122" s="263"/>
      <c r="AE122" s="263"/>
      <c r="AF122" s="263"/>
      <c r="AG122" s="263"/>
      <c r="AH122" s="263"/>
    </row>
    <row r="123" spans="1:34" ht="4.5" customHeight="1" outlineLevel="1">
      <c r="A123" s="440"/>
      <c r="B123" s="440"/>
      <c r="C123" s="440"/>
      <c r="D123" s="440"/>
      <c r="E123" s="440"/>
      <c r="F123" s="440"/>
      <c r="G123" s="440"/>
      <c r="H123" s="440"/>
      <c r="I123" s="440"/>
      <c r="J123" s="440"/>
      <c r="K123" s="440"/>
      <c r="L123" s="440"/>
      <c r="M123" s="440"/>
      <c r="N123" s="440"/>
      <c r="O123" s="440"/>
      <c r="P123" s="440"/>
      <c r="Q123" s="440"/>
      <c r="R123" s="440"/>
      <c r="S123" s="440"/>
      <c r="T123" s="440"/>
      <c r="U123" s="440"/>
      <c r="V123" s="440"/>
      <c r="W123" s="440"/>
      <c r="X123" s="440"/>
      <c r="Y123" s="440"/>
      <c r="Z123" s="440"/>
      <c r="AA123" s="440"/>
      <c r="AC123" s="263"/>
      <c r="AD123" s="263"/>
      <c r="AE123" s="263"/>
      <c r="AF123" s="263"/>
      <c r="AG123" s="263"/>
      <c r="AH123" s="263"/>
    </row>
    <row r="124" spans="1:34" ht="18" customHeight="1" collapsed="1">
      <c r="A124" s="428">
        <f ca="1">MAX(A$20:OFFSET(A124,-1,0))+1</f>
        <v>16</v>
      </c>
      <c r="B124" s="524" t="s">
        <v>209</v>
      </c>
      <c r="C124" s="525"/>
      <c r="D124" s="526"/>
      <c r="E124" s="429" t="s">
        <v>222</v>
      </c>
      <c r="F124" s="430" t="str">
        <f>HLOOKUP($F$19,Y$19:AA124,ROWS(Y$19:AA124),0)</f>
        <v>average</v>
      </c>
      <c r="G124" s="431"/>
      <c r="H124" s="432">
        <f ca="1">IF((OFFSET(H124,1,0)+OFFSET(H124,2,0))=0,1,VLOOKUP(IF($E124="",$F124,$E124),$D125:H129,COLUMNS($D125:H129),0))</f>
        <v>1</v>
      </c>
      <c r="I124" s="432">
        <f ca="1">IF((OFFSET(I124,1,0)+OFFSET(I124,2,0))=0,1,VLOOKUP(IF($E124="",$F124,$E124),$D125:I129,COLUMNS($D125:I129),0))</f>
        <v>1</v>
      </c>
      <c r="J124" s="432">
        <f ca="1">IF((OFFSET(J124,1,0)+OFFSET(J124,2,0))=0,1,VLOOKUP(IF($E124="",$F124,$E124),$D125:J129,COLUMNS($D125:J129),0))</f>
        <v>1</v>
      </c>
      <c r="K124" s="432">
        <f ca="1">IF((OFFSET(K124,1,0)+OFFSET(K124,2,0))=0,1,VLOOKUP(IF($E124="",$F124,$E124),$D125:K129,COLUMNS($D125:K129),0))</f>
        <v>1</v>
      </c>
      <c r="L124" s="432">
        <f ca="1">IF((OFFSET(L124,1,0)+OFFSET(L124,2,0))=0,1,VLOOKUP(IF($E124="",$F124,$E124),$D125:L129,COLUMNS($D125:L129),0))</f>
        <v>1</v>
      </c>
      <c r="M124" s="432">
        <f ca="1">IF((OFFSET(M124,1,0)+OFFSET(M124,2,0))=0,1,VLOOKUP(IF($E124="",$F124,$E124),$D125:M129,COLUMNS($D125:M129),0))</f>
        <v>1</v>
      </c>
      <c r="N124" s="432">
        <f ca="1">IF((OFFSET(N124,1,0)+OFFSET(N124,2,0))=0,1,VLOOKUP(IF($E124="",$F124,$E124),$D125:N129,COLUMNS($D125:N129),0))</f>
        <v>1</v>
      </c>
      <c r="O124" s="433">
        <f ca="1">IF((OFFSET(O124,1,0)+OFFSET(O124,2,0))=0,1,VLOOKUP(IF($E124="",$F124,$E124),$D125:O129,COLUMNS($D125:O129),0))</f>
        <v>1</v>
      </c>
      <c r="P124" s="432">
        <f ca="1">IF((OFFSET(P124,1,0)+OFFSET(P124,2,0))=0,1,VLOOKUP(IF($E124="",$F124,$E124),$D125:P129,COLUMNS($D125:P129),0))</f>
        <v>1</v>
      </c>
      <c r="Q124" s="432">
        <f ca="1">IF((OFFSET(Q124,1,0)+OFFSET(Q124,2,0))=0,1,VLOOKUP(IF($E124="",$F124,$E124),$D125:Q129,COLUMNS($D125:Q129),0))</f>
        <v>1</v>
      </c>
      <c r="R124" s="432">
        <f ca="1">IF((OFFSET(R124,1,0)+OFFSET(R124,2,0))=0,1,VLOOKUP(IF($E124="",$F124,$E124),$D125:R129,COLUMNS($D125:R129),0))</f>
        <v>1</v>
      </c>
      <c r="S124" s="432">
        <f ca="1">IF((OFFSET(S124,1,0)+OFFSET(S124,2,0))=0,1,VLOOKUP(IF($E124="",$F124,$E124),$D125:S129,COLUMNS($D125:S129),0))</f>
        <v>1</v>
      </c>
      <c r="T124" s="432">
        <f ca="1">IF((OFFSET(T124,1,0)+OFFSET(T124,2,0))=0,1,VLOOKUP(IF($E124="",$F124,$E124),$D125:T129,COLUMNS($D125:T129),0))</f>
        <v>1</v>
      </c>
      <c r="U124" s="432">
        <f ca="1">IF((OFFSET(U124,1,0)+OFFSET(U124,2,0))=0,1,VLOOKUP(IF($E124="",$F124,$E124),$D125:U129,COLUMNS($D125:U129),0))</f>
        <v>1</v>
      </c>
      <c r="V124" s="433">
        <f ca="1">IF((OFFSET(V124,1,0)+OFFSET(V124,2,0))=0,1,VLOOKUP(IF($E124="",$F124,$E124),$D125:V129,COLUMNS($D125:V129),0))</f>
        <v>1</v>
      </c>
      <c r="W124" s="432">
        <f ca="1">IF((OFFSET(W124,1,0)+OFFSET(W124,2,0))=0,1,VLOOKUP(IF($E124="",$F124,$E124),$D125:W129,COLUMNS($D125:W129),0))</f>
        <v>1.3</v>
      </c>
      <c r="Y124" s="434" t="str">
        <f>D125</f>
        <v>low</v>
      </c>
      <c r="Z124" s="434" t="s">
        <v>220</v>
      </c>
      <c r="AA124" s="434" t="str">
        <f>D128</f>
        <v>very high</v>
      </c>
      <c r="AC124" s="263"/>
      <c r="AD124" s="263"/>
      <c r="AE124" s="263"/>
      <c r="AF124" s="263"/>
      <c r="AG124" s="263"/>
      <c r="AH124" s="263"/>
    </row>
    <row r="125" spans="1:34" ht="21.75" hidden="1" customHeight="1" outlineLevel="1">
      <c r="A125" s="435"/>
      <c r="B125" s="497" t="s">
        <v>237</v>
      </c>
      <c r="C125" s="498"/>
      <c r="D125" s="438" t="s">
        <v>219</v>
      </c>
      <c r="E125" s="506"/>
      <c r="F125" s="507"/>
      <c r="H125" s="437"/>
      <c r="I125" s="437"/>
      <c r="J125" s="437"/>
      <c r="K125" s="437"/>
      <c r="L125" s="437"/>
      <c r="M125" s="437"/>
      <c r="N125" s="437"/>
      <c r="O125" s="435"/>
      <c r="P125" s="437"/>
      <c r="Q125" s="437"/>
      <c r="R125" s="437"/>
      <c r="S125" s="437"/>
      <c r="T125" s="437"/>
      <c r="U125" s="437"/>
      <c r="V125" s="435"/>
      <c r="W125" s="437">
        <v>0.7</v>
      </c>
      <c r="Y125" s="491"/>
      <c r="Z125" s="491"/>
      <c r="AA125" s="491"/>
      <c r="AC125" s="263"/>
      <c r="AD125" s="263"/>
      <c r="AE125" s="263"/>
      <c r="AF125" s="263"/>
      <c r="AG125" s="263"/>
      <c r="AH125" s="263"/>
    </row>
    <row r="126" spans="1:34" ht="21.75" hidden="1" customHeight="1" outlineLevel="1">
      <c r="A126" s="435"/>
      <c r="B126" s="469"/>
      <c r="C126" s="470"/>
      <c r="D126" s="438" t="s">
        <v>220</v>
      </c>
      <c r="E126" s="508"/>
      <c r="F126" s="509"/>
      <c r="H126" s="437"/>
      <c r="I126" s="437"/>
      <c r="J126" s="437"/>
      <c r="K126" s="437"/>
      <c r="L126" s="437"/>
      <c r="M126" s="437"/>
      <c r="N126" s="437"/>
      <c r="O126" s="435"/>
      <c r="P126" s="437"/>
      <c r="Q126" s="437"/>
      <c r="R126" s="437"/>
      <c r="S126" s="437"/>
      <c r="T126" s="437"/>
      <c r="U126" s="437"/>
      <c r="V126" s="435"/>
      <c r="W126" s="437">
        <v>1</v>
      </c>
      <c r="Y126" s="492"/>
      <c r="Z126" s="492"/>
      <c r="AA126" s="492"/>
      <c r="AC126" s="263"/>
      <c r="AD126" s="263"/>
      <c r="AE126" s="263"/>
      <c r="AF126" s="263"/>
      <c r="AG126" s="263"/>
      <c r="AH126" s="263"/>
    </row>
    <row r="127" spans="1:34" ht="21.75" hidden="1" customHeight="1" outlineLevel="1">
      <c r="A127" s="435"/>
      <c r="B127" s="469"/>
      <c r="C127" s="470"/>
      <c r="D127" s="438" t="s">
        <v>222</v>
      </c>
      <c r="E127" s="508"/>
      <c r="F127" s="509"/>
      <c r="H127" s="437"/>
      <c r="I127" s="437"/>
      <c r="J127" s="437"/>
      <c r="K127" s="437"/>
      <c r="L127" s="437"/>
      <c r="M127" s="437"/>
      <c r="N127" s="437"/>
      <c r="O127" s="435"/>
      <c r="P127" s="437"/>
      <c r="Q127" s="437"/>
      <c r="R127" s="437"/>
      <c r="S127" s="437"/>
      <c r="T127" s="437"/>
      <c r="U127" s="437"/>
      <c r="V127" s="435"/>
      <c r="W127" s="437">
        <v>1.3</v>
      </c>
      <c r="Y127" s="492"/>
      <c r="Z127" s="492"/>
      <c r="AA127" s="492"/>
      <c r="AC127" s="263"/>
      <c r="AD127" s="263"/>
      <c r="AE127" s="263"/>
      <c r="AF127" s="263"/>
      <c r="AG127" s="263"/>
      <c r="AH127" s="263"/>
    </row>
    <row r="128" spans="1:34" ht="21.75" hidden="1" customHeight="1" outlineLevel="1">
      <c r="A128" s="435"/>
      <c r="B128" s="499"/>
      <c r="C128" s="500"/>
      <c r="D128" s="443" t="s">
        <v>221</v>
      </c>
      <c r="E128" s="510"/>
      <c r="F128" s="511"/>
      <c r="H128" s="437"/>
      <c r="I128" s="437"/>
      <c r="J128" s="437"/>
      <c r="K128" s="437"/>
      <c r="L128" s="437"/>
      <c r="M128" s="437"/>
      <c r="N128" s="437"/>
      <c r="O128" s="435"/>
      <c r="P128" s="437"/>
      <c r="Q128" s="437"/>
      <c r="R128" s="437"/>
      <c r="S128" s="437"/>
      <c r="T128" s="437"/>
      <c r="U128" s="437"/>
      <c r="V128" s="435"/>
      <c r="W128" s="437">
        <v>1.6</v>
      </c>
      <c r="Y128" s="493"/>
      <c r="Z128" s="493"/>
      <c r="AA128" s="493"/>
      <c r="AC128" s="263"/>
      <c r="AD128" s="263"/>
      <c r="AE128" s="263"/>
      <c r="AF128" s="263"/>
      <c r="AG128" s="263"/>
      <c r="AH128" s="263"/>
    </row>
    <row r="129" spans="1:34" ht="4.5" hidden="1" customHeight="1" outlineLevel="1">
      <c r="A129" s="440"/>
      <c r="B129" s="440"/>
      <c r="C129" s="440"/>
      <c r="D129" s="440"/>
      <c r="E129" s="440"/>
      <c r="F129" s="440"/>
      <c r="G129" s="440"/>
      <c r="H129" s="440"/>
      <c r="I129" s="440"/>
      <c r="J129" s="440"/>
      <c r="K129" s="440"/>
      <c r="L129" s="440"/>
      <c r="M129" s="440"/>
      <c r="N129" s="440"/>
      <c r="O129" s="440"/>
      <c r="P129" s="440"/>
      <c r="Q129" s="440"/>
      <c r="R129" s="440"/>
      <c r="S129" s="440"/>
      <c r="T129" s="440"/>
      <c r="U129" s="440"/>
      <c r="V129" s="440"/>
      <c r="W129" s="440"/>
      <c r="X129" s="440"/>
      <c r="Y129" s="440"/>
      <c r="Z129" s="440"/>
      <c r="AA129" s="440"/>
      <c r="AC129" s="263"/>
      <c r="AD129" s="263"/>
      <c r="AE129" s="263"/>
      <c r="AF129" s="263"/>
      <c r="AG129" s="263"/>
      <c r="AH129" s="263"/>
    </row>
    <row r="130" spans="1:34" ht="4.5" customHeight="1">
      <c r="A130" s="446"/>
      <c r="B130" s="446"/>
      <c r="C130" s="446"/>
      <c r="D130" s="446"/>
      <c r="E130" s="446"/>
      <c r="F130" s="446"/>
      <c r="G130" s="446"/>
      <c r="H130" s="446"/>
      <c r="I130" s="446"/>
      <c r="J130" s="446"/>
      <c r="K130" s="446"/>
      <c r="L130" s="446"/>
      <c r="M130" s="446"/>
      <c r="N130" s="446"/>
      <c r="O130" s="446"/>
      <c r="P130" s="446"/>
      <c r="Q130" s="446"/>
      <c r="R130" s="446"/>
      <c r="S130" s="446"/>
      <c r="T130" s="446"/>
      <c r="U130" s="446"/>
      <c r="V130" s="446"/>
      <c r="W130" s="446"/>
      <c r="X130" s="446"/>
      <c r="Y130" s="446"/>
      <c r="Z130" s="446"/>
      <c r="AA130" s="446"/>
      <c r="AC130" s="263"/>
      <c r="AD130" s="263"/>
      <c r="AE130" s="263"/>
      <c r="AF130" s="263"/>
      <c r="AG130" s="263"/>
      <c r="AH130" s="263"/>
    </row>
  </sheetData>
  <sheetProtection sort="0" autoFilter="0"/>
  <customSheetViews>
    <customSheetView guid="{98F7EBC4-E110-4841-A2DB-2D2637E925A0}" scale="70" showGridLines="0" fitToPage="1" hiddenRows="1" topLeftCell="A2">
      <pane xSplit="4" ySplit="19" topLeftCell="E21" activePane="bottomRight" state="frozen"/>
      <selection pane="bottomRight" activeCell="B16" sqref="B16"/>
      <colBreaks count="1" manualBreakCount="1">
        <brk id="23" max="1048575" man="1"/>
      </colBreaks>
      <pageMargins left="0.15748031496062992" right="0.15748031496062992" top="0.74803149606299213" bottom="0.51181102362204722" header="0.39370078740157483" footer="0.19685039370078741"/>
      <printOptions horizontalCentered="1" verticalCentered="1"/>
      <pageSetup paperSize="9" scale="74" orientation="landscape" r:id="rId1"/>
      <headerFooter alignWithMargins="0">
        <oddHeader>&amp;L&amp;"Arial,Gras"Capgemini Sud&amp;C&amp;"Arial,Gras"&amp;11Facteurs dimensionnants 
du contexte du projet / Types d'activités&amp;R&amp;"Arial,Gras"Estimation Top-Down - Avant-vente</oddHeader>
        <oddFooter>&amp;L&amp;8&amp;F
&amp;D - &amp;T&amp;C&amp;9Document interne Capgemini
&amp;8Tout droits réservés&amp;R&amp;"Arial,Gras"Page &amp;P / &amp;N</oddFooter>
      </headerFooter>
    </customSheetView>
  </customSheetViews>
  <mergeCells count="131">
    <mergeCell ref="B69:D69"/>
    <mergeCell ref="B70:C74"/>
    <mergeCell ref="B57:C60"/>
    <mergeCell ref="B19:C19"/>
    <mergeCell ref="E84:F88"/>
    <mergeCell ref="E57:F60"/>
    <mergeCell ref="E70:F74"/>
    <mergeCell ref="N19:N20"/>
    <mergeCell ref="M19:M20"/>
    <mergeCell ref="L19:L20"/>
    <mergeCell ref="K19:K20"/>
    <mergeCell ref="J19:J20"/>
    <mergeCell ref="E19:E20"/>
    <mergeCell ref="W19:W20"/>
    <mergeCell ref="V19:V20"/>
    <mergeCell ref="R19:R20"/>
    <mergeCell ref="Q19:Q20"/>
    <mergeCell ref="P19:P20"/>
    <mergeCell ref="U19:U20"/>
    <mergeCell ref="T19:T20"/>
    <mergeCell ref="Z125:Z128"/>
    <mergeCell ref="Y84:Y88"/>
    <mergeCell ref="Z111:Z114"/>
    <mergeCell ref="Z117:Z122"/>
    <mergeCell ref="Y111:Y114"/>
    <mergeCell ref="Y117:Y122"/>
    <mergeCell ref="AA111:AA114"/>
    <mergeCell ref="AA98:AA100"/>
    <mergeCell ref="Z98:Z100"/>
    <mergeCell ref="Z103:Z108"/>
    <mergeCell ref="Y98:Y100"/>
    <mergeCell ref="AA91:AA95"/>
    <mergeCell ref="Y91:Y95"/>
    <mergeCell ref="Z91:Z95"/>
    <mergeCell ref="AA103:AA108"/>
    <mergeCell ref="AA117:AA122"/>
    <mergeCell ref="E117:F122"/>
    <mergeCell ref="E91:F95"/>
    <mergeCell ref="A1:C1"/>
    <mergeCell ref="Y125:Y128"/>
    <mergeCell ref="E125:F128"/>
    <mergeCell ref="B124:D124"/>
    <mergeCell ref="B62:D62"/>
    <mergeCell ref="B83:D83"/>
    <mergeCell ref="B21:D21"/>
    <mergeCell ref="B22:C26"/>
    <mergeCell ref="B63:C67"/>
    <mergeCell ref="B77:C81"/>
    <mergeCell ref="B36:D36"/>
    <mergeCell ref="B76:D76"/>
    <mergeCell ref="B117:C122"/>
    <mergeCell ref="A20:D20"/>
    <mergeCell ref="E77:F81"/>
    <mergeCell ref="Y103:Y108"/>
    <mergeCell ref="Y44:Y48"/>
    <mergeCell ref="Y51:Y54"/>
    <mergeCell ref="Y57:Y60"/>
    <mergeCell ref="F19:F20"/>
    <mergeCell ref="B110:D110"/>
    <mergeCell ref="B97:D97"/>
    <mergeCell ref="AA125:AA128"/>
    <mergeCell ref="A2:D2"/>
    <mergeCell ref="B125:C128"/>
    <mergeCell ref="B13:C13"/>
    <mergeCell ref="B37:C41"/>
    <mergeCell ref="B44:C48"/>
    <mergeCell ref="B51:C54"/>
    <mergeCell ref="S17:T17"/>
    <mergeCell ref="H17:K17"/>
    <mergeCell ref="E111:F114"/>
    <mergeCell ref="E44:F48"/>
    <mergeCell ref="E51:F54"/>
    <mergeCell ref="P17:R17"/>
    <mergeCell ref="B103:C108"/>
    <mergeCell ref="E63:F67"/>
    <mergeCell ref="E98:F100"/>
    <mergeCell ref="E22:F26"/>
    <mergeCell ref="E37:F41"/>
    <mergeCell ref="M17:N17"/>
    <mergeCell ref="B102:D102"/>
    <mergeCell ref="B116:D116"/>
    <mergeCell ref="B111:C114"/>
    <mergeCell ref="E103:F108"/>
    <mergeCell ref="B98:C100"/>
    <mergeCell ref="Y70:Y74"/>
    <mergeCell ref="Z70:Z74"/>
    <mergeCell ref="AA29:AA34"/>
    <mergeCell ref="B28:D28"/>
    <mergeCell ref="E29:F34"/>
    <mergeCell ref="B29:C34"/>
    <mergeCell ref="Z63:Z67"/>
    <mergeCell ref="Y37:Y41"/>
    <mergeCell ref="Y29:Y34"/>
    <mergeCell ref="Z77:Z81"/>
    <mergeCell ref="Z44:Z48"/>
    <mergeCell ref="AA77:AA81"/>
    <mergeCell ref="Y63:Y67"/>
    <mergeCell ref="AA63:AA67"/>
    <mergeCell ref="AA70:AA74"/>
    <mergeCell ref="Y77:Y81"/>
    <mergeCell ref="B90:D90"/>
    <mergeCell ref="B91:C95"/>
    <mergeCell ref="B84:C88"/>
    <mergeCell ref="B50:D50"/>
    <mergeCell ref="B56:D56"/>
    <mergeCell ref="AA84:AA88"/>
    <mergeCell ref="Z84:Z88"/>
    <mergeCell ref="B7:C7"/>
    <mergeCell ref="B9:C9"/>
    <mergeCell ref="B10:C10"/>
    <mergeCell ref="B8:C8"/>
    <mergeCell ref="B11:C11"/>
    <mergeCell ref="AA57:AA60"/>
    <mergeCell ref="AA51:AA54"/>
    <mergeCell ref="Z51:Z54"/>
    <mergeCell ref="AA44:AA48"/>
    <mergeCell ref="Z57:Z60"/>
    <mergeCell ref="AA37:AA41"/>
    <mergeCell ref="AA22:AA26"/>
    <mergeCell ref="Z22:Z26"/>
    <mergeCell ref="Z37:Z41"/>
    <mergeCell ref="Z29:Z34"/>
    <mergeCell ref="B43:D43"/>
    <mergeCell ref="S19:S20"/>
    <mergeCell ref="Y22:Y26"/>
    <mergeCell ref="AA19:AA20"/>
    <mergeCell ref="Z19:Z20"/>
    <mergeCell ref="Y19:Y20"/>
    <mergeCell ref="H19:H20"/>
    <mergeCell ref="I19:I20"/>
    <mergeCell ref="O19:O20"/>
  </mergeCells>
  <phoneticPr fontId="3" type="noConversion"/>
  <conditionalFormatting sqref="F76 F21 F110 F116 F50 F43 F56 F62 F90 F97 F102 F36 F83 F124 F69 F28">
    <cfRule type="expression" dxfId="54" priority="1" stopIfTrue="1">
      <formula>E21&lt;&gt;""</formula>
    </cfRule>
  </conditionalFormatting>
  <conditionalFormatting sqref="Y102:AA102 Y56:AA56 Y50:AA50 Y97:AA97 Y116:AA116 Y124:AA124 Y76:AA76 Y21:AA21 Y36:AA36 Y28:AA28 Y83:AA83 Y62:AA62 Y69:AA69 Y43:AA43 Y90:AA90 Y110:AA110">
    <cfRule type="expression" dxfId="53" priority="3" stopIfTrue="1">
      <formula>AND(Y21&lt;&gt;"",COUNTIF($D21:$D27,Y21)=0)</formula>
    </cfRule>
  </conditionalFormatting>
  <conditionalFormatting sqref="H18:W18">
    <cfRule type="expression" dxfId="52" priority="7" stopIfTrue="1">
      <formula>AND(H18&gt;H6,(H5+H6)&lt;&gt;0)</formula>
    </cfRule>
    <cfRule type="expression" dxfId="51" priority="8" stopIfTrue="1">
      <formula>AND(H18&lt;H5,(H5+H6)&lt;&gt;0)</formula>
    </cfRule>
  </conditionalFormatting>
  <conditionalFormatting sqref="H7:I8 W7:W8 P7:U8 K7:N8">
    <cfRule type="expression" dxfId="50" priority="9" stopIfTrue="1">
      <formula>H$11/H$3=H7</formula>
    </cfRule>
  </conditionalFormatting>
  <conditionalFormatting sqref="E62 E21 E28 E36 E43 E50 E56 E69 E76 E83 E90 E97 E102 E110 E116 E124">
    <cfRule type="expression" dxfId="49" priority="10" stopIfTrue="1">
      <formula>TRIM(E22)&lt;&gt;""</formula>
    </cfRule>
  </conditionalFormatting>
  <conditionalFormatting sqref="H116:W116 H110:W110 H124:W124 H83:W83 H36:W36 H21:W21 H43:W43 H50:W50 H56:W56 H62:W62 H76:W76 H90:W90 H97:W97 H102:W102 H69:W69 H28:W28">
    <cfRule type="expression" dxfId="48" priority="12" stopIfTrue="1">
      <formula>H21=0</formula>
    </cfRule>
    <cfRule type="expression" dxfId="47" priority="13" stopIfTrue="1">
      <formula>(OFFSET(H21,1,0)+OFFSET(H21,2,0))&lt;&gt;0</formula>
    </cfRule>
  </conditionalFormatting>
  <conditionalFormatting sqref="H11:I11 K11:N11 P11:U11">
    <cfRule type="expression" dxfId="46" priority="14" stopIfTrue="1">
      <formula>H11=0</formula>
    </cfRule>
  </conditionalFormatting>
  <conditionalFormatting sqref="C16">
    <cfRule type="expression" dxfId="45" priority="15" stopIfTrue="1">
      <formula>AND(TRIM($C$16)&lt;&gt;"",TRIM($C$17)&lt;&gt;"")</formula>
    </cfRule>
  </conditionalFormatting>
  <conditionalFormatting sqref="B16">
    <cfRule type="expression" dxfId="44" priority="16" stopIfTrue="1">
      <formula>OR(B16&gt;SQRT($F$16/20)*140%,B16&lt;SQRT($F$16/20)*70%)</formula>
    </cfRule>
    <cfRule type="expression" dxfId="43" priority="17" stopIfTrue="1">
      <formula>OR($B$16=$C$16,$B$16="")</formula>
    </cfRule>
  </conditionalFormatting>
  <conditionalFormatting sqref="B17 E15">
    <cfRule type="expression" dxfId="42" priority="18" stopIfTrue="1">
      <formula>OR(B15&gt;SQRT($F$16/20)*140%,B15&lt;SQRT($F$16/20)*70%)</formula>
    </cfRule>
    <cfRule type="expression" dxfId="41" priority="19" stopIfTrue="1">
      <formula>OR($B$17=$C$17,$B$17="")</formula>
    </cfRule>
  </conditionalFormatting>
  <conditionalFormatting sqref="W11">
    <cfRule type="expression" dxfId="40" priority="20" stopIfTrue="1">
      <formula>W11=0</formula>
    </cfRule>
  </conditionalFormatting>
  <conditionalFormatting sqref="C17">
    <cfRule type="expression" dxfId="39" priority="21" stopIfTrue="1">
      <formula>$C$17&lt;=0</formula>
    </cfRule>
    <cfRule type="expression" dxfId="38" priority="22" stopIfTrue="1">
      <formula>NOT(ISNUMBER($C$17))</formula>
    </cfRule>
  </conditionalFormatting>
  <conditionalFormatting sqref="B18">
    <cfRule type="expression" dxfId="37" priority="23" stopIfTrue="1">
      <formula>OR(B17&gt;SQRT($F$16/20)*140%,B17&lt;SQRT($F$16/20)*70%)</formula>
    </cfRule>
  </conditionalFormatting>
  <conditionalFormatting sqref="F19">
    <cfRule type="expression" dxfId="36" priority="24" stopIfTrue="1">
      <formula>COUNTIF(X19:AB19,F19)=0</formula>
    </cfRule>
  </conditionalFormatting>
  <dataValidations xWindow="542" yWindow="594" count="11">
    <dataValidation type="list" allowBlank="1" showInputMessage="1" showErrorMessage="1" sqref="E124 Y102:AA102 Y124:Z124 Y116:AA116 E56 E50 E110 Y90:AA90 Y43:AA43 Y83:AA83 Y69:AA69 Y76:AA76 Y62:AA62 Y21:AA21 Y36:AA36">
      <formula1>$D22:$D26</formula1>
    </dataValidation>
    <dataValidation type="list" allowBlank="1" showInputMessage="1" showErrorMessage="1" sqref="E90 E83 Y50:AA50 Y56:AA56 Y110:AA110 E21 E36 E43 E62 E69 E76">
      <formula1>$D22:$D27</formula1>
    </dataValidation>
    <dataValidation type="list" allowBlank="1" showInputMessage="1" showErrorMessage="1" sqref="AA124 E97">
      <formula1>$D98:$D101</formula1>
    </dataValidation>
    <dataValidation type="list" allowBlank="1" showInputMessage="1" showErrorMessage="1" sqref="E102 E116 E28 Y28:AA28">
      <formula1>$D29:$D35</formula1>
    </dataValidation>
    <dataValidation type="decimal" errorStyle="warning" allowBlank="1" showInputMessage="1" showErrorMessage="1" errorTitle="Avertissement" error="La durée doit être comprise entre 1/3 et 4 fois la valeur optimum conseillée." promptTitle="Avertissement" prompt="La durée doit être comprise entre 1/3 et 4 fois la valeur optimum conseillée." sqref="C17">
      <formula1>(F15/20)^0.5/3</formula1>
      <formula2>(F15/20)^0.5*4</formula2>
    </dataValidation>
    <dataValidation type="list" allowBlank="1" showInputMessage="1" showErrorMessage="1" sqref="Y97:AA97">
      <formula1>$D98:$D100</formula1>
    </dataValidation>
    <dataValidation type="custom" errorStyle="warning" allowBlank="1" showInputMessage="1" showErrorMessage="1" errorTitle="Cellule calculée" error="Annulez" promptTitle="Cellule calculée" prompt="Ne pas effacer" sqref="D17 K4:N4 H16:N16 H116:W116 H110:W110 H102:W102 H97:W97 H90:W90 H83:W83 H76:W76 H69:W69 H62:W62 H56:W56 H50:W50 H43:W43 H36:W36 H28:W28 H21:W21 B10:C10 B16:B17 C12 F124 F116 F110 F102 F97 F90 F83 F76 F69 F62 F56 F50 F43 F36 F28 F21 H18:W18 W16 O17 H13:W15 H124:W124 W9:W11 P9:U11 K9:N11 H9:I11 H4:I4 W4 P4:U4 P16:U16">
      <formula1>LEFT(B4,1)="="</formula1>
    </dataValidation>
    <dataValidation type="custom" allowBlank="1" showInputMessage="1" showErrorMessage="1" error="Cette cellule doit rester vide." promptTitle="Attention" prompt="Ces cellules grisées doivent rester vides." sqref="O117:O122 V29:V34 A29:A34 O29:O34 A84:A88 V84:V88 O84:O88 O70:O74 V70:V74 A70:A74 V91:V95 A91:A95 O77:O81 V77:V81 A63:A67 A98:A100 A77:A81 O63:O67 O98:O100 O57:O60 V63:V67 O91:O95 V44:V48 O44:O48 V51:V54 A37:A41 O51:O54 A44:A48 A22:A26 V22:V26 O37:O41 V37:V41 O22:O26 A57:A60 V57:V60 A51:A54 O103:O108 V103:V108 V98:V100 A103:A108 V117:V122 A117:A122 V111:V114 A111:A114 O111:O114 O125:O128 A125:A128 V125:V128">
      <formula1>A22=""</formula1>
    </dataValidation>
    <dataValidation type="list" allowBlank="1" showInputMessage="1" showErrorMessage="1" sqref="F19">
      <formula1>$Y$19:$AA$19</formula1>
    </dataValidation>
    <dataValidation type="custom" errorStyle="warning" showInputMessage="1" showErrorMessage="1" errorTitle="Liste prédéfinie" error="Annuler" promptTitle="Liste prédéfinie" prompt="Ne pas modifier sans coordination avec les coachs et l'EPG" sqref="H19:W20">
      <formula1>LEFT(H19,1)="="</formula1>
    </dataValidation>
    <dataValidation showInputMessage="1" showErrorMessage="1" promptTitle="Paramètre fixe" prompt="Ne pas modifier sans _x000a_l'accord préalable de l'EPG" sqref="W5:W8 P5:U8 O5:O6 K5:N8 H5:I8 K3:N3 W2:W3 P3:U3 H2:I3 K2:V2"/>
  </dataValidations>
  <printOptions horizontalCentered="1" verticalCentered="1"/>
  <pageMargins left="0.15748031496062992" right="0.15748031496062992" top="0.74803149606299213" bottom="0.51181102362204722" header="0.39370078740157483" footer="0.19685039370078741"/>
  <pageSetup paperSize="9" scale="74" orientation="landscape" r:id="rId2"/>
  <headerFooter alignWithMargins="0">
    <oddHeader>&amp;L&amp;"Arial,Gras"Capgemini Sud&amp;C&amp;"Arial,Gras"&amp;11Facteurs dimensionnants 
du contexte du projet / Types d'activités&amp;R&amp;"Arial,Gras"Estimation Top-Down - Avant-vente</oddHeader>
    <oddFooter>&amp;L&amp;8&amp;F
&amp;D - &amp;T&amp;C&amp;9Document interne Capgemini
&amp;8Tout droits réservés&amp;R&amp;"Arial,Gras"Page &amp;P / &amp;N</oddFooter>
  </headerFooter>
  <colBreaks count="1" manualBreakCount="1">
    <brk id="23" max="1048575" man="1"/>
  </colBreaks>
  <legacyDrawing r:id="rId3"/>
</worksheet>
</file>

<file path=xl/worksheets/sheet2.xml><?xml version="1.0" encoding="utf-8"?>
<worksheet xmlns="http://schemas.openxmlformats.org/spreadsheetml/2006/main" xmlns:r="http://schemas.openxmlformats.org/officeDocument/2006/relationships">
  <sheetPr codeName="Feuil2" enableFormatConditionsCalculation="0">
    <tabColor indexed="52"/>
    <outlinePr summaryBelow="0" summaryRight="0"/>
    <pageSetUpPr fitToPage="1"/>
  </sheetPr>
  <dimension ref="A1:Z205"/>
  <sheetViews>
    <sheetView showGridLines="0" zoomScale="90" workbookViewId="0">
      <pane xSplit="3" ySplit="3" topLeftCell="D4" activePane="bottomRight" state="frozen"/>
      <selection activeCell="AE28" sqref="AE28"/>
      <selection pane="topRight" activeCell="AE28" sqref="AE28"/>
      <selection pane="bottomLeft" activeCell="AE28" sqref="AE28"/>
      <selection pane="bottomRight" activeCell="B34" sqref="B34:C34"/>
    </sheetView>
  </sheetViews>
  <sheetFormatPr defaultColWidth="11.42578125" defaultRowHeight="12.75" outlineLevelRow="1" outlineLevelCol="1"/>
  <cols>
    <col min="1" max="1" width="10.42578125" style="84" hidden="1" customWidth="1"/>
    <col min="2" max="2" width="26.42578125" style="1" customWidth="1"/>
    <col min="3" max="3" width="10.140625" style="19" customWidth="1"/>
    <col min="4" max="4" width="2.140625" style="135" customWidth="1"/>
    <col min="5" max="5" width="9.140625" style="19" customWidth="1"/>
    <col min="6" max="6" width="8.7109375" style="19" customWidth="1"/>
    <col min="7" max="7" width="2.140625" style="19" customWidth="1"/>
    <col min="8" max="8" width="9.42578125" style="19" customWidth="1"/>
    <col min="9" max="9" width="9" style="19" customWidth="1"/>
    <col min="10" max="10" width="2.140625" style="19" customWidth="1"/>
    <col min="11" max="11" width="10.28515625" style="19" customWidth="1"/>
    <col min="12" max="12" width="7.85546875" style="19" customWidth="1"/>
    <col min="13" max="13" width="2.140625" style="19" customWidth="1"/>
    <col min="14" max="14" width="9.140625" style="19" customWidth="1"/>
    <col min="15" max="15" width="7.85546875" style="1" customWidth="1"/>
    <col min="16" max="16" width="1.28515625" style="1" customWidth="1"/>
    <col min="17" max="17" width="2.140625" style="19" customWidth="1"/>
    <col min="18" max="18" width="10" style="19" customWidth="1"/>
    <col min="19" max="19" width="7.85546875" style="1" customWidth="1" collapsed="1"/>
    <col min="20" max="20" width="1.28515625" style="1" hidden="1" customWidth="1" outlineLevel="1"/>
    <col min="21" max="22" width="30.42578125" style="29" hidden="1" customWidth="1" outlineLevel="1"/>
    <col min="23" max="23" width="5.5703125" style="38" customWidth="1"/>
    <col min="24" max="24" width="7.7109375" style="1" customWidth="1"/>
    <col min="25" max="25" width="8.28515625" style="1" customWidth="1"/>
    <col min="26" max="26" width="7.140625" style="1" customWidth="1"/>
    <col min="27" max="27" width="8" style="1" customWidth="1"/>
    <col min="28" max="16384" width="11.42578125" style="1"/>
  </cols>
  <sheetData>
    <row r="1" spans="1:26" ht="19.5">
      <c r="A1" s="179" t="s">
        <v>182</v>
      </c>
      <c r="B1" s="550" t="str">
        <f>NomProjet</f>
        <v>A-LU CDC CMS</v>
      </c>
      <c r="C1" s="550"/>
      <c r="D1" s="132"/>
      <c r="E1" s="83">
        <v>0.18</v>
      </c>
      <c r="F1" s="89">
        <f>E1/$W1</f>
        <v>0.18</v>
      </c>
      <c r="G1" s="121"/>
      <c r="H1" s="83">
        <v>0.24</v>
      </c>
      <c r="I1" s="89">
        <f>H1/$W1</f>
        <v>0.24</v>
      </c>
      <c r="J1" s="121"/>
      <c r="K1" s="83">
        <v>0.32</v>
      </c>
      <c r="L1" s="89">
        <f>K1/$W1</f>
        <v>0.32</v>
      </c>
      <c r="M1" s="121"/>
      <c r="N1" s="83">
        <v>0.26</v>
      </c>
      <c r="O1" s="89">
        <f>N1/$W1</f>
        <v>0.26</v>
      </c>
      <c r="Q1" s="121"/>
      <c r="R1" s="87">
        <f>R2/$W2</f>
        <v>0.75</v>
      </c>
      <c r="W1" s="37">
        <f>E1+H1+K1+N1</f>
        <v>1</v>
      </c>
      <c r="X1" s="21" t="s">
        <v>95</v>
      </c>
    </row>
    <row r="2" spans="1:26" ht="14.25" thickBot="1">
      <c r="A2" s="179" t="s">
        <v>183</v>
      </c>
      <c r="C2" s="22" t="s">
        <v>94</v>
      </c>
      <c r="D2" s="22"/>
      <c r="E2" s="88">
        <f>$W2*E1/$W1</f>
        <v>1.44</v>
      </c>
      <c r="F2" s="69" t="s">
        <v>213</v>
      </c>
      <c r="G2" s="22"/>
      <c r="H2" s="88">
        <f>$W2*H1/$W1</f>
        <v>1.92</v>
      </c>
      <c r="I2" s="69" t="s">
        <v>119</v>
      </c>
      <c r="J2" s="22"/>
      <c r="K2" s="88">
        <f>$W2*K1/$W1</f>
        <v>2.56</v>
      </c>
      <c r="L2" s="69" t="s">
        <v>119</v>
      </c>
      <c r="M2" s="22"/>
      <c r="N2" s="88">
        <f>$W2*N1/$W1</f>
        <v>2.08</v>
      </c>
      <c r="O2" s="69" t="s">
        <v>119</v>
      </c>
      <c r="Q2" s="22"/>
      <c r="R2" s="88">
        <f>IF(Facteurs_Activités!E116,Facteurs_Activités!E116,Facteurs_Activités!F116)</f>
        <v>6</v>
      </c>
      <c r="S2" s="69" t="s">
        <v>119</v>
      </c>
      <c r="W2" s="59">
        <f>Facteurs_Activités!B17</f>
        <v>8</v>
      </c>
      <c r="X2" s="21" t="s">
        <v>138</v>
      </c>
      <c r="Z2" s="572" t="s">
        <v>137</v>
      </c>
    </row>
    <row r="3" spans="1:26" ht="15.75" thickBot="1">
      <c r="B3" s="551" t="s">
        <v>238</v>
      </c>
      <c r="C3" s="551"/>
      <c r="D3" s="540" t="s">
        <v>135</v>
      </c>
      <c r="E3" s="541"/>
      <c r="F3" s="542"/>
      <c r="G3" s="540" t="s">
        <v>89</v>
      </c>
      <c r="H3" s="541"/>
      <c r="I3" s="542"/>
      <c r="J3" s="540" t="s">
        <v>90</v>
      </c>
      <c r="K3" s="541"/>
      <c r="L3" s="542"/>
      <c r="M3" s="540" t="s">
        <v>91</v>
      </c>
      <c r="N3" s="541"/>
      <c r="O3" s="542"/>
      <c r="P3" s="19"/>
      <c r="Q3" s="540" t="s">
        <v>92</v>
      </c>
      <c r="R3" s="541"/>
      <c r="S3" s="542"/>
      <c r="Y3" s="91" t="s">
        <v>136</v>
      </c>
      <c r="Z3" s="573"/>
    </row>
    <row r="4" spans="1:26" ht="20.25" customHeight="1" collapsed="1" thickBot="1">
      <c r="A4" s="180" t="str">
        <f>B4&amp;"&gt;&gt;"</f>
        <v>1 - Planif. Initiale&gt;&gt;</v>
      </c>
      <c r="B4" s="555" t="str">
        <f>Facteurs_Activités!H19</f>
        <v>1 - Planif. Initiale</v>
      </c>
      <c r="C4" s="556"/>
      <c r="D4" s="538">
        <v>0.7</v>
      </c>
      <c r="E4" s="539"/>
      <c r="F4" s="28">
        <f t="array" aca="1" ref="F4" ca="1">D4*SUM(IF(Facteurs_Activités!$G$19:$X$19=Activités_Phases_Ressources!$B4,Facteurs_Activités!$G$16:$X$16,0))</f>
        <v>11.075371646975999</v>
      </c>
      <c r="G4" s="538">
        <v>0.1</v>
      </c>
      <c r="H4" s="539"/>
      <c r="I4" s="28">
        <f t="array" aca="1" ref="I4" ca="1">G4*SUM(IF(Facteurs_Activités!$G$19:$X$19=Activités_Phases_Ressources!$B4,Facteurs_Activités!$G$16:$X$16,0))</f>
        <v>1.582195949568</v>
      </c>
      <c r="J4" s="538">
        <v>0.1</v>
      </c>
      <c r="K4" s="539"/>
      <c r="L4" s="28">
        <f t="array" aca="1" ref="L4" ca="1">J4*SUM(IF(Facteurs_Activités!$G$19:$X$19=Activités_Phases_Ressources!$B4,Facteurs_Activités!$G$16:$X$16,0))</f>
        <v>1.582195949568</v>
      </c>
      <c r="M4" s="538">
        <v>0.1</v>
      </c>
      <c r="N4" s="539">
        <v>0.1</v>
      </c>
      <c r="O4" s="28">
        <f t="array" aca="1" ref="O4" ca="1">M4*SUM(IF(Facteurs_Activités!$G$19:$X$19=Activités_Phases_Ressources!$B4,Facteurs_Activités!$G$16:$X$16,0))</f>
        <v>1.582195949568</v>
      </c>
      <c r="P4" s="20"/>
      <c r="Q4" s="538">
        <v>0</v>
      </c>
      <c r="R4" s="539"/>
      <c r="S4" s="28">
        <f t="array" aca="1" ref="S4" ca="1">Q4*SUM(IF(Facteurs_Activités!$G$19:$X$19=Activités_Phases_Ressources!$B4,Facteurs_Activités!$G$16:$X$16,0))</f>
        <v>0</v>
      </c>
      <c r="T4" s="31"/>
      <c r="U4" s="559" t="s">
        <v>45</v>
      </c>
      <c r="V4" s="559"/>
      <c r="W4" s="37">
        <f>SUM(D4,G4,J4,M4,Q4)</f>
        <v>0.99999999999999989</v>
      </c>
      <c r="X4" s="40">
        <f ca="1">SUM(S4,O4,L4,I4,F4)</f>
        <v>15.821959495679998</v>
      </c>
      <c r="Y4" s="175">
        <f ca="1">X4/X$101</f>
        <v>3.5932580633495644E-2</v>
      </c>
      <c r="Z4" s="175">
        <f ca="1">X4/(X$101-X$67)</f>
        <v>3.5932580633495644E-2</v>
      </c>
    </row>
    <row r="5" spans="1:26" hidden="1" outlineLevel="1">
      <c r="A5" s="181" t="str">
        <f ca="1">SUBSTITUTE(OFFSET(A5,-1,0),"&gt;&gt;","")</f>
        <v>1 - Planif. Initiale</v>
      </c>
      <c r="B5" s="124">
        <f ca="1">SUMIF(A$3:A$100,A5,C$3:C$100)*100</f>
        <v>100</v>
      </c>
      <c r="C5" s="125"/>
      <c r="D5" s="140"/>
      <c r="E5" s="141"/>
      <c r="F5" s="163"/>
      <c r="G5" s="162"/>
      <c r="H5" s="141"/>
      <c r="I5" s="163"/>
      <c r="J5" s="162"/>
      <c r="K5" s="141"/>
      <c r="L5" s="163"/>
      <c r="M5" s="162"/>
      <c r="N5" s="141"/>
      <c r="O5" s="19"/>
      <c r="P5" s="164"/>
      <c r="Q5" s="162"/>
      <c r="R5" s="141"/>
      <c r="S5" s="19"/>
      <c r="T5" s="18"/>
      <c r="U5" s="560"/>
      <c r="V5" s="560"/>
      <c r="Y5" s="21"/>
      <c r="Z5" s="21"/>
    </row>
    <row r="6" spans="1:26" hidden="1" outlineLevel="1">
      <c r="A6" s="181" t="str">
        <f ca="1">SUBSTITUTE(OFFSET(A6,-1,0),"&gt;&gt;","")</f>
        <v>1 - Planif. Initiale</v>
      </c>
      <c r="B6" s="126" t="s">
        <v>96</v>
      </c>
      <c r="C6" s="127">
        <v>0.95</v>
      </c>
      <c r="D6" s="142"/>
      <c r="E6" s="143"/>
      <c r="F6" s="165">
        <f ca="1">SUMIF($A$3:$A$100,$A6&amp;"&gt;&gt;",F$3:F$100)*$C:$C</f>
        <v>10.521603064627199</v>
      </c>
      <c r="G6" s="142"/>
      <c r="H6" s="143"/>
      <c r="I6" s="165">
        <f ca="1">SUMIF($A$3:$A$100,$A6&amp;"&gt;&gt;",I$3:I$100)*$C:$C</f>
        <v>1.5030861520895999</v>
      </c>
      <c r="J6" s="142"/>
      <c r="K6" s="143"/>
      <c r="L6" s="165">
        <f ca="1">SUMIF($A$3:$A$100,$A6&amp;"&gt;&gt;",L$3:L$100)*$C:$C</f>
        <v>1.5030861520895999</v>
      </c>
      <c r="M6" s="142"/>
      <c r="N6" s="143"/>
      <c r="O6" s="165">
        <f ca="1">SUMIF($A$3:$A$100,$A6&amp;"&gt;&gt;",O$3:O$100)*$C:$C</f>
        <v>1.5030861520895999</v>
      </c>
      <c r="Q6" s="142"/>
      <c r="R6" s="143"/>
      <c r="S6" s="165">
        <f ca="1">SUMIF($A$3:$A$100,$A6&amp;"&gt;&gt;",S$3:S$100)*$C:$C</f>
        <v>0</v>
      </c>
      <c r="T6" s="18"/>
      <c r="U6" s="560"/>
      <c r="V6" s="560"/>
      <c r="Y6" s="21"/>
      <c r="Z6" s="21"/>
    </row>
    <row r="7" spans="1:26" ht="13.5" hidden="1" outlineLevel="1" thickBot="1">
      <c r="A7" s="181" t="str">
        <f ca="1">SUBSTITUTE(OFFSET(A7,-1,0),"&gt;&gt;","")</f>
        <v>1 - Planif. Initiale</v>
      </c>
      <c r="B7" s="126" t="s">
        <v>102</v>
      </c>
      <c r="C7" s="127">
        <v>0.05</v>
      </c>
      <c r="D7" s="142"/>
      <c r="E7" s="143"/>
      <c r="F7" s="165">
        <f ca="1">SUMIF($A$3:$A$100,$A7&amp;"&gt;&gt;",F$3:F$100)*$C:$C</f>
        <v>0.5537685823488</v>
      </c>
      <c r="G7" s="142"/>
      <c r="H7" s="143"/>
      <c r="I7" s="165">
        <f ca="1">SUMIF($A$3:$A$100,$A7&amp;"&gt;&gt;",I$3:I$100)*$C:$C</f>
        <v>7.910979747840001E-2</v>
      </c>
      <c r="J7" s="142"/>
      <c r="K7" s="143"/>
      <c r="L7" s="165">
        <f ca="1">SUMIF($A$3:$A$100,$A7&amp;"&gt;&gt;",L$3:L$100)*$C:$C</f>
        <v>7.910979747840001E-2</v>
      </c>
      <c r="M7" s="142"/>
      <c r="N7" s="143"/>
      <c r="O7" s="165">
        <f ca="1">SUMIF($A$3:$A$100,$A7&amp;"&gt;&gt;",O$3:O$100)*$C:$C</f>
        <v>7.910979747840001E-2</v>
      </c>
      <c r="Q7" s="142"/>
      <c r="R7" s="143"/>
      <c r="S7" s="165">
        <f ca="1">SUMIF($A$3:$A$100,$A7&amp;"&gt;&gt;",S$3:S$100)*$C:$C</f>
        <v>0</v>
      </c>
      <c r="T7" s="32"/>
      <c r="U7" s="561"/>
      <c r="V7" s="561"/>
      <c r="Y7" s="21"/>
      <c r="Z7" s="21"/>
    </row>
    <row r="8" spans="1:26" ht="20.25" customHeight="1" collapsed="1" thickBot="1">
      <c r="A8" s="180" t="str">
        <f>B8&amp;"&gt;&gt;"</f>
        <v>2 - monitoring Project&gt;&gt;</v>
      </c>
      <c r="B8" s="555" t="str">
        <f>Facteurs_Activités!I19</f>
        <v>2 - monitoring Project</v>
      </c>
      <c r="C8" s="556"/>
      <c r="D8" s="545">
        <f>E$2/$W$2</f>
        <v>0.18</v>
      </c>
      <c r="E8" s="546"/>
      <c r="F8" s="28">
        <f t="array" aca="1" ref="F8" ca="1">D8*SUM(IF(Facteurs_Activités!$G$19:$X$19=Activités_Phases_Ressources!$B8,Facteurs_Activités!$G$16:$X$16,0))</f>
        <v>17.119535041426197</v>
      </c>
      <c r="G8" s="545">
        <f>H$2/$W$2</f>
        <v>0.24</v>
      </c>
      <c r="H8" s="546"/>
      <c r="I8" s="28">
        <f t="array" aca="1" ref="I8" ca="1">G8*SUM(IF(Facteurs_Activités!$G$19:$X$19=Activités_Phases_Ressources!$B8,Facteurs_Activités!$G$16:$X$16,0))</f>
        <v>22.826046721901594</v>
      </c>
      <c r="J8" s="545">
        <f>K$2/$W$2</f>
        <v>0.32</v>
      </c>
      <c r="K8" s="546"/>
      <c r="L8" s="28">
        <f t="array" aca="1" ref="L8" ca="1">J8*SUM(IF(Facteurs_Activités!$G$19:$X$19=Activités_Phases_Ressources!$B8,Facteurs_Activités!$G$16:$X$16,0))</f>
        <v>30.434728962535459</v>
      </c>
      <c r="M8" s="545">
        <f>N$2/$W$2</f>
        <v>0.26</v>
      </c>
      <c r="N8" s="546"/>
      <c r="O8" s="28">
        <f t="array" aca="1" ref="O8" ca="1">M8*SUM(IF(Facteurs_Activités!$G$19:$X$19=Activités_Phases_Ressources!$B8,Facteurs_Activités!$G$16:$X$16,0))</f>
        <v>24.728217282060061</v>
      </c>
      <c r="P8" s="20"/>
      <c r="Q8" s="538">
        <v>0</v>
      </c>
      <c r="R8" s="539"/>
      <c r="S8" s="28">
        <f t="array" aca="1" ref="S8" ca="1">Q8*SUM(IF(Facteurs_Activités!$G$19:$X$19=Activités_Phases_Ressources!$B8,Facteurs_Activités!$G$16:$X$16,0))</f>
        <v>0</v>
      </c>
      <c r="T8" s="31"/>
      <c r="U8" s="559" t="s">
        <v>46</v>
      </c>
      <c r="V8" s="559"/>
      <c r="W8" s="37">
        <f>SUM(D8,G8,J8,M8,Q8)</f>
        <v>1</v>
      </c>
      <c r="X8" s="40">
        <f ca="1">SUM(S8,O8,L8,I8,F8)</f>
        <v>95.108528007923297</v>
      </c>
      <c r="Y8" s="175">
        <f ca="1">X8/X$101</f>
        <v>0.21599694099273162</v>
      </c>
      <c r="Z8" s="175">
        <f ca="1">X8/(X$101-X$67)</f>
        <v>0.21599694099273162</v>
      </c>
    </row>
    <row r="9" spans="1:26" hidden="1" outlineLevel="1">
      <c r="A9" s="181" t="str">
        <f ca="1">SUBSTITUTE(OFFSET(A9,-1,0),"&gt;&gt;","")</f>
        <v>2 - monitoring Project</v>
      </c>
      <c r="B9" s="124">
        <f ca="1">SUMIF(A$3:A$100,A9,C$3:C$100)*100</f>
        <v>100</v>
      </c>
      <c r="C9" s="125"/>
      <c r="D9" s="140"/>
      <c r="E9" s="141"/>
      <c r="F9" s="163"/>
      <c r="G9" s="162"/>
      <c r="H9" s="141"/>
      <c r="I9" s="163"/>
      <c r="J9" s="162"/>
      <c r="K9" s="141"/>
      <c r="L9" s="163"/>
      <c r="M9" s="162"/>
      <c r="N9" s="141"/>
      <c r="O9" s="19"/>
      <c r="P9" s="164"/>
      <c r="Q9" s="162"/>
      <c r="R9" s="141"/>
      <c r="S9" s="19"/>
      <c r="T9" s="18"/>
      <c r="U9" s="560"/>
      <c r="V9" s="560"/>
      <c r="W9" s="37">
        <f>SUM(D9,G9,J9,M9,Q9)</f>
        <v>0</v>
      </c>
      <c r="Y9" s="21"/>
      <c r="Z9" s="21"/>
    </row>
    <row r="10" spans="1:26" hidden="1" outlineLevel="1">
      <c r="A10" s="181" t="str">
        <f ca="1">SUBSTITUTE(OFFSET(A10,-1,0),"&gt;&gt;","")</f>
        <v>2 - monitoring Project</v>
      </c>
      <c r="B10" s="126" t="s">
        <v>96</v>
      </c>
      <c r="C10" s="127">
        <v>0.95</v>
      </c>
      <c r="D10" s="142"/>
      <c r="E10" s="143"/>
      <c r="F10" s="165">
        <f ca="1">SUMIF($A$3:$A$100,$A10&amp;"&gt;&gt;",F$3:F$100)*$C:$C</f>
        <v>16.263558289354886</v>
      </c>
      <c r="G10" s="142"/>
      <c r="H10" s="143"/>
      <c r="I10" s="165">
        <f ca="1">SUMIF($A$3:$A$100,$A10&amp;"&gt;&gt;",I$3:I$100)*$C:$C</f>
        <v>21.684744385806514</v>
      </c>
      <c r="J10" s="142"/>
      <c r="K10" s="143"/>
      <c r="L10" s="165">
        <f ca="1">SUMIF($A$3:$A$100,$A10&amp;"&gt;&gt;",L$3:L$100)*$C:$C</f>
        <v>28.912992514408685</v>
      </c>
      <c r="M10" s="142"/>
      <c r="N10" s="174"/>
      <c r="O10" s="165">
        <f ca="1">SUMIF($A$3:$A$100,$A10&amp;"&gt;&gt;",O$3:O$100)*$C:$C</f>
        <v>23.491806417957058</v>
      </c>
      <c r="Q10" s="142"/>
      <c r="R10" s="143"/>
      <c r="S10" s="165">
        <f ca="1">SUMIF($A$3:$A$100,$A10&amp;"&gt;&gt;",S$3:S$100)*$C:$C</f>
        <v>0</v>
      </c>
      <c r="T10" s="18"/>
      <c r="U10" s="560"/>
      <c r="V10" s="560"/>
      <c r="W10" s="37">
        <f>SUM(D10,G10,J10,M10,Q10)</f>
        <v>0</v>
      </c>
      <c r="Y10" s="21"/>
      <c r="Z10" s="21"/>
    </row>
    <row r="11" spans="1:26" ht="13.5" hidden="1" outlineLevel="1" thickBot="1">
      <c r="A11" s="181" t="str">
        <f ca="1">SUBSTITUTE(OFFSET(A11,-1,0),"&gt;&gt;","")</f>
        <v>2 - monitoring Project</v>
      </c>
      <c r="B11" s="126" t="s">
        <v>102</v>
      </c>
      <c r="C11" s="127">
        <v>0.05</v>
      </c>
      <c r="D11" s="142"/>
      <c r="E11" s="143"/>
      <c r="F11" s="165">
        <f ca="1">SUMIF($A$3:$A$100,$A11&amp;"&gt;&gt;",F$3:F$100)*$C:$C</f>
        <v>0.85597675207130985</v>
      </c>
      <c r="G11" s="142"/>
      <c r="H11" s="143"/>
      <c r="I11" s="165">
        <f ca="1">SUMIF($A$3:$A$100,$A11&amp;"&gt;&gt;",I$3:I$100)*$C:$C</f>
        <v>1.1413023360950798</v>
      </c>
      <c r="J11" s="142"/>
      <c r="K11" s="143"/>
      <c r="L11" s="165">
        <f ca="1">SUMIF($A$3:$A$100,$A11&amp;"&gt;&gt;",L$3:L$100)*$C:$C</f>
        <v>1.521736448126773</v>
      </c>
      <c r="M11" s="142"/>
      <c r="N11" s="143"/>
      <c r="O11" s="165">
        <f ca="1">SUMIF($A$3:$A$100,$A11&amp;"&gt;&gt;",O$3:O$100)*$C:$C</f>
        <v>1.2364108641030032</v>
      </c>
      <c r="Q11" s="142"/>
      <c r="R11" s="143"/>
      <c r="S11" s="165">
        <f ca="1">SUMIF($A$3:$A$100,$A11&amp;"&gt;&gt;",S$3:S$100)*$C:$C</f>
        <v>0</v>
      </c>
      <c r="T11" s="32"/>
      <c r="U11" s="561"/>
      <c r="V11" s="561"/>
      <c r="W11" s="37">
        <f>SUM(D11,G11,J11,M11,Q11)</f>
        <v>0</v>
      </c>
      <c r="Y11" s="21"/>
      <c r="Z11" s="21"/>
    </row>
    <row r="12" spans="1:26" ht="20.25" customHeight="1" collapsed="1" thickBot="1">
      <c r="A12" s="180" t="str">
        <f>B12&amp;"&gt;&gt;"</f>
        <v>3 - Subcontracting&gt;&gt;</v>
      </c>
      <c r="B12" s="555" t="str">
        <f>Facteurs_Activités!J19</f>
        <v>3 - Subcontracting</v>
      </c>
      <c r="C12" s="556"/>
      <c r="D12" s="543">
        <v>0.3</v>
      </c>
      <c r="E12" s="544"/>
      <c r="F12" s="28">
        <f t="array" aca="1" ref="F12" ca="1">D12*SUM(IF(Facteurs_Activités!$G$19:$X$19=Activités_Phases_Ressources!$B12,Facteurs_Activités!$G$16:$X$16,0))</f>
        <v>0</v>
      </c>
      <c r="G12" s="543">
        <v>0.2</v>
      </c>
      <c r="H12" s="544">
        <v>0.3</v>
      </c>
      <c r="I12" s="28">
        <f t="array" aca="1" ref="I12" ca="1">G12*SUM(IF(Facteurs_Activités!$G$19:$X$19=Activités_Phases_Ressources!$B12,Facteurs_Activités!$G$16:$X$16,0))</f>
        <v>0</v>
      </c>
      <c r="J12" s="543">
        <v>0.2</v>
      </c>
      <c r="K12" s="544">
        <v>0.15</v>
      </c>
      <c r="L12" s="28">
        <f t="array" aca="1" ref="L12" ca="1">J12*SUM(IF(Facteurs_Activités!$G$19:$X$19=Activités_Phases_Ressources!$B12,Facteurs_Activités!$G$16:$X$16,0))</f>
        <v>0</v>
      </c>
      <c r="M12" s="543">
        <v>0.3</v>
      </c>
      <c r="N12" s="544">
        <v>0.55000000000000004</v>
      </c>
      <c r="O12" s="28">
        <f t="array" aca="1" ref="O12" ca="1">M12*SUM(IF(Facteurs_Activités!$G$19:$X$19=Activités_Phases_Ressources!$B12,Facteurs_Activités!$G$16:$X$16,0))</f>
        <v>0</v>
      </c>
      <c r="P12" s="20"/>
      <c r="Q12" s="543"/>
      <c r="R12" s="544">
        <v>0</v>
      </c>
      <c r="S12" s="228"/>
      <c r="T12" s="31"/>
      <c r="U12" s="559" t="s">
        <v>47</v>
      </c>
      <c r="V12" s="559"/>
      <c r="W12" s="37">
        <f>SUM(D12,G12,J12,M12,Q12)</f>
        <v>1</v>
      </c>
      <c r="X12" s="40">
        <f ca="1">SUM(S12,O12,L12,I12,F12)</f>
        <v>0</v>
      </c>
      <c r="Y12" s="175">
        <f ca="1">X12/X$101</f>
        <v>0</v>
      </c>
      <c r="Z12" s="175">
        <f ca="1">X12/(X$101-X$67)</f>
        <v>0</v>
      </c>
    </row>
    <row r="13" spans="1:26" hidden="1" outlineLevel="1">
      <c r="A13" s="181" t="str">
        <f ca="1">SUBSTITUTE(OFFSET(A13,-1,0),"&gt;&gt;","")</f>
        <v>3 - Subcontracting</v>
      </c>
      <c r="B13" s="124">
        <f ca="1">SUMIF(A$3:A$100,A13,C$3:C$100)*100</f>
        <v>100</v>
      </c>
      <c r="C13" s="125"/>
      <c r="D13" s="140"/>
      <c r="E13" s="141"/>
      <c r="F13" s="163"/>
      <c r="G13" s="162"/>
      <c r="H13" s="141"/>
      <c r="I13" s="163"/>
      <c r="J13" s="162"/>
      <c r="K13" s="141"/>
      <c r="L13" s="163"/>
      <c r="M13" s="162"/>
      <c r="N13" s="141"/>
      <c r="O13" s="19"/>
      <c r="P13" s="164"/>
      <c r="Q13" s="162"/>
      <c r="R13" s="141"/>
      <c r="S13" s="19"/>
      <c r="T13" s="18"/>
      <c r="U13" s="560"/>
      <c r="V13" s="560"/>
      <c r="Y13" s="21"/>
      <c r="Z13" s="21"/>
    </row>
    <row r="14" spans="1:26" hidden="1" outlineLevel="1">
      <c r="A14" s="181" t="str">
        <f ca="1">SUBSTITUTE(OFFSET(A14,-1,0),"&gt;&gt;","")</f>
        <v>3 - Subcontracting</v>
      </c>
      <c r="B14" s="126" t="s">
        <v>96</v>
      </c>
      <c r="C14" s="127">
        <v>0.95</v>
      </c>
      <c r="D14" s="142"/>
      <c r="E14" s="143"/>
      <c r="F14" s="165">
        <f ca="1">SUMIF($A$3:$A$100,$A14&amp;"&gt;&gt;",F$3:F$100)*$C:$C</f>
        <v>0</v>
      </c>
      <c r="G14" s="142"/>
      <c r="H14" s="143"/>
      <c r="I14" s="165">
        <f ca="1">SUMIF($A$3:$A$100,$A14&amp;"&gt;&gt;",I$3:I$100)*$C:$C</f>
        <v>0</v>
      </c>
      <c r="J14" s="142"/>
      <c r="K14" s="143"/>
      <c r="L14" s="165">
        <f ca="1">SUMIF($A$3:$A$100,$A14&amp;"&gt;&gt;",L$3:L$100)*$C:$C</f>
        <v>0</v>
      </c>
      <c r="M14" s="142"/>
      <c r="N14" s="143"/>
      <c r="O14" s="165">
        <f ca="1">SUMIF($A$3:$A$100,$A14&amp;"&gt;&gt;",O$3:O$100)*$C:$C</f>
        <v>0</v>
      </c>
      <c r="Q14" s="142"/>
      <c r="R14" s="143"/>
      <c r="S14" s="165">
        <f ca="1">SUMIF($A$3:$A$100,$A14&amp;"&gt;&gt;",S$3:S$100)*$C:$C</f>
        <v>0</v>
      </c>
      <c r="T14" s="18"/>
      <c r="U14" s="560"/>
      <c r="V14" s="560"/>
      <c r="Y14" s="21"/>
      <c r="Z14" s="21"/>
    </row>
    <row r="15" spans="1:26" ht="13.5" hidden="1" outlineLevel="1" thickBot="1">
      <c r="A15" s="181" t="str">
        <f ca="1">SUBSTITUTE(OFFSET(A15,-1,0),"&gt;&gt;","")</f>
        <v>3 - Subcontracting</v>
      </c>
      <c r="B15" s="126" t="s">
        <v>102</v>
      </c>
      <c r="C15" s="127">
        <v>0.05</v>
      </c>
      <c r="D15" s="142"/>
      <c r="E15" s="143"/>
      <c r="F15" s="165">
        <f ca="1">SUMIF($A$3:$A$100,$A15&amp;"&gt;&gt;",F$3:F$100)*$C:$C</f>
        <v>0</v>
      </c>
      <c r="G15" s="142"/>
      <c r="H15" s="143"/>
      <c r="I15" s="165">
        <f ca="1">SUMIF($A$3:$A$100,$A15&amp;"&gt;&gt;",I$3:I$100)*$C:$C</f>
        <v>0</v>
      </c>
      <c r="J15" s="142"/>
      <c r="K15" s="143"/>
      <c r="L15" s="165">
        <f ca="1">SUMIF($A$3:$A$100,$A15&amp;"&gt;&gt;",L$3:L$100)*$C:$C</f>
        <v>0</v>
      </c>
      <c r="M15" s="142"/>
      <c r="N15" s="143"/>
      <c r="O15" s="165">
        <f ca="1">SUMIF($A$3:$A$100,$A15&amp;"&gt;&gt;",O$3:O$100)*$C:$C</f>
        <v>0</v>
      </c>
      <c r="Q15" s="142"/>
      <c r="R15" s="143"/>
      <c r="S15" s="165">
        <f ca="1">SUMIF($A$3:$A$100,$A15&amp;"&gt;&gt;",S$3:S$100)*$C:$C</f>
        <v>0</v>
      </c>
      <c r="T15" s="32"/>
      <c r="U15" s="561"/>
      <c r="V15" s="561"/>
      <c r="Y15" s="21"/>
      <c r="Z15" s="21"/>
    </row>
    <row r="16" spans="1:26" ht="20.25" customHeight="1" collapsed="1" thickBot="1">
      <c r="A16" s="180" t="str">
        <f>B16&amp;"&gt;&gt;"</f>
        <v>4 - Analyse Measures&gt;&gt;</v>
      </c>
      <c r="B16" s="555" t="str">
        <f>Facteurs_Activités!K19</f>
        <v>4 - Analyse Measures</v>
      </c>
      <c r="C16" s="556"/>
      <c r="D16" s="545">
        <f>E$2/$W$2</f>
        <v>0.18</v>
      </c>
      <c r="E16" s="546"/>
      <c r="F16" s="28">
        <f t="array" aca="1" ref="F16" ca="1">D16*SUM(IF(Facteurs_Activités!$G$19:$X$19=Activités_Phases_Ressources!$B16,Facteurs_Activités!$G$16:$X$16,0))</f>
        <v>0.37564566183684989</v>
      </c>
      <c r="G16" s="545">
        <f>H$2/$W$2</f>
        <v>0.24</v>
      </c>
      <c r="H16" s="546"/>
      <c r="I16" s="28">
        <f t="array" aca="1" ref="I16" ca="1">G16*SUM(IF(Facteurs_Activités!$G$19:$X$19=Activités_Phases_Ressources!$B16,Facteurs_Activités!$G$16:$X$16,0))</f>
        <v>0.50086088244913318</v>
      </c>
      <c r="J16" s="545">
        <f>K$2/$W$2</f>
        <v>0.32</v>
      </c>
      <c r="K16" s="546"/>
      <c r="L16" s="28">
        <f t="array" aca="1" ref="L16" ca="1">J16*SUM(IF(Facteurs_Activités!$G$19:$X$19=Activités_Phases_Ressources!$B16,Facteurs_Activités!$G$16:$X$16,0))</f>
        <v>0.66781450993217761</v>
      </c>
      <c r="M16" s="545">
        <f>N$2/$W$2</f>
        <v>0.26</v>
      </c>
      <c r="N16" s="546"/>
      <c r="O16" s="28">
        <f t="array" aca="1" ref="O16" ca="1">M16*SUM(IF(Facteurs_Activités!$G$19:$X$19=Activités_Phases_Ressources!$B16,Facteurs_Activités!$G$16:$X$16,0))</f>
        <v>0.54259928931989432</v>
      </c>
      <c r="P16" s="20"/>
      <c r="Q16" s="538">
        <v>0</v>
      </c>
      <c r="R16" s="539"/>
      <c r="S16" s="28">
        <f t="array" aca="1" ref="S16" ca="1">Q16*SUM(IF(Facteurs_Activités!$G$19:$X$19=Activités_Phases_Ressources!$B16,Facteurs_Activités!$G$16:$X$16,0))</f>
        <v>0</v>
      </c>
      <c r="T16" s="31"/>
      <c r="U16" s="559" t="s">
        <v>48</v>
      </c>
      <c r="V16" s="559"/>
      <c r="W16" s="37">
        <f>SUM(D16,G16,J16,M16,Q16)</f>
        <v>1</v>
      </c>
      <c r="X16" s="40">
        <f ca="1">SUM(S16,O16,L16,I16,F16)</f>
        <v>2.086920343538055</v>
      </c>
      <c r="Y16" s="175">
        <f ca="1">X16/X$101</f>
        <v>4.7395162110191414E-3</v>
      </c>
      <c r="Z16" s="175">
        <f ca="1">X16/(X$101-X$67)</f>
        <v>4.7395162110191414E-3</v>
      </c>
    </row>
    <row r="17" spans="1:26" hidden="1" outlineLevel="1">
      <c r="A17" s="181" t="str">
        <f ca="1">SUBSTITUTE(OFFSET(A17,-1,0),"&gt;&gt;","")</f>
        <v>4 - Analyse Measures</v>
      </c>
      <c r="B17" s="124">
        <f ca="1">SUMIF(A$3:A$100,A17,C$3:C$100)*100</f>
        <v>100</v>
      </c>
      <c r="C17" s="125"/>
      <c r="D17" s="140"/>
      <c r="E17" s="141"/>
      <c r="F17" s="163"/>
      <c r="G17" s="162"/>
      <c r="H17" s="141"/>
      <c r="I17" s="163"/>
      <c r="J17" s="162"/>
      <c r="K17" s="141"/>
      <c r="L17" s="163"/>
      <c r="M17" s="162"/>
      <c r="N17" s="141"/>
      <c r="O17" s="19"/>
      <c r="P17" s="164"/>
      <c r="Q17" s="162"/>
      <c r="R17" s="141"/>
      <c r="S17" s="19"/>
      <c r="T17" s="18"/>
      <c r="U17" s="560"/>
      <c r="V17" s="560"/>
      <c r="W17" s="1"/>
      <c r="Y17" s="21"/>
      <c r="Z17" s="21"/>
    </row>
    <row r="18" spans="1:26" hidden="1" outlineLevel="1">
      <c r="A18" s="181" t="str">
        <f ca="1">SUBSTITUTE(OFFSET(A18,-1,0),"&gt;&gt;","")</f>
        <v>4 - Analyse Measures</v>
      </c>
      <c r="B18" s="126" t="s">
        <v>96</v>
      </c>
      <c r="C18" s="127">
        <v>0.95</v>
      </c>
      <c r="D18" s="142"/>
      <c r="E18" s="143"/>
      <c r="F18" s="165">
        <f ca="1">SUMIF($A$3:$A$100,$A18&amp;"&gt;&gt;",F$3:F$100)*$C:$C</f>
        <v>0.3568633787450074</v>
      </c>
      <c r="G18" s="142"/>
      <c r="H18" s="143"/>
      <c r="I18" s="165">
        <f ca="1">SUMIF($A$3:$A$100,$A18&amp;"&gt;&gt;",I$3:I$100)*$C:$C</f>
        <v>0.47581783832667651</v>
      </c>
      <c r="J18" s="142"/>
      <c r="K18" s="143"/>
      <c r="L18" s="165">
        <f ca="1">SUMIF($A$3:$A$100,$A18&amp;"&gt;&gt;",L$3:L$100)*$C:$C</f>
        <v>0.63442378443556868</v>
      </c>
      <c r="M18" s="142"/>
      <c r="N18" s="143"/>
      <c r="O18" s="165">
        <f ca="1">SUMIF($A$3:$A$100,$A18&amp;"&gt;&gt;",O$3:O$100)*$C:$C</f>
        <v>0.51546932485389962</v>
      </c>
      <c r="Q18" s="142"/>
      <c r="R18" s="143"/>
      <c r="S18" s="165">
        <f ca="1">SUMIF($A$3:$A$100,$A18&amp;"&gt;&gt;",S$3:S$100)*$C:$C</f>
        <v>0</v>
      </c>
      <c r="T18" s="18"/>
      <c r="U18" s="560"/>
      <c r="V18" s="560"/>
      <c r="W18" s="1"/>
      <c r="Y18" s="21"/>
      <c r="Z18" s="21"/>
    </row>
    <row r="19" spans="1:26" ht="13.5" hidden="1" outlineLevel="1" thickBot="1">
      <c r="A19" s="181" t="str">
        <f ca="1">SUBSTITUTE(OFFSET(A19,-1,0),"&gt;&gt;","")</f>
        <v>4 - Analyse Measures</v>
      </c>
      <c r="B19" s="126" t="s">
        <v>102</v>
      </c>
      <c r="C19" s="127">
        <v>0.05</v>
      </c>
      <c r="D19" s="142"/>
      <c r="E19" s="143"/>
      <c r="F19" s="165">
        <f ca="1">SUMIF($A$3:$A$100,$A19&amp;"&gt;&gt;",F$3:F$100)*$C:$C</f>
        <v>1.8782283091842496E-2</v>
      </c>
      <c r="G19" s="142"/>
      <c r="H19" s="143"/>
      <c r="I19" s="165">
        <f ca="1">SUMIF($A$3:$A$100,$A19&amp;"&gt;&gt;",I$3:I$100)*$C:$C</f>
        <v>2.504304412245666E-2</v>
      </c>
      <c r="J19" s="142"/>
      <c r="K19" s="143"/>
      <c r="L19" s="165">
        <f ca="1">SUMIF($A$3:$A$100,$A19&amp;"&gt;&gt;",L$3:L$100)*$C:$C</f>
        <v>3.3390725496608882E-2</v>
      </c>
      <c r="M19" s="142"/>
      <c r="N19" s="143"/>
      <c r="O19" s="165">
        <f ca="1">SUMIF($A$3:$A$100,$A19&amp;"&gt;&gt;",O$3:O$100)*$C:$C</f>
        <v>2.7129964465994718E-2</v>
      </c>
      <c r="Q19" s="142"/>
      <c r="R19" s="143"/>
      <c r="S19" s="165">
        <f ca="1">SUMIF($A$3:$A$100,$A19&amp;"&gt;&gt;",S$3:S$100)*$C:$C</f>
        <v>0</v>
      </c>
      <c r="T19" s="32"/>
      <c r="U19" s="561"/>
      <c r="V19" s="561"/>
      <c r="W19" s="1"/>
      <c r="Y19" s="21"/>
      <c r="Z19" s="21"/>
    </row>
    <row r="20" spans="1:26" ht="20.25" customHeight="1" collapsed="1" thickBot="1">
      <c r="A20" s="180" t="str">
        <f>B20&amp;"&gt;&gt;"</f>
        <v>5 - Quality&gt;&gt;</v>
      </c>
      <c r="B20" s="555" t="str">
        <f>Facteurs_Activités!L19</f>
        <v>5 - Quality</v>
      </c>
      <c r="C20" s="556"/>
      <c r="D20" s="538">
        <v>0.25</v>
      </c>
      <c r="E20" s="539"/>
      <c r="F20" s="28">
        <f t="array" aca="1" ref="F20" ca="1">D20*SUM(IF(Facteurs_Activités!$G$19:$X$19=Activités_Phases_Ressources!$B20,Facteurs_Activités!$G$16:$X$16,0))</f>
        <v>5.2746338353159636</v>
      </c>
      <c r="G20" s="538">
        <v>0.25</v>
      </c>
      <c r="H20" s="539">
        <v>0.25</v>
      </c>
      <c r="I20" s="28">
        <f t="array" aca="1" ref="I20" ca="1">G20*SUM(IF(Facteurs_Activités!$G$19:$X$19=Activités_Phases_Ressources!$B20,Facteurs_Activités!$G$16:$X$16,0))</f>
        <v>5.2746338353159636</v>
      </c>
      <c r="J20" s="538">
        <v>0.2</v>
      </c>
      <c r="K20" s="539">
        <v>0.2</v>
      </c>
      <c r="L20" s="28">
        <f t="array" aca="1" ref="L20" ca="1">J20*SUM(IF(Facteurs_Activités!$G$19:$X$19=Activités_Phases_Ressources!$B20,Facteurs_Activités!$G$16:$X$16,0))</f>
        <v>4.2197070682527711</v>
      </c>
      <c r="M20" s="538">
        <v>0.3</v>
      </c>
      <c r="N20" s="539">
        <v>0.3</v>
      </c>
      <c r="O20" s="28">
        <f t="array" aca="1" ref="O20" ca="1">M20*SUM(IF(Facteurs_Activités!$G$19:$X$19=Activités_Phases_Ressources!$B20,Facteurs_Activités!$G$16:$X$16,0))</f>
        <v>6.3295606023791562</v>
      </c>
      <c r="P20" s="20"/>
      <c r="Q20" s="538">
        <v>0</v>
      </c>
      <c r="R20" s="539"/>
      <c r="S20" s="28">
        <f t="array" aca="1" ref="S20" ca="1">Q20*SUM(IF(Facteurs_Activités!$G$19:$X$19=Activités_Phases_Ressources!$B20,Facteurs_Activités!$G$16:$X$16,0))</f>
        <v>0</v>
      </c>
      <c r="T20" s="31"/>
      <c r="U20" s="559" t="s">
        <v>111</v>
      </c>
      <c r="V20" s="559"/>
      <c r="W20" s="37">
        <f>SUM(D20,G20,J20,M20,Q20)</f>
        <v>1</v>
      </c>
      <c r="X20" s="40">
        <f ca="1">SUM(S20,O20,L20,I20,F20)</f>
        <v>21.098535341263855</v>
      </c>
      <c r="Y20" s="175">
        <f ca="1">X20/X$101</f>
        <v>4.7915988067446263E-2</v>
      </c>
      <c r="Z20" s="175">
        <f ca="1">X20/(X$101-X$67)</f>
        <v>4.7915988067446263E-2</v>
      </c>
    </row>
    <row r="21" spans="1:26" hidden="1" outlineLevel="1">
      <c r="A21" s="181" t="str">
        <f ca="1">SUBSTITUTE(OFFSET(A21,-1,0),"&gt;&gt;","")</f>
        <v>5 - Quality</v>
      </c>
      <c r="B21" s="124">
        <f ca="1">SUMIF(A$3:A$100,A21,C$3:C$100)*100</f>
        <v>100</v>
      </c>
      <c r="C21" s="125"/>
      <c r="D21" s="140"/>
      <c r="E21" s="141"/>
      <c r="F21" s="163"/>
      <c r="G21" s="162"/>
      <c r="H21" s="141"/>
      <c r="I21" s="163"/>
      <c r="J21" s="162"/>
      <c r="K21" s="141"/>
      <c r="L21" s="163"/>
      <c r="M21" s="162"/>
      <c r="N21" s="141"/>
      <c r="O21" s="19"/>
      <c r="P21" s="164"/>
      <c r="Q21" s="162"/>
      <c r="R21" s="141"/>
      <c r="S21" s="19"/>
      <c r="T21" s="18"/>
      <c r="U21" s="560"/>
      <c r="V21" s="560"/>
      <c r="W21" s="1"/>
      <c r="Y21" s="21"/>
      <c r="Z21" s="21"/>
    </row>
    <row r="22" spans="1:26" hidden="1" outlineLevel="1">
      <c r="A22" s="181" t="str">
        <f ca="1">SUBSTITUTE(OFFSET(A22,-1,0),"&gt;&gt;","")</f>
        <v>5 - Quality</v>
      </c>
      <c r="B22" s="126" t="s">
        <v>98</v>
      </c>
      <c r="C22" s="127">
        <v>1</v>
      </c>
      <c r="D22" s="142"/>
      <c r="E22" s="143"/>
      <c r="F22" s="165">
        <f ca="1">SUMIF($A$3:$A$100,$A22&amp;"&gt;&gt;",F$3:F$100)*$C:$C</f>
        <v>5.2746338353159636</v>
      </c>
      <c r="G22" s="142"/>
      <c r="H22" s="143"/>
      <c r="I22" s="165">
        <f ca="1">SUMIF($A$3:$A$100,$A22&amp;"&gt;&gt;",I$3:I$100)*$C:$C</f>
        <v>5.2746338353159636</v>
      </c>
      <c r="J22" s="142"/>
      <c r="K22" s="143"/>
      <c r="L22" s="165">
        <f ca="1">SUMIF($A$3:$A$100,$A22&amp;"&gt;&gt;",L$3:L$100)*$C:$C</f>
        <v>4.2197070682527711</v>
      </c>
      <c r="M22" s="142"/>
      <c r="N22" s="143"/>
      <c r="O22" s="165">
        <f ca="1">SUMIF($A$3:$A$100,$A22&amp;"&gt;&gt;",O$3:O$100)*$C:$C</f>
        <v>6.3295606023791562</v>
      </c>
      <c r="Q22" s="142"/>
      <c r="R22" s="143"/>
      <c r="S22" s="165">
        <f ca="1">SUMIF($A$3:$A$100,$A22&amp;"&gt;&gt;",S$3:S$100)*$C:$C</f>
        <v>0</v>
      </c>
      <c r="T22" s="18"/>
      <c r="U22" s="560"/>
      <c r="V22" s="560"/>
      <c r="W22" s="1"/>
      <c r="Y22" s="21"/>
      <c r="Z22" s="21"/>
    </row>
    <row r="23" spans="1:26" ht="13.5" hidden="1" outlineLevel="1" thickBot="1">
      <c r="A23" s="181" t="str">
        <f ca="1">SUBSTITUTE(OFFSET(A23,-1,0),"&gt;&gt;","")</f>
        <v>5 - Quality</v>
      </c>
      <c r="B23" s="126"/>
      <c r="C23" s="127"/>
      <c r="D23" s="142"/>
      <c r="E23" s="143"/>
      <c r="F23" s="165">
        <f ca="1">SUMIF($A$3:$A$100,$A23&amp;"&gt;&gt;",F$3:F$100)*$C:$C</f>
        <v>0</v>
      </c>
      <c r="G23" s="142"/>
      <c r="H23" s="143"/>
      <c r="I23" s="165">
        <f ca="1">SUMIF($A$3:$A$100,$A23&amp;"&gt;&gt;",I$3:I$100)*$C:$C</f>
        <v>0</v>
      </c>
      <c r="J23" s="142"/>
      <c r="K23" s="143"/>
      <c r="L23" s="165">
        <f ca="1">SUMIF($A$3:$A$100,$A23&amp;"&gt;&gt;",L$3:L$100)*$C:$C</f>
        <v>0</v>
      </c>
      <c r="M23" s="142"/>
      <c r="N23" s="143"/>
      <c r="O23" s="165">
        <f ca="1">SUMIF($A$3:$A$100,$A23&amp;"&gt;&gt;",O$3:O$100)*$C:$C</f>
        <v>0</v>
      </c>
      <c r="Q23" s="142"/>
      <c r="R23" s="143"/>
      <c r="S23" s="165">
        <f ca="1">SUMIF($A$3:$A$100,$A23&amp;"&gt;&gt;",S$3:S$100)*$C:$C</f>
        <v>0</v>
      </c>
      <c r="T23" s="32"/>
      <c r="U23" s="561"/>
      <c r="V23" s="561"/>
      <c r="W23" s="1"/>
      <c r="Y23" s="21"/>
      <c r="Z23" s="21"/>
    </row>
    <row r="24" spans="1:26" ht="20.25" customHeight="1" collapsed="1" thickBot="1">
      <c r="A24" s="180" t="str">
        <f>B24&amp;"&gt;&gt;"</f>
        <v>6 - Requirements Spec&gt;&gt;</v>
      </c>
      <c r="B24" s="555" t="str">
        <f>Facteurs_Activités!M19</f>
        <v>6 - Requirements Spec</v>
      </c>
      <c r="C24" s="556"/>
      <c r="D24" s="538">
        <v>0.2</v>
      </c>
      <c r="E24" s="539"/>
      <c r="F24" s="28">
        <f t="array" aca="1" ref="F24" ca="1">D24*SUM(IF(Facteurs_Activités!$G$19:$X$19=Activités_Phases_Ressources!$B24,Facteurs_Activités!$G$16:$X$16,0))</f>
        <v>12.420000000000002</v>
      </c>
      <c r="G24" s="538">
        <v>0.6</v>
      </c>
      <c r="H24" s="539">
        <v>0.6</v>
      </c>
      <c r="I24" s="28">
        <f t="array" aca="1" ref="I24" ca="1">G24*SUM(IF(Facteurs_Activités!$G$19:$X$19=Activités_Phases_Ressources!$B24,Facteurs_Activités!$G$16:$X$16,0))</f>
        <v>37.26</v>
      </c>
      <c r="J24" s="538">
        <v>0.15</v>
      </c>
      <c r="K24" s="539">
        <v>0.15</v>
      </c>
      <c r="L24" s="28">
        <f t="array" aca="1" ref="L24" ca="1">J24*SUM(IF(Facteurs_Activités!$G$19:$X$19=Activités_Phases_Ressources!$B24,Facteurs_Activités!$G$16:$X$16,0))</f>
        <v>9.3149999999999995</v>
      </c>
      <c r="M24" s="538">
        <v>0.05</v>
      </c>
      <c r="N24" s="539">
        <v>0.05</v>
      </c>
      <c r="O24" s="28">
        <f t="array" aca="1" ref="O24" ca="1">M24*SUM(IF(Facteurs_Activités!$G$19:$X$19=Activités_Phases_Ressources!$B24,Facteurs_Activités!$G$16:$X$16,0))</f>
        <v>3.1050000000000004</v>
      </c>
      <c r="P24" s="20"/>
      <c r="Q24" s="538">
        <v>0</v>
      </c>
      <c r="R24" s="539"/>
      <c r="S24" s="28">
        <f t="array" aca="1" ref="S24" ca="1">Q24*SUM(IF(Facteurs_Activités!$G$19:$X$19=Activités_Phases_Ressources!$B24,Facteurs_Activités!$G$16:$X$16,0))</f>
        <v>0</v>
      </c>
      <c r="T24" s="31"/>
      <c r="U24" s="559" t="s">
        <v>49</v>
      </c>
      <c r="V24" s="559"/>
      <c r="W24" s="37">
        <f>SUM(D24,G24,J24,M24,Q24)</f>
        <v>1</v>
      </c>
      <c r="X24" s="40">
        <f ca="1">SUM(S24,O24,L24,I24,F24)</f>
        <v>62.1</v>
      </c>
      <c r="Y24" s="175">
        <f ca="1">X24/X$101</f>
        <v>0.14103267411026685</v>
      </c>
      <c r="Z24" s="175">
        <f ca="1">X24/(X$101-X$67)</f>
        <v>0.14103267411026685</v>
      </c>
    </row>
    <row r="25" spans="1:26" hidden="1" outlineLevel="1">
      <c r="A25" s="181" t="str">
        <f ca="1">SUBSTITUTE(OFFSET(A25,-1,0),"&gt;&gt;","")</f>
        <v>6 - Requirements Spec</v>
      </c>
      <c r="B25" s="124">
        <f ca="1">SUMIF(A$3:A$100,A25,C$3:C$100)*100</f>
        <v>100</v>
      </c>
      <c r="C25" s="125"/>
      <c r="D25" s="140"/>
      <c r="E25" s="141"/>
      <c r="F25" s="163"/>
      <c r="G25" s="162"/>
      <c r="H25" s="141"/>
      <c r="I25" s="163"/>
      <c r="J25" s="162"/>
      <c r="K25" s="141"/>
      <c r="L25" s="163"/>
      <c r="M25" s="162"/>
      <c r="N25" s="141"/>
      <c r="O25" s="19"/>
      <c r="P25" s="164"/>
      <c r="Q25" s="162"/>
      <c r="R25" s="141"/>
      <c r="S25" s="19"/>
      <c r="T25" s="18"/>
      <c r="U25" s="560"/>
      <c r="V25" s="560"/>
      <c r="W25" s="1"/>
      <c r="Y25" s="21"/>
      <c r="Z25" s="21"/>
    </row>
    <row r="26" spans="1:26" hidden="1" outlineLevel="1">
      <c r="A26" s="181" t="str">
        <f ca="1">SUBSTITUTE(OFFSET(A26,-1,0),"&gt;&gt;","")</f>
        <v>6 - Requirements Spec</v>
      </c>
      <c r="B26" s="126" t="s">
        <v>103</v>
      </c>
      <c r="C26" s="127">
        <v>0.4</v>
      </c>
      <c r="D26" s="142"/>
      <c r="E26" s="143"/>
      <c r="F26" s="165">
        <f ca="1">SUMIF($A$3:$A$100,$A26&amp;"&gt;&gt;",F$3:F$100)*$C:$C</f>
        <v>4.9680000000000009</v>
      </c>
      <c r="G26" s="142"/>
      <c r="H26" s="143"/>
      <c r="I26" s="165">
        <f ca="1">SUMIF($A$3:$A$100,$A26&amp;"&gt;&gt;",I$3:I$100)*$C:$C</f>
        <v>14.904</v>
      </c>
      <c r="J26" s="142"/>
      <c r="K26" s="143"/>
      <c r="L26" s="165">
        <f ca="1">SUMIF($A$3:$A$100,$A26&amp;"&gt;&gt;",L$3:L$100)*$C:$C</f>
        <v>3.726</v>
      </c>
      <c r="M26" s="142"/>
      <c r="N26" s="143"/>
      <c r="O26" s="165">
        <f ca="1">SUMIF($A$3:$A$100,$A26&amp;"&gt;&gt;",O$3:O$100)*$C:$C</f>
        <v>1.2420000000000002</v>
      </c>
      <c r="Q26" s="142"/>
      <c r="R26" s="143"/>
      <c r="S26" s="165">
        <f ca="1">SUMIF($A$3:$A$100,$A26&amp;"&gt;&gt;",S$3:S$100)*$C:$C</f>
        <v>0</v>
      </c>
      <c r="T26" s="18"/>
      <c r="U26" s="560"/>
      <c r="V26" s="560"/>
      <c r="W26" s="1"/>
      <c r="Y26" s="21"/>
      <c r="Z26" s="21"/>
    </row>
    <row r="27" spans="1:26" hidden="1" outlineLevel="1">
      <c r="A27" s="181" t="str">
        <f ca="1">SUBSTITUTE(OFFSET(A27,-1,0),"&gt;&gt;","")</f>
        <v>6 - Requirements Spec</v>
      </c>
      <c r="B27" s="126" t="s">
        <v>104</v>
      </c>
      <c r="C27" s="127">
        <v>0.4</v>
      </c>
      <c r="D27" s="142"/>
      <c r="E27" s="143"/>
      <c r="F27" s="165">
        <f ca="1">SUMIF($A$3:$A$100,$A27&amp;"&gt;&gt;",F$3:F$100)*$C:$C</f>
        <v>4.9680000000000009</v>
      </c>
      <c r="G27" s="142"/>
      <c r="H27" s="143"/>
      <c r="I27" s="165">
        <f ca="1">SUMIF($A$3:$A$100,$A27&amp;"&gt;&gt;",I$3:I$100)*$C:$C</f>
        <v>14.904</v>
      </c>
      <c r="J27" s="142"/>
      <c r="K27" s="143"/>
      <c r="L27" s="165">
        <f ca="1">SUMIF($A$3:$A$100,$A27&amp;"&gt;&gt;",L$3:L$100)*$C:$C</f>
        <v>3.726</v>
      </c>
      <c r="M27" s="142"/>
      <c r="N27" s="143"/>
      <c r="O27" s="165">
        <f ca="1">SUMIF($A$3:$A$100,$A27&amp;"&gt;&gt;",O$3:O$100)*$C:$C</f>
        <v>1.2420000000000002</v>
      </c>
      <c r="Q27" s="142"/>
      <c r="R27" s="143"/>
      <c r="S27" s="165">
        <f ca="1">SUMIF($A$3:$A$100,$A27&amp;"&gt;&gt;",S$3:S$100)*$C:$C</f>
        <v>0</v>
      </c>
      <c r="T27" s="18"/>
      <c r="U27" s="560"/>
      <c r="V27" s="560"/>
      <c r="W27" s="1"/>
      <c r="Y27" s="21"/>
      <c r="Z27" s="21"/>
    </row>
    <row r="28" spans="1:26" ht="13.5" hidden="1" outlineLevel="1" thickBot="1">
      <c r="A28" s="181" t="str">
        <f ca="1">SUBSTITUTE(OFFSET(A28,-1,0),"&gt;&gt;","")</f>
        <v>6 - Requirements Spec</v>
      </c>
      <c r="B28" s="126" t="s">
        <v>105</v>
      </c>
      <c r="C28" s="127">
        <v>0.2</v>
      </c>
      <c r="D28" s="142"/>
      <c r="E28" s="143"/>
      <c r="F28" s="165">
        <f ca="1">SUMIF($A$3:$A$100,$A28&amp;"&gt;&gt;",F$3:F$100)*$C:$C</f>
        <v>2.4840000000000004</v>
      </c>
      <c r="G28" s="142"/>
      <c r="H28" s="143"/>
      <c r="I28" s="165">
        <f ca="1">SUMIF($A$3:$A$100,$A28&amp;"&gt;&gt;",I$3:I$100)*$C:$C</f>
        <v>7.452</v>
      </c>
      <c r="J28" s="142"/>
      <c r="K28" s="143"/>
      <c r="L28" s="165">
        <f ca="1">SUMIF($A$3:$A$100,$A28&amp;"&gt;&gt;",L$3:L$100)*$C:$C</f>
        <v>1.863</v>
      </c>
      <c r="M28" s="142"/>
      <c r="N28" s="143"/>
      <c r="O28" s="165">
        <f ca="1">SUMIF($A$3:$A$100,$A28&amp;"&gt;&gt;",O$3:O$100)*$C:$C</f>
        <v>0.62100000000000011</v>
      </c>
      <c r="Q28" s="142"/>
      <c r="R28" s="143"/>
      <c r="S28" s="165">
        <f ca="1">SUMIF($A$3:$A$100,$A28&amp;"&gt;&gt;",S$3:S$100)*$C:$C</f>
        <v>0</v>
      </c>
      <c r="T28" s="32"/>
      <c r="U28" s="561"/>
      <c r="V28" s="561"/>
      <c r="W28" s="1"/>
      <c r="Y28" s="21"/>
      <c r="Z28" s="21"/>
    </row>
    <row r="29" spans="1:26" ht="20.25" customHeight="1" collapsed="1" thickBot="1">
      <c r="A29" s="180" t="str">
        <f>B29&amp;"&gt;&gt;"</f>
        <v>7 - Conception&gt;&gt;</v>
      </c>
      <c r="B29" s="555" t="str">
        <f>Facteurs_Activités!N19</f>
        <v>7 - Conception</v>
      </c>
      <c r="C29" s="556"/>
      <c r="D29" s="538">
        <v>0</v>
      </c>
      <c r="E29" s="539"/>
      <c r="F29" s="28">
        <f t="array" aca="1" ref="F29" ca="1">D29*SUM(IF(Facteurs_Activités!$G$19:$X$19=Activités_Phases_Ressources!$B29,Facteurs_Activités!$G$16:$X$16,0))</f>
        <v>0</v>
      </c>
      <c r="G29" s="538">
        <v>0.8</v>
      </c>
      <c r="H29" s="539">
        <v>0.8</v>
      </c>
      <c r="I29" s="28">
        <f t="array" aca="1" ref="I29" ca="1">G29*SUM(IF(Facteurs_Activités!$G$19:$X$19=Activités_Phases_Ressources!$B29,Facteurs_Activités!$G$16:$X$16,0))</f>
        <v>27.6</v>
      </c>
      <c r="J29" s="538">
        <v>0.15</v>
      </c>
      <c r="K29" s="539">
        <v>0.15</v>
      </c>
      <c r="L29" s="28">
        <f t="array" aca="1" ref="L29" ca="1">J29*SUM(IF(Facteurs_Activités!$G$19:$X$19=Activités_Phases_Ressources!$B29,Facteurs_Activités!$G$16:$X$16,0))</f>
        <v>5.1749999999999998</v>
      </c>
      <c r="M29" s="538">
        <v>0.05</v>
      </c>
      <c r="N29" s="539">
        <v>0.05</v>
      </c>
      <c r="O29" s="28">
        <f t="array" aca="1" ref="O29" ca="1">M29*SUM(IF(Facteurs_Activités!$G$19:$X$19=Activités_Phases_Ressources!$B29,Facteurs_Activités!$G$16:$X$16,0))</f>
        <v>1.7250000000000001</v>
      </c>
      <c r="P29" s="20"/>
      <c r="Q29" s="538">
        <v>0</v>
      </c>
      <c r="R29" s="539"/>
      <c r="S29" s="28">
        <f t="array" aca="1" ref="S29" ca="1">Q29*SUM(IF(Facteurs_Activités!$G$19:$X$19=Activités_Phases_Ressources!$B29,Facteurs_Activités!$G$16:$X$16,0))</f>
        <v>0</v>
      </c>
      <c r="T29" s="31"/>
      <c r="U29" s="559" t="s">
        <v>50</v>
      </c>
      <c r="V29" s="559"/>
      <c r="W29" s="37">
        <f>SUM(D29,G29,J29,M29,Q29)</f>
        <v>1</v>
      </c>
      <c r="X29" s="40">
        <f ca="1">SUM(S29,O29,L29,I29,F29)</f>
        <v>34.5</v>
      </c>
      <c r="Y29" s="175">
        <f ca="1">X29/X$101</f>
        <v>7.8351485616814917E-2</v>
      </c>
      <c r="Z29" s="175">
        <f ca="1">X29/(X$101-X$67)</f>
        <v>7.8351485616814917E-2</v>
      </c>
    </row>
    <row r="30" spans="1:26" hidden="1" outlineLevel="1">
      <c r="A30" s="181" t="str">
        <f ca="1">SUBSTITUTE(OFFSET(A30,-1,0),"&gt;&gt;","")</f>
        <v>7 - Conception</v>
      </c>
      <c r="B30" s="124">
        <f ca="1">SUMIF(A$3:A$100,A30,C$3:C$100)*100</f>
        <v>100</v>
      </c>
      <c r="C30" s="125"/>
      <c r="D30" s="140"/>
      <c r="E30" s="141"/>
      <c r="F30" s="163"/>
      <c r="G30" s="162"/>
      <c r="H30" s="141"/>
      <c r="I30" s="163"/>
      <c r="J30" s="162"/>
      <c r="K30" s="141"/>
      <c r="L30" s="163"/>
      <c r="M30" s="162"/>
      <c r="N30" s="141"/>
      <c r="O30" s="19"/>
      <c r="P30" s="164"/>
      <c r="Q30" s="162"/>
      <c r="R30" s="141"/>
      <c r="S30" s="19"/>
      <c r="T30" s="18"/>
      <c r="U30" s="560"/>
      <c r="V30" s="560"/>
      <c r="W30" s="1"/>
      <c r="Y30" s="21"/>
      <c r="Z30" s="21"/>
    </row>
    <row r="31" spans="1:26" hidden="1" outlineLevel="1">
      <c r="A31" s="181" t="str">
        <f ca="1">SUBSTITUTE(OFFSET(A31,-1,0),"&gt;&gt;","")</f>
        <v>7 - Conception</v>
      </c>
      <c r="B31" s="126" t="s">
        <v>99</v>
      </c>
      <c r="C31" s="127">
        <v>0.2</v>
      </c>
      <c r="D31" s="142"/>
      <c r="E31" s="143"/>
      <c r="F31" s="165">
        <f ca="1">SUMIF($A$3:$A$100,$A31&amp;"&gt;&gt;",F$3:F$100)*$C:$C</f>
        <v>0</v>
      </c>
      <c r="G31" s="142"/>
      <c r="H31" s="143"/>
      <c r="I31" s="165">
        <f ca="1">SUMIF($A$3:$A$100,$A31&amp;"&gt;&gt;",I$3:I$100)*$C:$C</f>
        <v>5.5200000000000005</v>
      </c>
      <c r="J31" s="142"/>
      <c r="K31" s="143"/>
      <c r="L31" s="165">
        <f ca="1">SUMIF($A$3:$A$100,$A31&amp;"&gt;&gt;",L$3:L$100)*$C:$C</f>
        <v>1.0349999999999999</v>
      </c>
      <c r="M31" s="142"/>
      <c r="N31" s="143"/>
      <c r="O31" s="165">
        <f ca="1">SUMIF($A$3:$A$100,$A31&amp;"&gt;&gt;",O$3:O$100)*$C:$C</f>
        <v>0.34500000000000003</v>
      </c>
      <c r="Q31" s="142"/>
      <c r="R31" s="143"/>
      <c r="S31" s="165">
        <f ca="1">SUMIF($A$3:$A$100,$A31&amp;"&gt;&gt;",S$3:S$100)*$C:$C</f>
        <v>0</v>
      </c>
      <c r="T31" s="18"/>
      <c r="U31" s="560"/>
      <c r="V31" s="560"/>
      <c r="W31" s="1"/>
      <c r="Y31" s="21"/>
      <c r="Z31" s="21"/>
    </row>
    <row r="32" spans="1:26" hidden="1" outlineLevel="1">
      <c r="A32" s="181" t="str">
        <f ca="1">SUBSTITUTE(OFFSET(A32,-1,0),"&gt;&gt;","")</f>
        <v>7 - Conception</v>
      </c>
      <c r="B32" s="126" t="s">
        <v>105</v>
      </c>
      <c r="C32" s="127">
        <v>0.6</v>
      </c>
      <c r="D32" s="142"/>
      <c r="E32" s="143"/>
      <c r="F32" s="165">
        <f ca="1">SUMIF($A$3:$A$100,$A32&amp;"&gt;&gt;",F$3:F$100)*$C:$C</f>
        <v>0</v>
      </c>
      <c r="G32" s="142"/>
      <c r="H32" s="143"/>
      <c r="I32" s="165">
        <f ca="1">SUMIF($A$3:$A$100,$A32&amp;"&gt;&gt;",I$3:I$100)*$C:$C</f>
        <v>16.559999999999999</v>
      </c>
      <c r="J32" s="142"/>
      <c r="K32" s="143"/>
      <c r="L32" s="165">
        <f ca="1">SUMIF($A$3:$A$100,$A32&amp;"&gt;&gt;",L$3:L$100)*$C:$C</f>
        <v>3.105</v>
      </c>
      <c r="M32" s="142"/>
      <c r="N32" s="143"/>
      <c r="O32" s="165">
        <f ca="1">SUMIF($A$3:$A$100,$A32&amp;"&gt;&gt;",O$3:O$100)*$C:$C</f>
        <v>1.0349999999999999</v>
      </c>
      <c r="Q32" s="142"/>
      <c r="R32" s="143"/>
      <c r="S32" s="165">
        <f ca="1">SUMIF($A$3:$A$100,$A32&amp;"&gt;&gt;",S$3:S$100)*$C:$C</f>
        <v>0</v>
      </c>
      <c r="T32" s="18"/>
      <c r="U32" s="560"/>
      <c r="V32" s="560"/>
      <c r="W32" s="1"/>
      <c r="Y32" s="21"/>
      <c r="Z32" s="21"/>
    </row>
    <row r="33" spans="1:26" ht="13.5" hidden="1" outlineLevel="1" thickBot="1">
      <c r="A33" s="181" t="str">
        <f ca="1">SUBSTITUTE(OFFSET(A33,-1,0),"&gt;&gt;","")</f>
        <v>7 - Conception</v>
      </c>
      <c r="B33" s="126" t="s">
        <v>100</v>
      </c>
      <c r="C33" s="127">
        <v>0.2</v>
      </c>
      <c r="D33" s="142"/>
      <c r="E33" s="143"/>
      <c r="F33" s="165">
        <f ca="1">SUMIF($A$3:$A$100,$A33&amp;"&gt;&gt;",F$3:F$100)*$C:$C</f>
        <v>0</v>
      </c>
      <c r="G33" s="142"/>
      <c r="H33" s="143"/>
      <c r="I33" s="165">
        <f ca="1">SUMIF($A$3:$A$100,$A33&amp;"&gt;&gt;",I$3:I$100)*$C:$C</f>
        <v>5.5200000000000005</v>
      </c>
      <c r="J33" s="142"/>
      <c r="K33" s="143"/>
      <c r="L33" s="165">
        <f ca="1">SUMIF($A$3:$A$100,$A33&amp;"&gt;&gt;",L$3:L$100)*$C:$C</f>
        <v>1.0349999999999999</v>
      </c>
      <c r="M33" s="142"/>
      <c r="N33" s="143"/>
      <c r="O33" s="165">
        <f ca="1">SUMIF($A$3:$A$100,$A33&amp;"&gt;&gt;",O$3:O$100)*$C:$C</f>
        <v>0.34500000000000003</v>
      </c>
      <c r="Q33" s="142"/>
      <c r="R33" s="143"/>
      <c r="S33" s="165">
        <f ca="1">SUMIF($A$3:$A$100,$A33&amp;"&gt;&gt;",S$3:S$100)*$C:$C</f>
        <v>0</v>
      </c>
      <c r="T33" s="18"/>
      <c r="U33" s="561"/>
      <c r="V33" s="561"/>
      <c r="W33" s="1"/>
      <c r="Y33" s="21"/>
      <c r="Z33" s="21"/>
    </row>
    <row r="34" spans="1:26" ht="20.25" customHeight="1" collapsed="1" thickBot="1">
      <c r="A34" s="180" t="str">
        <f>B34&amp;"&gt;&gt;"</f>
        <v>8 - CTU&gt;&gt;</v>
      </c>
      <c r="B34" s="555" t="str">
        <f>Facteurs_Activités!O19</f>
        <v>8 - CTU</v>
      </c>
      <c r="C34" s="556"/>
      <c r="D34" s="538">
        <v>0</v>
      </c>
      <c r="E34" s="539"/>
      <c r="F34" s="28">
        <f t="array" aca="1" ref="F34" ca="1">D34*SUM(IF(Facteurs_Activités!$G$19:$X$19=Activités_Phases_Ressources!$B34,Facteurs_Activités!$G$16:$X$16,0))</f>
        <v>0</v>
      </c>
      <c r="G34" s="538">
        <v>0.1</v>
      </c>
      <c r="H34" s="539">
        <v>0.1</v>
      </c>
      <c r="I34" s="28">
        <f t="array" aca="1" ref="I34" ca="1">G34*SUM(IF(Facteurs_Activités!$G$19:$X$19=Activités_Phases_Ressources!$B34,Facteurs_Activités!$G$16:$X$16,0))</f>
        <v>10</v>
      </c>
      <c r="J34" s="538">
        <v>0.8</v>
      </c>
      <c r="K34" s="539">
        <v>0.8</v>
      </c>
      <c r="L34" s="28">
        <f t="array" aca="1" ref="L34" ca="1">J34*SUM(IF(Facteurs_Activités!$G$19:$X$19=Activités_Phases_Ressources!$B34,Facteurs_Activités!$G$16:$X$16,0))</f>
        <v>80</v>
      </c>
      <c r="M34" s="538">
        <v>0.1</v>
      </c>
      <c r="N34" s="539">
        <v>0.1</v>
      </c>
      <c r="O34" s="28">
        <f t="array" aca="1" ref="O34" ca="1">M34*SUM(IF(Facteurs_Activités!$G$19:$X$19=Activités_Phases_Ressources!$B34,Facteurs_Activités!$G$16:$X$16,0))</f>
        <v>10</v>
      </c>
      <c r="P34" s="20"/>
      <c r="Q34" s="538">
        <v>0</v>
      </c>
      <c r="R34" s="539"/>
      <c r="S34" s="28">
        <f t="array" aca="1" ref="S34" ca="1">Q34*SUM(IF(Facteurs_Activités!$G$19:$X$19=Activités_Phases_Ressources!$B34,Facteurs_Activités!$G$16:$X$16,0))</f>
        <v>0</v>
      </c>
      <c r="T34" s="31"/>
      <c r="U34" s="559" t="s">
        <v>51</v>
      </c>
      <c r="V34" s="559"/>
      <c r="W34" s="37">
        <f>SUM(D34,G34,J34,M34,Q34)</f>
        <v>1</v>
      </c>
      <c r="X34" s="40">
        <f ca="1">SUM(S34,O34,L34,I34,F34)</f>
        <v>100</v>
      </c>
      <c r="Y34" s="176">
        <f ca="1">X34/X$101</f>
        <v>0.22710575541105774</v>
      </c>
      <c r="Z34" s="176">
        <f ca="1">X34/(X$101-X$67)</f>
        <v>0.22710575541105774</v>
      </c>
    </row>
    <row r="35" spans="1:26" hidden="1" outlineLevel="1">
      <c r="A35" s="181" t="str">
        <f ca="1">SUBSTITUTE(OFFSET(A35,-1,0),"&gt;&gt;","")</f>
        <v>8 - CTU</v>
      </c>
      <c r="B35" s="124">
        <f ca="1">SUMIF(A$3:A$100,A35,C$3:C$100)*100</f>
        <v>100</v>
      </c>
      <c r="C35" s="125"/>
      <c r="D35" s="140"/>
      <c r="E35" s="141"/>
      <c r="F35" s="163"/>
      <c r="G35" s="162"/>
      <c r="H35" s="141"/>
      <c r="I35" s="163"/>
      <c r="J35" s="162"/>
      <c r="K35" s="141"/>
      <c r="L35" s="163"/>
      <c r="M35" s="162"/>
      <c r="N35" s="141"/>
      <c r="O35" s="19"/>
      <c r="P35" s="164"/>
      <c r="Q35" s="162"/>
      <c r="R35" s="141"/>
      <c r="S35" s="19"/>
      <c r="T35" s="18"/>
      <c r="U35" s="560"/>
      <c r="V35" s="560"/>
      <c r="W35" s="1"/>
      <c r="Y35" s="21"/>
      <c r="Z35" s="21"/>
    </row>
    <row r="36" spans="1:26" hidden="1" outlineLevel="1">
      <c r="A36" s="181" t="str">
        <f ca="1">SUBSTITUTE(OFFSET(A36,-1,0),"&gt;&gt;","")</f>
        <v>8 - CTU</v>
      </c>
      <c r="B36" s="126" t="s">
        <v>100</v>
      </c>
      <c r="C36" s="127">
        <v>1</v>
      </c>
      <c r="D36" s="142"/>
      <c r="E36" s="143"/>
      <c r="F36" s="165">
        <f ca="1">SUMIF($A$3:$A$100,$A36&amp;"&gt;&gt;",F$3:F$100)*$C:$C</f>
        <v>0</v>
      </c>
      <c r="G36" s="142"/>
      <c r="H36" s="143"/>
      <c r="I36" s="165">
        <f ca="1">SUMIF($A$3:$A$100,$A36&amp;"&gt;&gt;",I$3:I$100)*$C:$C</f>
        <v>10</v>
      </c>
      <c r="J36" s="142"/>
      <c r="K36" s="143"/>
      <c r="L36" s="165">
        <f ca="1">SUMIF($A$3:$A$100,$A36&amp;"&gt;&gt;",L$3:L$100)*$C:$C</f>
        <v>80</v>
      </c>
      <c r="M36" s="142"/>
      <c r="N36" s="143"/>
      <c r="O36" s="165">
        <f ca="1">SUMIF($A$3:$A$100,$A36&amp;"&gt;&gt;",O$3:O$100)*$C:$C</f>
        <v>10</v>
      </c>
      <c r="Q36" s="142"/>
      <c r="R36" s="143"/>
      <c r="S36" s="165">
        <f ca="1">SUMIF($A$3:$A$100,$A36&amp;"&gt;&gt;",S$3:S$100)*$C:$C</f>
        <v>0</v>
      </c>
      <c r="T36" s="18"/>
      <c r="U36" s="560"/>
      <c r="V36" s="560"/>
      <c r="W36" s="1"/>
      <c r="Y36" s="21"/>
      <c r="Z36" s="21"/>
    </row>
    <row r="37" spans="1:26" ht="13.5" hidden="1" outlineLevel="1" thickBot="1">
      <c r="A37" s="181" t="str">
        <f ca="1">SUBSTITUTE(OFFSET(A37,-1,0),"&gt;&gt;","")</f>
        <v>8 - CTU</v>
      </c>
      <c r="B37" s="126"/>
      <c r="C37" s="127"/>
      <c r="D37" s="142"/>
      <c r="E37" s="143"/>
      <c r="F37" s="165">
        <f ca="1">SUMIF($A$3:$A$100,$A37&amp;"&gt;&gt;",F$3:F$100)*$C:$C</f>
        <v>0</v>
      </c>
      <c r="G37" s="142"/>
      <c r="H37" s="143"/>
      <c r="I37" s="165">
        <f ca="1">SUMIF($A$3:$A$100,$A37&amp;"&gt;&gt;",I$3:I$100)*$C:$C</f>
        <v>0</v>
      </c>
      <c r="J37" s="142"/>
      <c r="K37" s="143"/>
      <c r="L37" s="165">
        <f ca="1">SUMIF($A$3:$A$100,$A37&amp;"&gt;&gt;",L$3:L$100)*$C:$C</f>
        <v>0</v>
      </c>
      <c r="M37" s="142"/>
      <c r="N37" s="143"/>
      <c r="O37" s="165">
        <f ca="1">SUMIF($A$3:$A$100,$A37&amp;"&gt;&gt;",O$3:O$100)*$C:$C</f>
        <v>0</v>
      </c>
      <c r="Q37" s="142"/>
      <c r="R37" s="143"/>
      <c r="S37" s="165">
        <f ca="1">SUMIF($A$3:$A$100,$A37&amp;"&gt;&gt;",S$3:S$100)*$C:$C</f>
        <v>0</v>
      </c>
      <c r="T37" s="32"/>
      <c r="U37" s="561"/>
      <c r="V37" s="561"/>
      <c r="W37" s="1"/>
      <c r="Y37" s="21"/>
      <c r="Z37" s="21"/>
    </row>
    <row r="38" spans="1:26" ht="20.25" customHeight="1" collapsed="1" thickBot="1">
      <c r="A38" s="180" t="str">
        <f>B38&amp;"&gt;&gt;"</f>
        <v>9 - Integration-Tests&gt;&gt;</v>
      </c>
      <c r="B38" s="555" t="str">
        <f>Facteurs_Activités!P19</f>
        <v>9 - Integration-Tests</v>
      </c>
      <c r="C38" s="556"/>
      <c r="D38" s="538">
        <v>0</v>
      </c>
      <c r="E38" s="539"/>
      <c r="F38" s="28">
        <f t="array" aca="1" ref="F38" ca="1">D38*SUM(IF(Facteurs_Activités!$G$19:$X$19=Activités_Phases_Ressources!$B38,Facteurs_Activités!$G$16:$X$16,0))</f>
        <v>0</v>
      </c>
      <c r="G38" s="538">
        <v>0.05</v>
      </c>
      <c r="H38" s="539">
        <v>0.05</v>
      </c>
      <c r="I38" s="28">
        <f t="array" aca="1" ref="I38" ca="1">G38*SUM(IF(Facteurs_Activités!$G$19:$X$19=Activités_Phases_Ressources!$B38,Facteurs_Activités!$G$16:$X$16,0))</f>
        <v>1.5</v>
      </c>
      <c r="J38" s="538">
        <v>0.65</v>
      </c>
      <c r="K38" s="539">
        <v>0.65</v>
      </c>
      <c r="L38" s="28">
        <f t="array" aca="1" ref="L38" ca="1">J38*SUM(IF(Facteurs_Activités!$G$19:$X$19=Activités_Phases_Ressources!$B38,Facteurs_Activités!$G$16:$X$16,0))</f>
        <v>19.5</v>
      </c>
      <c r="M38" s="538">
        <v>0.3</v>
      </c>
      <c r="N38" s="539">
        <v>0.3</v>
      </c>
      <c r="O38" s="28">
        <f t="array" aca="1" ref="O38" ca="1">M38*SUM(IF(Facteurs_Activités!$G$19:$X$19=Activités_Phases_Ressources!$B38,Facteurs_Activités!$G$16:$X$16,0))</f>
        <v>9</v>
      </c>
      <c r="P38" s="20"/>
      <c r="Q38" s="538">
        <v>0</v>
      </c>
      <c r="R38" s="539"/>
      <c r="S38" s="28">
        <f t="array" aca="1" ref="S38" ca="1">Q38*SUM(IF(Facteurs_Activités!$G$19:$X$19=Activités_Phases_Ressources!$B38,Facteurs_Activités!$G$16:$X$16,0))</f>
        <v>0</v>
      </c>
      <c r="T38" s="31"/>
      <c r="U38" s="559" t="s">
        <v>52</v>
      </c>
      <c r="V38" s="559"/>
      <c r="W38" s="37">
        <f>SUM(D38,G38,J38,M38,Q38)</f>
        <v>1</v>
      </c>
      <c r="X38" s="40">
        <f ca="1">SUM(S38,O38,L38,I38,F38)</f>
        <v>30</v>
      </c>
      <c r="Y38" s="175">
        <f ca="1">X38/X$101</f>
        <v>6.8131726623317318E-2</v>
      </c>
      <c r="Z38" s="175">
        <f ca="1">X38/(X$101-X$67)</f>
        <v>6.8131726623317318E-2</v>
      </c>
    </row>
    <row r="39" spans="1:26" hidden="1" outlineLevel="1">
      <c r="A39" s="181" t="str">
        <f ca="1">SUBSTITUTE(OFFSET(A39,-1,0),"&gt;&gt;","")</f>
        <v>9 - Integration-Tests</v>
      </c>
      <c r="B39" s="124">
        <f ca="1">SUMIF(A$3:A$100,A39,C$3:C$100)*100</f>
        <v>100</v>
      </c>
      <c r="C39" s="125"/>
      <c r="D39" s="140"/>
      <c r="E39" s="141"/>
      <c r="F39" s="163"/>
      <c r="G39" s="162"/>
      <c r="H39" s="141"/>
      <c r="I39" s="163"/>
      <c r="J39" s="162"/>
      <c r="K39" s="141"/>
      <c r="L39" s="163"/>
      <c r="M39" s="162"/>
      <c r="N39" s="141"/>
      <c r="O39" s="19"/>
      <c r="P39" s="164"/>
      <c r="Q39" s="162"/>
      <c r="R39" s="141"/>
      <c r="S39" s="19"/>
      <c r="T39" s="18"/>
      <c r="U39" s="560"/>
      <c r="V39" s="560"/>
      <c r="W39" s="1"/>
      <c r="Y39" s="21"/>
      <c r="Z39" s="21"/>
    </row>
    <row r="40" spans="1:26" hidden="1" outlineLevel="1">
      <c r="A40" s="181" t="str">
        <f ca="1">SUBSTITUTE(OFFSET(A40,-1,0),"&gt;&gt;","")</f>
        <v>9 - Integration-Tests</v>
      </c>
      <c r="B40" s="126" t="s">
        <v>105</v>
      </c>
      <c r="C40" s="127">
        <v>0.3</v>
      </c>
      <c r="D40" s="142"/>
      <c r="E40" s="143"/>
      <c r="F40" s="26">
        <f ca="1">SUMIF($A$3:$A$100,$A40&amp;"&gt;&gt;",F$3:F$100)*$C:$C</f>
        <v>0</v>
      </c>
      <c r="G40" s="142"/>
      <c r="H40" s="143"/>
      <c r="I40" s="26">
        <f ca="1">SUMIF($A$3:$A$100,$A40&amp;"&gt;&gt;",I$3:I$100)*$C:$C</f>
        <v>0.44999999999999996</v>
      </c>
      <c r="J40" s="142"/>
      <c r="K40" s="143"/>
      <c r="L40" s="26">
        <f ca="1">SUMIF($A$3:$A$100,$A40&amp;"&gt;&gt;",L$3:L$100)*$C:$C</f>
        <v>5.85</v>
      </c>
      <c r="M40" s="142"/>
      <c r="N40" s="143"/>
      <c r="O40" s="26">
        <f ca="1">SUMIF($A$3:$A$100,$A40&amp;"&gt;&gt;",O$3:O$100)*$C:$C</f>
        <v>2.6999999999999997</v>
      </c>
      <c r="Q40" s="142"/>
      <c r="R40" s="143"/>
      <c r="S40" s="26">
        <f ca="1">SUMIF($A$3:$A$100,$A40&amp;"&gt;&gt;",S$3:S$100)*$C:$C</f>
        <v>0</v>
      </c>
      <c r="T40" s="18"/>
      <c r="U40" s="560"/>
      <c r="V40" s="560"/>
      <c r="W40" s="1"/>
      <c r="Y40" s="21"/>
      <c r="Z40" s="21"/>
    </row>
    <row r="41" spans="1:26" ht="13.5" hidden="1" outlineLevel="1" thickBot="1">
      <c r="A41" s="181" t="str">
        <f ca="1">SUBSTITUTE(OFFSET(A41,-1,0),"&gt;&gt;","")</f>
        <v>9 - Integration-Tests</v>
      </c>
      <c r="B41" s="126" t="s">
        <v>100</v>
      </c>
      <c r="C41" s="127">
        <v>0.7</v>
      </c>
      <c r="D41" s="142"/>
      <c r="E41" s="143"/>
      <c r="F41" s="26">
        <f ca="1">SUMIF($A$3:$A$100,$A41&amp;"&gt;&gt;",F$3:F$100)*$C:$C</f>
        <v>0</v>
      </c>
      <c r="G41" s="142"/>
      <c r="H41" s="143"/>
      <c r="I41" s="26">
        <f ca="1">SUMIF($A$3:$A$100,$A41&amp;"&gt;&gt;",I$3:I$100)*$C:$C</f>
        <v>1.0499999999999998</v>
      </c>
      <c r="J41" s="142"/>
      <c r="K41" s="143"/>
      <c r="L41" s="26">
        <f ca="1">SUMIF($A$3:$A$100,$A41&amp;"&gt;&gt;",L$3:L$100)*$C:$C</f>
        <v>13.649999999999999</v>
      </c>
      <c r="M41" s="142"/>
      <c r="N41" s="143"/>
      <c r="O41" s="26">
        <f ca="1">SUMIF($A$3:$A$100,$A41&amp;"&gt;&gt;",O$3:O$100)*$C:$C</f>
        <v>6.3</v>
      </c>
      <c r="Q41" s="142"/>
      <c r="R41" s="143"/>
      <c r="S41" s="26">
        <f ca="1">SUMIF($A$3:$A$100,$A41&amp;"&gt;&gt;",S$3:S$100)*$C:$C</f>
        <v>0</v>
      </c>
      <c r="T41" s="32"/>
      <c r="U41" s="561"/>
      <c r="V41" s="561"/>
      <c r="W41" s="1"/>
      <c r="Y41" s="21"/>
      <c r="Z41" s="21"/>
    </row>
    <row r="42" spans="1:26" ht="20.25" customHeight="1" collapsed="1" thickBot="1">
      <c r="A42" s="180" t="str">
        <f>B42&amp;"&gt;&gt;"</f>
        <v>10 - Verif-Magazines&gt;&gt;</v>
      </c>
      <c r="B42" s="555" t="str">
        <f>Facteurs_Activités!Q19</f>
        <v>10 - Verif-Magazines</v>
      </c>
      <c r="C42" s="556"/>
      <c r="D42" s="538">
        <v>0.2</v>
      </c>
      <c r="E42" s="539"/>
      <c r="F42" s="28">
        <f t="array" aca="1" ref="F42" ca="1">D42*SUM(IF(Facteurs_Activités!$G$19:$X$19=Activités_Phases_Ressources!$B42,Facteurs_Activités!$G$16:$X$16,0))</f>
        <v>4.6880000000000006</v>
      </c>
      <c r="G42" s="538">
        <v>0.3</v>
      </c>
      <c r="H42" s="539">
        <v>0.3</v>
      </c>
      <c r="I42" s="28">
        <f t="array" aca="1" ref="I42" ca="1">G42*SUM(IF(Facteurs_Activités!$G$19:$X$19=Activités_Phases_Ressources!$B42,Facteurs_Activités!$G$16:$X$16,0))</f>
        <v>7.032</v>
      </c>
      <c r="J42" s="538">
        <v>0.2</v>
      </c>
      <c r="K42" s="539">
        <v>0.2</v>
      </c>
      <c r="L42" s="28">
        <f t="array" aca="1" ref="L42" ca="1">J42*SUM(IF(Facteurs_Activités!$G$19:$X$19=Activités_Phases_Ressources!$B42,Facteurs_Activités!$G$16:$X$16,0))</f>
        <v>4.6880000000000006</v>
      </c>
      <c r="M42" s="538">
        <v>0.3</v>
      </c>
      <c r="N42" s="539">
        <v>0.3</v>
      </c>
      <c r="O42" s="28">
        <f t="array" aca="1" ref="O42" ca="1">M42*SUM(IF(Facteurs_Activités!$G$19:$X$19=Activités_Phases_Ressources!$B42,Facteurs_Activités!$G$16:$X$16,0))</f>
        <v>7.032</v>
      </c>
      <c r="P42" s="20"/>
      <c r="Q42" s="538">
        <v>0</v>
      </c>
      <c r="R42" s="539"/>
      <c r="S42" s="28">
        <f t="array" aca="1" ref="S42" ca="1">Q42*SUM(IF(Facteurs_Activités!$G$19:$X$19=Activités_Phases_Ressources!$B42,Facteurs_Activités!$G$16:$X$16,0))</f>
        <v>0</v>
      </c>
      <c r="T42" s="31"/>
      <c r="U42" s="559" t="s">
        <v>112</v>
      </c>
      <c r="V42" s="559"/>
      <c r="W42" s="37">
        <f>SUM(D42,G42,J42,M42,Q42)</f>
        <v>1</v>
      </c>
      <c r="X42" s="40">
        <f ca="1">SUM(S42,O42,L42,I42,F42)</f>
        <v>23.440000000000005</v>
      </c>
      <c r="Y42" s="175">
        <f ca="1">X42/X$101</f>
        <v>5.3233589068351947E-2</v>
      </c>
      <c r="Z42" s="175">
        <f ca="1">X42/(X$101-X$67)</f>
        <v>5.3233589068351947E-2</v>
      </c>
    </row>
    <row r="43" spans="1:26" hidden="1" outlineLevel="1">
      <c r="A43" s="181" t="str">
        <f ca="1">SUBSTITUTE(OFFSET(A43,-1,0),"&gt;&gt;","")</f>
        <v>10 - Verif-Magazines</v>
      </c>
      <c r="B43" s="124">
        <f ca="1">SUMIF(A$3:A$100,A43,C$3:C$100)*100</f>
        <v>100</v>
      </c>
      <c r="C43" s="125"/>
      <c r="D43" s="140"/>
      <c r="E43" s="141"/>
      <c r="F43" s="163"/>
      <c r="G43" s="162"/>
      <c r="H43" s="141"/>
      <c r="I43" s="163"/>
      <c r="J43" s="162"/>
      <c r="K43" s="141"/>
      <c r="L43" s="163"/>
      <c r="M43" s="162"/>
      <c r="N43" s="141"/>
      <c r="O43" s="19"/>
      <c r="P43" s="164"/>
      <c r="Q43" s="162"/>
      <c r="R43" s="141"/>
      <c r="S43" s="19"/>
      <c r="T43" s="18"/>
      <c r="U43" s="560"/>
      <c r="V43" s="560"/>
      <c r="W43" s="1"/>
      <c r="Y43" s="21"/>
      <c r="Z43" s="21"/>
    </row>
    <row r="44" spans="1:26" hidden="1" outlineLevel="1">
      <c r="A44" s="181" t="str">
        <f ca="1">SUBSTITUTE(OFFSET(A44,-1,0),"&gt;&gt;","")</f>
        <v>10 - Verif-Magazines</v>
      </c>
      <c r="B44" s="126" t="s">
        <v>106</v>
      </c>
      <c r="C44" s="127">
        <v>0.7</v>
      </c>
      <c r="D44" s="142"/>
      <c r="E44" s="143"/>
      <c r="F44" s="165">
        <f ca="1">SUMIF($A$3:$A$100,$A44&amp;"&gt;&gt;",F$3:F$100)*$C:$C</f>
        <v>3.2816000000000001</v>
      </c>
      <c r="G44" s="142"/>
      <c r="H44" s="143"/>
      <c r="I44" s="165">
        <f ca="1">SUMIF($A$3:$A$100,$A44&amp;"&gt;&gt;",I$3:I$100)*$C:$C</f>
        <v>4.9223999999999997</v>
      </c>
      <c r="J44" s="142"/>
      <c r="K44" s="143"/>
      <c r="L44" s="165">
        <f ca="1">SUMIF($A$3:$A$100,$A44&amp;"&gt;&gt;",L$3:L$100)*$C:$C</f>
        <v>3.2816000000000001</v>
      </c>
      <c r="M44" s="142"/>
      <c r="N44" s="143"/>
      <c r="O44" s="165">
        <f ca="1">SUMIF($A$3:$A$100,$A44&amp;"&gt;&gt;",O$3:O$100)*$C:$C</f>
        <v>4.9223999999999997</v>
      </c>
      <c r="Q44" s="142"/>
      <c r="R44" s="143"/>
      <c r="S44" s="165">
        <f ca="1">SUMIF($A$3:$A$100,$A44&amp;"&gt;&gt;",S$3:S$100)*$C:$C</f>
        <v>0</v>
      </c>
      <c r="T44" s="18"/>
      <c r="U44" s="560"/>
      <c r="V44" s="560"/>
      <c r="W44" s="1"/>
      <c r="Y44" s="21"/>
      <c r="Z44" s="21"/>
    </row>
    <row r="45" spans="1:26" hidden="1" outlineLevel="1">
      <c r="A45" s="181" t="str">
        <f ca="1">SUBSTITUTE(OFFSET(A45,-1,0),"&gt;&gt;","")</f>
        <v>10 - Verif-Magazines</v>
      </c>
      <c r="B45" s="126" t="s">
        <v>105</v>
      </c>
      <c r="C45" s="127">
        <v>0.15</v>
      </c>
      <c r="D45" s="142"/>
      <c r="E45" s="143"/>
      <c r="F45" s="165">
        <f ca="1">SUMIF($A$3:$A$100,$A45&amp;"&gt;&gt;",F$3:F$100)*$C:$C</f>
        <v>0.70320000000000005</v>
      </c>
      <c r="G45" s="142"/>
      <c r="H45" s="143"/>
      <c r="I45" s="165">
        <f ca="1">SUMIF($A$3:$A$100,$A45&amp;"&gt;&gt;",I$3:I$100)*$C:$C</f>
        <v>1.0548</v>
      </c>
      <c r="J45" s="142"/>
      <c r="K45" s="143"/>
      <c r="L45" s="165">
        <f ca="1">SUMIF($A$3:$A$100,$A45&amp;"&gt;&gt;",L$3:L$100)*$C:$C</f>
        <v>0.70320000000000005</v>
      </c>
      <c r="M45" s="142"/>
      <c r="N45" s="143"/>
      <c r="O45" s="165">
        <f ca="1">SUMIF($A$3:$A$100,$A45&amp;"&gt;&gt;",O$3:O$100)*$C:$C</f>
        <v>1.0548</v>
      </c>
      <c r="Q45" s="142"/>
      <c r="R45" s="143"/>
      <c r="S45" s="165">
        <f ca="1">SUMIF($A$3:$A$100,$A45&amp;"&gt;&gt;",S$3:S$100)*$C:$C</f>
        <v>0</v>
      </c>
      <c r="T45" s="18"/>
      <c r="U45" s="560"/>
      <c r="V45" s="560"/>
      <c r="W45" s="1"/>
      <c r="Y45" s="21"/>
      <c r="Z45" s="21"/>
    </row>
    <row r="46" spans="1:26" hidden="1" outlineLevel="1">
      <c r="A46" s="181" t="str">
        <f ca="1">SUBSTITUTE(OFFSET(A46,-1,0),"&gt;&gt;","")</f>
        <v>10 - Verif-Magazines</v>
      </c>
      <c r="B46" s="126" t="s">
        <v>104</v>
      </c>
      <c r="C46" s="127">
        <v>0.15</v>
      </c>
      <c r="D46" s="142"/>
      <c r="E46" s="143"/>
      <c r="F46" s="165">
        <f ca="1">SUMIF($A$3:$A$100,$A46&amp;"&gt;&gt;",F$3:F$100)*$C:$C</f>
        <v>0.70320000000000005</v>
      </c>
      <c r="G46" s="142"/>
      <c r="H46" s="143"/>
      <c r="I46" s="165">
        <f ca="1">SUMIF($A$3:$A$100,$A46&amp;"&gt;&gt;",I$3:I$100)*$C:$C</f>
        <v>1.0548</v>
      </c>
      <c r="J46" s="142"/>
      <c r="K46" s="143"/>
      <c r="L46" s="165">
        <f ca="1">SUMIF($A$3:$A$100,$A46&amp;"&gt;&gt;",L$3:L$100)*$C:$C</f>
        <v>0.70320000000000005</v>
      </c>
      <c r="M46" s="142"/>
      <c r="N46" s="143"/>
      <c r="O46" s="165">
        <f ca="1">SUMIF($A$3:$A$100,$A46&amp;"&gt;&gt;",O$3:O$100)*$C:$C</f>
        <v>1.0548</v>
      </c>
      <c r="Q46" s="142"/>
      <c r="R46" s="143"/>
      <c r="S46" s="165">
        <f ca="1">SUMIF($A$3:$A$100,$A46&amp;"&gt;&gt;",S$3:S$100)*$C:$C</f>
        <v>0</v>
      </c>
      <c r="T46" s="18"/>
      <c r="U46" s="560"/>
      <c r="V46" s="560"/>
      <c r="W46" s="1"/>
      <c r="Y46" s="21"/>
      <c r="Z46" s="21"/>
    </row>
    <row r="47" spans="1:26" ht="13.5" hidden="1" outlineLevel="1" thickBot="1">
      <c r="A47" s="181" t="str">
        <f ca="1">SUBSTITUTE(OFFSET(A47,-1,0),"&gt;&gt;","")</f>
        <v>10 - Verif-Magazines</v>
      </c>
      <c r="B47" s="126"/>
      <c r="C47" s="127"/>
      <c r="D47" s="142"/>
      <c r="E47" s="143"/>
      <c r="F47" s="165">
        <f ca="1">SUMIF($A$3:$A$100,$A47&amp;"&gt;&gt;",F$3:F$100)*$C:$C</f>
        <v>0</v>
      </c>
      <c r="G47" s="142"/>
      <c r="H47" s="143"/>
      <c r="I47" s="165">
        <f ca="1">SUMIF($A$3:$A$100,$A47&amp;"&gt;&gt;",I$3:I$100)*$C:$C</f>
        <v>0</v>
      </c>
      <c r="J47" s="142"/>
      <c r="K47" s="143"/>
      <c r="L47" s="165">
        <f ca="1">SUMIF($A$3:$A$100,$A47&amp;"&gt;&gt;",L$3:L$100)*$C:$C</f>
        <v>0</v>
      </c>
      <c r="M47" s="142"/>
      <c r="N47" s="143"/>
      <c r="O47" s="165">
        <f ca="1">SUMIF($A$3:$A$100,$A47&amp;"&gt;&gt;",O$3:O$100)*$C:$C</f>
        <v>0</v>
      </c>
      <c r="Q47" s="142"/>
      <c r="R47" s="143"/>
      <c r="S47" s="165">
        <f ca="1">SUMIF($A$3:$A$100,$A47&amp;"&gt;&gt;",S$3:S$100)*$C:$C</f>
        <v>0</v>
      </c>
      <c r="T47" s="18"/>
      <c r="U47" s="561"/>
      <c r="V47" s="561"/>
      <c r="W47" s="1"/>
      <c r="Y47" s="21"/>
      <c r="Z47" s="21"/>
    </row>
    <row r="48" spans="1:26" ht="20.25" customHeight="1" collapsed="1" thickBot="1">
      <c r="A48" s="180" t="str">
        <f>B48&amp;"&gt;&gt;"</f>
        <v>11 - Validation recipe&gt;&gt;</v>
      </c>
      <c r="B48" s="555" t="str">
        <f>Facteurs_Activités!R19</f>
        <v>11 - Validation recipe</v>
      </c>
      <c r="C48" s="556"/>
      <c r="D48" s="538">
        <v>0</v>
      </c>
      <c r="E48" s="539"/>
      <c r="F48" s="28">
        <f t="array" aca="1" ref="F48" ca="1">D48*SUM(IF(Facteurs_Activités!$G$19:$X$19=Activités_Phases_Ressources!$B48,Facteurs_Activités!$G$16:$X$16,0))</f>
        <v>0</v>
      </c>
      <c r="G48" s="538">
        <v>0.25</v>
      </c>
      <c r="H48" s="539">
        <v>0.25</v>
      </c>
      <c r="I48" s="28">
        <f t="array" aca="1" ref="I48" ca="1">G48*SUM(IF(Facteurs_Activités!$G$19:$X$19=Activités_Phases_Ressources!$B48,Facteurs_Activités!$G$16:$X$16,0))</f>
        <v>6.0756480000000002</v>
      </c>
      <c r="J48" s="538">
        <v>0.2</v>
      </c>
      <c r="K48" s="539">
        <v>0.2</v>
      </c>
      <c r="L48" s="28">
        <f t="array" aca="1" ref="L48" ca="1">J48*SUM(IF(Facteurs_Activités!$G$19:$X$19=Activités_Phases_Ressources!$B48,Facteurs_Activités!$G$16:$X$16,0))</f>
        <v>4.8605184000000001</v>
      </c>
      <c r="M48" s="538">
        <v>0.55000000000000004</v>
      </c>
      <c r="N48" s="539">
        <v>0.55000000000000004</v>
      </c>
      <c r="O48" s="28">
        <f t="array" aca="1" ref="O48" ca="1">M48*SUM(IF(Facteurs_Activités!$G$19:$X$19=Activités_Phases_Ressources!$B48,Facteurs_Activités!$G$16:$X$16,0))</f>
        <v>13.366425600000001</v>
      </c>
      <c r="P48" s="20"/>
      <c r="Q48" s="538">
        <v>0</v>
      </c>
      <c r="R48" s="539"/>
      <c r="S48" s="28">
        <f t="array" aca="1" ref="S48" ca="1">Q48*SUM(IF(Facteurs_Activités!$G$19:$X$19=Activités_Phases_Ressources!$B48,Facteurs_Activités!$G$16:$X$16,0))</f>
        <v>0</v>
      </c>
      <c r="T48" s="31"/>
      <c r="U48" s="559" t="s">
        <v>53</v>
      </c>
      <c r="V48" s="559"/>
      <c r="W48" s="37">
        <f>SUM(D48,G48,J48,M48,Q48)</f>
        <v>1</v>
      </c>
      <c r="X48" s="40">
        <f ca="1">SUM(S48,O48,L48,I48,F48)</f>
        <v>24.302592000000004</v>
      </c>
      <c r="Y48" s="175">
        <f ca="1">X48/X$101</f>
        <v>5.5192585146067293E-2</v>
      </c>
      <c r="Z48" s="175">
        <f ca="1">X48/(X$101-X$67)</f>
        <v>5.5192585146067293E-2</v>
      </c>
    </row>
    <row r="49" spans="1:26" hidden="1" outlineLevel="1">
      <c r="A49" s="181" t="str">
        <f ca="1">SUBSTITUTE(OFFSET(A49,-1,0),"&gt;&gt;","")</f>
        <v>11 - Validation recipe</v>
      </c>
      <c r="B49" s="124">
        <f ca="1">SUMIF(A$3:A$100,A49,C$3:C$100)*100</f>
        <v>100</v>
      </c>
      <c r="C49" s="125"/>
      <c r="D49" s="140"/>
      <c r="E49" s="141"/>
      <c r="F49" s="163"/>
      <c r="G49" s="162"/>
      <c r="H49" s="141"/>
      <c r="I49" s="163"/>
      <c r="J49" s="162"/>
      <c r="K49" s="141"/>
      <c r="L49" s="163"/>
      <c r="M49" s="162"/>
      <c r="N49" s="141"/>
      <c r="O49" s="19"/>
      <c r="P49" s="164"/>
      <c r="Q49" s="162"/>
      <c r="R49" s="141"/>
      <c r="S49" s="19"/>
      <c r="T49" s="18"/>
      <c r="U49" s="560"/>
      <c r="V49" s="560"/>
      <c r="W49" s="1"/>
      <c r="Y49" s="21"/>
      <c r="Z49" s="21"/>
    </row>
    <row r="50" spans="1:26" hidden="1" outlineLevel="1">
      <c r="A50" s="181" t="str">
        <f ca="1">SUBSTITUTE(OFFSET(A50,-1,0),"&gt;&gt;","")</f>
        <v>11 - Validation recipe</v>
      </c>
      <c r="B50" s="126" t="s">
        <v>106</v>
      </c>
      <c r="C50" s="127">
        <v>0.7</v>
      </c>
      <c r="D50" s="142"/>
      <c r="E50" s="143"/>
      <c r="F50" s="165">
        <f ca="1">SUMIF($A$3:$A$100,$A50&amp;"&gt;&gt;",F$3:F$100)*$C:$C</f>
        <v>0</v>
      </c>
      <c r="G50" s="142"/>
      <c r="H50" s="143"/>
      <c r="I50" s="165">
        <f ca="1">SUMIF($A$3:$A$100,$A50&amp;"&gt;&gt;",I$3:I$100)*$C:$C</f>
        <v>4.2529535999999997</v>
      </c>
      <c r="J50" s="142"/>
      <c r="K50" s="143"/>
      <c r="L50" s="165">
        <f ca="1">SUMIF($A$3:$A$100,$A50&amp;"&gt;&gt;",L$3:L$100)*$C:$C</f>
        <v>3.4023628800000001</v>
      </c>
      <c r="M50" s="142"/>
      <c r="N50" s="143"/>
      <c r="O50" s="165">
        <f ca="1">SUMIF($A$3:$A$100,$A50&amp;"&gt;&gt;",O$3:O$100)*$C:$C</f>
        <v>9.3564979200000007</v>
      </c>
      <c r="Q50" s="142"/>
      <c r="R50" s="143"/>
      <c r="S50" s="165">
        <f ca="1">SUMIF($A$3:$A$100,$A50&amp;"&gt;&gt;",S$3:S$100)*$C:$C</f>
        <v>0</v>
      </c>
      <c r="T50" s="18"/>
      <c r="U50" s="560"/>
      <c r="V50" s="560"/>
      <c r="W50" s="1"/>
      <c r="Y50" s="21"/>
      <c r="Z50" s="21"/>
    </row>
    <row r="51" spans="1:26" hidden="1" outlineLevel="1">
      <c r="A51" s="181" t="str">
        <f ca="1">SUBSTITUTE(OFFSET(A51,-1,0),"&gt;&gt;","")</f>
        <v>11 - Validation recipe</v>
      </c>
      <c r="B51" s="126" t="s">
        <v>105</v>
      </c>
      <c r="C51" s="127">
        <v>0.15</v>
      </c>
      <c r="D51" s="142"/>
      <c r="E51" s="143"/>
      <c r="F51" s="165">
        <f ca="1">SUMIF($A$3:$A$100,$A51&amp;"&gt;&gt;",F$3:F$100)*$C:$C</f>
        <v>0</v>
      </c>
      <c r="G51" s="142"/>
      <c r="H51" s="143"/>
      <c r="I51" s="165">
        <f ca="1">SUMIF($A$3:$A$100,$A51&amp;"&gt;&gt;",I$3:I$100)*$C:$C</f>
        <v>0.91134720000000002</v>
      </c>
      <c r="J51" s="142"/>
      <c r="K51" s="143"/>
      <c r="L51" s="165">
        <f ca="1">SUMIF($A$3:$A$100,$A51&amp;"&gt;&gt;",L$3:L$100)*$C:$C</f>
        <v>0.72907776000000002</v>
      </c>
      <c r="M51" s="142"/>
      <c r="N51" s="143"/>
      <c r="O51" s="165">
        <f ca="1">SUMIF($A$3:$A$100,$A51&amp;"&gt;&gt;",O$3:O$100)*$C:$C</f>
        <v>2.0049638400000003</v>
      </c>
      <c r="Q51" s="142"/>
      <c r="R51" s="143"/>
      <c r="S51" s="165">
        <f ca="1">SUMIF($A$3:$A$100,$A51&amp;"&gt;&gt;",S$3:S$100)*$C:$C</f>
        <v>0</v>
      </c>
      <c r="T51" s="18"/>
      <c r="U51" s="560"/>
      <c r="V51" s="560"/>
      <c r="W51" s="1"/>
      <c r="Y51" s="21"/>
      <c r="Z51" s="21"/>
    </row>
    <row r="52" spans="1:26" hidden="1" outlineLevel="1">
      <c r="A52" s="181" t="str">
        <f ca="1">SUBSTITUTE(OFFSET(A52,-1,0),"&gt;&gt;","")</f>
        <v>11 - Validation recipe</v>
      </c>
      <c r="B52" s="126" t="s">
        <v>104</v>
      </c>
      <c r="C52" s="127">
        <v>0.15</v>
      </c>
      <c r="D52" s="142"/>
      <c r="E52" s="143"/>
      <c r="F52" s="165">
        <f ca="1">SUMIF($A$3:$A$100,$A52&amp;"&gt;&gt;",F$3:F$100)*$C:$C</f>
        <v>0</v>
      </c>
      <c r="G52" s="142"/>
      <c r="H52" s="143"/>
      <c r="I52" s="165">
        <f ca="1">SUMIF($A$3:$A$100,$A52&amp;"&gt;&gt;",I$3:I$100)*$C:$C</f>
        <v>0.91134720000000002</v>
      </c>
      <c r="J52" s="142"/>
      <c r="K52" s="143"/>
      <c r="L52" s="165">
        <f ca="1">SUMIF($A$3:$A$100,$A52&amp;"&gt;&gt;",L$3:L$100)*$C:$C</f>
        <v>0.72907776000000002</v>
      </c>
      <c r="M52" s="142"/>
      <c r="N52" s="143"/>
      <c r="O52" s="165">
        <f ca="1">SUMIF($A$3:$A$100,$A52&amp;"&gt;&gt;",O$3:O$100)*$C:$C</f>
        <v>2.0049638400000003</v>
      </c>
      <c r="Q52" s="142"/>
      <c r="R52" s="143"/>
      <c r="S52" s="165">
        <f ca="1">SUMIF($A$3:$A$100,$A52&amp;"&gt;&gt;",S$3:S$100)*$C:$C</f>
        <v>0</v>
      </c>
      <c r="T52" s="18"/>
      <c r="U52" s="560"/>
      <c r="V52" s="560"/>
      <c r="W52" s="1"/>
      <c r="Y52" s="21"/>
      <c r="Z52" s="21"/>
    </row>
    <row r="53" spans="1:26" ht="13.5" hidden="1" outlineLevel="1" thickBot="1">
      <c r="A53" s="181" t="str">
        <f ca="1">SUBSTITUTE(OFFSET(A53,-1,0),"&gt;&gt;","")</f>
        <v>11 - Validation recipe</v>
      </c>
      <c r="B53" s="126"/>
      <c r="C53" s="127"/>
      <c r="D53" s="142"/>
      <c r="E53" s="143"/>
      <c r="F53" s="165">
        <f ca="1">SUMIF($A$3:$A$100,$A53&amp;"&gt;&gt;",F$3:F$100)*$C:$C</f>
        <v>0</v>
      </c>
      <c r="G53" s="142"/>
      <c r="H53" s="143"/>
      <c r="I53" s="165">
        <f ca="1">SUMIF($A$3:$A$100,$A53&amp;"&gt;&gt;",I$3:I$100)*$C:$C</f>
        <v>0</v>
      </c>
      <c r="J53" s="142"/>
      <c r="K53" s="143"/>
      <c r="L53" s="165">
        <f ca="1">SUMIF($A$3:$A$100,$A53&amp;"&gt;&gt;",L$3:L$100)*$C:$C</f>
        <v>0</v>
      </c>
      <c r="M53" s="142"/>
      <c r="N53" s="143"/>
      <c r="O53" s="165">
        <f ca="1">SUMIF($A$3:$A$100,$A53&amp;"&gt;&gt;",O$3:O$100)*$C:$C</f>
        <v>0</v>
      </c>
      <c r="Q53" s="142"/>
      <c r="R53" s="143"/>
      <c r="S53" s="165">
        <f ca="1">SUMIF($A$3:$A$100,$A53&amp;"&gt;&gt;",S$3:S$100)*$C:$C</f>
        <v>0</v>
      </c>
      <c r="T53" s="18"/>
      <c r="U53" s="561"/>
      <c r="V53" s="561"/>
      <c r="W53" s="1"/>
      <c r="Y53" s="21"/>
      <c r="Z53" s="21"/>
    </row>
    <row r="54" spans="1:26" ht="20.25" customHeight="1" collapsed="1" thickBot="1">
      <c r="A54" s="180" t="str">
        <f>B54&amp;"&gt;&gt;"</f>
        <v>12 - Configuration&gt;&gt;</v>
      </c>
      <c r="B54" s="555" t="str">
        <f>Facteurs_Activités!S19</f>
        <v>12 - Configuration</v>
      </c>
      <c r="C54" s="556"/>
      <c r="D54" s="538">
        <v>0.25</v>
      </c>
      <c r="E54" s="539"/>
      <c r="F54" s="28">
        <f t="array" aca="1" ref="F54" ca="1">D54*SUM(IF(Facteurs_Activités!$G$19:$X$19=Activités_Phases_Ressources!$B54,Facteurs_Activités!$G$16:$X$16,0))</f>
        <v>3.516</v>
      </c>
      <c r="G54" s="538">
        <v>0.15</v>
      </c>
      <c r="H54" s="539">
        <v>0.15</v>
      </c>
      <c r="I54" s="28">
        <f t="array" aca="1" ref="I54" ca="1">G54*SUM(IF(Facteurs_Activités!$G$19:$X$19=Activités_Phases_Ressources!$B54,Facteurs_Activités!$G$16:$X$16,0))</f>
        <v>2.1095999999999999</v>
      </c>
      <c r="J54" s="538">
        <v>0.2</v>
      </c>
      <c r="K54" s="539">
        <v>0.2</v>
      </c>
      <c r="L54" s="28">
        <f t="array" aca="1" ref="L54" ca="1">J54*SUM(IF(Facteurs_Activités!$G$19:$X$19=Activités_Phases_Ressources!$B54,Facteurs_Activités!$G$16:$X$16,0))</f>
        <v>2.8128000000000002</v>
      </c>
      <c r="M54" s="538">
        <v>0.4</v>
      </c>
      <c r="N54" s="539">
        <v>0.4</v>
      </c>
      <c r="O54" s="28">
        <f t="array" aca="1" ref="O54" ca="1">M54*SUM(IF(Facteurs_Activités!$G$19:$X$19=Activités_Phases_Ressources!$B54,Facteurs_Activités!$G$16:$X$16,0))</f>
        <v>5.6256000000000004</v>
      </c>
      <c r="P54" s="20"/>
      <c r="Q54" s="538">
        <v>0</v>
      </c>
      <c r="R54" s="539"/>
      <c r="S54" s="28">
        <f t="array" aca="1" ref="S54" ca="1">Q54*SUM(IF(Facteurs_Activités!$G$19:$X$19=Activités_Phases_Ressources!$B54,Facteurs_Activités!$G$16:$X$16,0))</f>
        <v>0</v>
      </c>
      <c r="T54" s="31"/>
      <c r="U54" s="559" t="s">
        <v>54</v>
      </c>
      <c r="V54" s="559"/>
      <c r="W54" s="37">
        <f>SUM(D54,G54,J54,M54,Q54)</f>
        <v>1</v>
      </c>
      <c r="X54" s="40">
        <f ca="1">SUM(S54,O54,L54,I54,F54)</f>
        <v>14.064000000000002</v>
      </c>
      <c r="Y54" s="175">
        <f ca="1">X54/X$101</f>
        <v>3.1940153441011164E-2</v>
      </c>
      <c r="Z54" s="175">
        <f ca="1">X54/(X$101-X$67)</f>
        <v>3.1940153441011164E-2</v>
      </c>
    </row>
    <row r="55" spans="1:26" hidden="1" outlineLevel="1">
      <c r="A55" s="181" t="str">
        <f ca="1">SUBSTITUTE(OFFSET(A55,-1,0),"&gt;&gt;","")</f>
        <v>12 - Configuration</v>
      </c>
      <c r="B55" s="124">
        <f ca="1">SUMIF(A$3:A$100,A55,C$3:C$100)*100</f>
        <v>100</v>
      </c>
      <c r="C55" s="125"/>
      <c r="D55" s="140"/>
      <c r="E55" s="141"/>
      <c r="F55" s="163"/>
      <c r="G55" s="162"/>
      <c r="H55" s="141"/>
      <c r="I55" s="163"/>
      <c r="J55" s="162"/>
      <c r="K55" s="141"/>
      <c r="L55" s="163"/>
      <c r="M55" s="162"/>
      <c r="N55" s="141"/>
      <c r="O55" s="19"/>
      <c r="P55" s="164"/>
      <c r="Q55" s="162"/>
      <c r="R55" s="141"/>
      <c r="S55" s="19"/>
      <c r="T55" s="18"/>
      <c r="U55" s="560"/>
      <c r="V55" s="560"/>
      <c r="W55" s="1"/>
      <c r="Y55" s="21"/>
      <c r="Z55" s="21"/>
    </row>
    <row r="56" spans="1:26" hidden="1" outlineLevel="1">
      <c r="A56" s="181" t="str">
        <f ca="1">SUBSTITUTE(OFFSET(A56,-1,0),"&gt;&gt;","")</f>
        <v>12 - Configuration</v>
      </c>
      <c r="B56" s="126" t="s">
        <v>108</v>
      </c>
      <c r="C56" s="127">
        <v>0.45</v>
      </c>
      <c r="D56" s="142"/>
      <c r="E56" s="143"/>
      <c r="F56" s="165">
        <f ca="1">SUMIF($A$3:$A$100,$A56&amp;"&gt;&gt;",F$3:F$100)*$C:$C</f>
        <v>1.5822000000000001</v>
      </c>
      <c r="G56" s="142"/>
      <c r="H56" s="143"/>
      <c r="I56" s="165">
        <f ca="1">SUMIF($A$3:$A$100,$A56&amp;"&gt;&gt;",I$3:I$100)*$C:$C</f>
        <v>0.94931999999999994</v>
      </c>
      <c r="J56" s="142"/>
      <c r="K56" s="143"/>
      <c r="L56" s="165">
        <f ca="1">SUMIF($A$3:$A$100,$A56&amp;"&gt;&gt;",L$3:L$100)*$C:$C</f>
        <v>1.2657600000000002</v>
      </c>
      <c r="M56" s="142"/>
      <c r="N56" s="143"/>
      <c r="O56" s="165">
        <f ca="1">SUMIF($A$3:$A$100,$A56&amp;"&gt;&gt;",O$3:O$100)*$C:$C</f>
        <v>2.5315200000000004</v>
      </c>
      <c r="Q56" s="142"/>
      <c r="R56" s="143"/>
      <c r="S56" s="165">
        <f ca="1">SUMIF($A$3:$A$100,$A56&amp;"&gt;&gt;",S$3:S$100)*$C:$C</f>
        <v>0</v>
      </c>
      <c r="T56" s="18"/>
      <c r="U56" s="560"/>
      <c r="V56" s="560"/>
      <c r="W56" s="1"/>
      <c r="Y56" s="21"/>
      <c r="Z56" s="21"/>
    </row>
    <row r="57" spans="1:26" hidden="1" outlineLevel="1">
      <c r="A57" s="181" t="str">
        <f ca="1">SUBSTITUTE(OFFSET(A57,-1,0),"&gt;&gt;","")</f>
        <v>12 - Configuration</v>
      </c>
      <c r="B57" s="126" t="s">
        <v>107</v>
      </c>
      <c r="C57" s="127">
        <v>0.45</v>
      </c>
      <c r="D57" s="142"/>
      <c r="E57" s="143"/>
      <c r="F57" s="165">
        <f ca="1">SUMIF($A$3:$A$100,$A57&amp;"&gt;&gt;",F$3:F$100)*$C:$C</f>
        <v>1.5822000000000001</v>
      </c>
      <c r="G57" s="142"/>
      <c r="H57" s="143"/>
      <c r="I57" s="165">
        <f ca="1">SUMIF($A$3:$A$100,$A57&amp;"&gt;&gt;",I$3:I$100)*$C:$C</f>
        <v>0.94931999999999994</v>
      </c>
      <c r="J57" s="142"/>
      <c r="K57" s="143"/>
      <c r="L57" s="165">
        <f ca="1">SUMIF($A$3:$A$100,$A57&amp;"&gt;&gt;",L$3:L$100)*$C:$C</f>
        <v>1.2657600000000002</v>
      </c>
      <c r="M57" s="142"/>
      <c r="N57" s="143"/>
      <c r="O57" s="165">
        <f ca="1">SUMIF($A$3:$A$100,$A57&amp;"&gt;&gt;",O$3:O$100)*$C:$C</f>
        <v>2.5315200000000004</v>
      </c>
      <c r="Q57" s="142"/>
      <c r="R57" s="143"/>
      <c r="S57" s="165">
        <f ca="1">SUMIF($A$3:$A$100,$A57&amp;"&gt;&gt;",S$3:S$100)*$C:$C</f>
        <v>0</v>
      </c>
      <c r="T57" s="18"/>
      <c r="U57" s="560"/>
      <c r="V57" s="560"/>
      <c r="W57" s="1"/>
      <c r="Y57" s="21"/>
      <c r="Z57" s="21"/>
    </row>
    <row r="58" spans="1:26" ht="13.5" hidden="1" outlineLevel="1" thickBot="1">
      <c r="A58" s="181" t="str">
        <f ca="1">SUBSTITUTE(OFFSET(A58,-1,0),"&gt;&gt;","")</f>
        <v>12 - Configuration</v>
      </c>
      <c r="B58" s="126" t="s">
        <v>109</v>
      </c>
      <c r="C58" s="127">
        <v>0.1</v>
      </c>
      <c r="D58" s="142"/>
      <c r="E58" s="143"/>
      <c r="F58" s="165">
        <f ca="1">SUMIF($A$3:$A$100,$A58&amp;"&gt;&gt;",F$3:F$100)*$C:$C</f>
        <v>0.35160000000000002</v>
      </c>
      <c r="G58" s="142"/>
      <c r="H58" s="143"/>
      <c r="I58" s="165">
        <f ca="1">SUMIF($A$3:$A$100,$A58&amp;"&gt;&gt;",I$3:I$100)*$C:$C</f>
        <v>0.21096000000000001</v>
      </c>
      <c r="J58" s="142"/>
      <c r="K58" s="143"/>
      <c r="L58" s="165">
        <f ca="1">SUMIF($A$3:$A$100,$A58&amp;"&gt;&gt;",L$3:L$100)*$C:$C</f>
        <v>0.28128000000000003</v>
      </c>
      <c r="M58" s="142"/>
      <c r="N58" s="143"/>
      <c r="O58" s="165">
        <f ca="1">SUMIF($A$3:$A$100,$A58&amp;"&gt;&gt;",O$3:O$100)*$C:$C</f>
        <v>0.56256000000000006</v>
      </c>
      <c r="Q58" s="142"/>
      <c r="R58" s="143"/>
      <c r="S58" s="165">
        <f ca="1">SUMIF($A$3:$A$100,$A58&amp;"&gt;&gt;",S$3:S$100)*$C:$C</f>
        <v>0</v>
      </c>
      <c r="T58" s="18"/>
      <c r="U58" s="561"/>
      <c r="V58" s="561"/>
      <c r="W58" s="1"/>
      <c r="Y58" s="21"/>
      <c r="Z58" s="21"/>
    </row>
    <row r="59" spans="1:26" ht="20.25" customHeight="1" collapsed="1" thickBot="1">
      <c r="A59" s="180" t="str">
        <f>B59&amp;"&gt;&gt;"</f>
        <v>13 - G. average&gt;&gt;</v>
      </c>
      <c r="B59" s="555" t="str">
        <f>Facteurs_Activités!T19</f>
        <v>13 - G. average</v>
      </c>
      <c r="C59" s="556"/>
      <c r="D59" s="538">
        <v>0.3</v>
      </c>
      <c r="E59" s="539"/>
      <c r="F59" s="28">
        <f t="array" aca="1" ref="F59" ca="1">D59*SUM(IF(Facteurs_Activités!$G$19:$X$19=Activités_Phases_Ressources!$B59,Facteurs_Activités!$G$16:$X$16,0))</f>
        <v>1.0829279999999999</v>
      </c>
      <c r="G59" s="538">
        <v>0.3</v>
      </c>
      <c r="H59" s="539">
        <v>0.3</v>
      </c>
      <c r="I59" s="28">
        <f t="array" aca="1" ref="I59" ca="1">G59*SUM(IF(Facteurs_Activités!$G$19:$X$19=Activités_Phases_Ressources!$B59,Facteurs_Activités!$G$16:$X$16,0))</f>
        <v>1.0829279999999999</v>
      </c>
      <c r="J59" s="538">
        <v>0.2</v>
      </c>
      <c r="K59" s="539">
        <v>0.2</v>
      </c>
      <c r="L59" s="28">
        <f t="array" aca="1" ref="L59" ca="1">J59*SUM(IF(Facteurs_Activités!$G$19:$X$19=Activités_Phases_Ressources!$B59,Facteurs_Activités!$G$16:$X$16,0))</f>
        <v>0.72195200000000004</v>
      </c>
      <c r="M59" s="538">
        <v>0.2</v>
      </c>
      <c r="N59" s="539">
        <v>0.2</v>
      </c>
      <c r="O59" s="28">
        <f t="array" aca="1" ref="O59" ca="1">M59*SUM(IF(Facteurs_Activités!$G$19:$X$19=Activités_Phases_Ressources!$B59,Facteurs_Activités!$G$16:$X$16,0))</f>
        <v>0.72195200000000004</v>
      </c>
      <c r="P59" s="20"/>
      <c r="Q59" s="538">
        <v>0</v>
      </c>
      <c r="R59" s="539"/>
      <c r="S59" s="28">
        <f t="array" aca="1" ref="S59" ca="1">Q59*SUM(IF(Facteurs_Activités!$G$19:$X$19=Activités_Phases_Ressources!$B59,Facteurs_Activités!$G$16:$X$16,0))</f>
        <v>0</v>
      </c>
      <c r="T59" s="31"/>
      <c r="U59" s="559" t="s">
        <v>55</v>
      </c>
      <c r="V59" s="559"/>
      <c r="W59" s="37">
        <f>SUM(D59,G59,J59,M59,Q59)</f>
        <v>1</v>
      </c>
      <c r="X59" s="40">
        <f ca="1">SUM(S59,O59,L59,I59,F59)</f>
        <v>3.6097599999999996</v>
      </c>
      <c r="Y59" s="175">
        <f ca="1">X59/X$101</f>
        <v>8.1979727165261973E-3</v>
      </c>
      <c r="Z59" s="175">
        <f ca="1">X59/(X$101-X$67)</f>
        <v>8.1979727165261973E-3</v>
      </c>
    </row>
    <row r="60" spans="1:26" hidden="1" outlineLevel="1">
      <c r="A60" s="181" t="str">
        <f ca="1">SUBSTITUTE(OFFSET(A60,-1,0),"&gt;&gt;","")</f>
        <v>13 - G. average</v>
      </c>
      <c r="B60" s="124">
        <f ca="1">SUMIF(A$3:A$100,A60,C$3:C$100)*100</f>
        <v>100</v>
      </c>
      <c r="C60" s="125"/>
      <c r="D60" s="140"/>
      <c r="E60" s="141"/>
      <c r="F60" s="163"/>
      <c r="G60" s="162"/>
      <c r="H60" s="141"/>
      <c r="I60" s="163"/>
      <c r="J60" s="162"/>
      <c r="K60" s="141"/>
      <c r="L60" s="163"/>
      <c r="M60" s="162"/>
      <c r="N60" s="141"/>
      <c r="O60" s="19"/>
      <c r="P60" s="164"/>
      <c r="Q60" s="162"/>
      <c r="R60" s="141"/>
      <c r="S60" s="19"/>
      <c r="T60" s="18"/>
      <c r="U60" s="560"/>
      <c r="V60" s="560"/>
      <c r="W60" s="1"/>
      <c r="Y60" s="21"/>
      <c r="Z60" s="21"/>
    </row>
    <row r="61" spans="1:26" hidden="1" outlineLevel="1">
      <c r="A61" s="181" t="str">
        <f ca="1">SUBSTITUTE(OFFSET(A61,-1,0),"&gt;&gt;","")</f>
        <v>13 - G. average</v>
      </c>
      <c r="B61" s="126" t="s">
        <v>105</v>
      </c>
      <c r="C61" s="127">
        <v>0.3</v>
      </c>
      <c r="D61" s="142"/>
      <c r="E61" s="143"/>
      <c r="F61" s="165">
        <f ca="1">SUMIF($A$3:$A$100,$A61&amp;"&gt;&gt;",F$3:F$100)*$C:$C</f>
        <v>0.32487839999999996</v>
      </c>
      <c r="G61" s="142"/>
      <c r="H61" s="143"/>
      <c r="I61" s="165">
        <f ca="1">SUMIF($A$3:$A$100,$A61&amp;"&gt;&gt;",I$3:I$100)*$C:$C</f>
        <v>0.32487839999999996</v>
      </c>
      <c r="J61" s="142"/>
      <c r="K61" s="143"/>
      <c r="L61" s="165">
        <f ca="1">SUMIF($A$3:$A$100,$A61&amp;"&gt;&gt;",L$3:L$100)*$C:$C</f>
        <v>0.21658560000000002</v>
      </c>
      <c r="M61" s="142"/>
      <c r="N61" s="143"/>
      <c r="O61" s="165">
        <f ca="1">SUMIF($A$3:$A$100,$A61&amp;"&gt;&gt;",O$3:O$100)*$C:$C</f>
        <v>0.21658560000000002</v>
      </c>
      <c r="Q61" s="142"/>
      <c r="R61" s="143"/>
      <c r="S61" s="165">
        <f ca="1">SUMIF($A$3:$A$100,$A61&amp;"&gt;&gt;",S$3:S$100)*$C:$C</f>
        <v>0</v>
      </c>
      <c r="T61" s="18"/>
      <c r="U61" s="560"/>
      <c r="V61" s="560"/>
      <c r="W61" s="1"/>
      <c r="Y61" s="21"/>
      <c r="Z61" s="21"/>
    </row>
    <row r="62" spans="1:26" ht="13.5" hidden="1" outlineLevel="1" thickBot="1">
      <c r="A62" s="181" t="str">
        <f ca="1">SUBSTITUTE(OFFSET(A62,-1,0),"&gt;&gt;","")</f>
        <v>13 - G. average</v>
      </c>
      <c r="B62" s="126" t="s">
        <v>100</v>
      </c>
      <c r="C62" s="127">
        <v>0.7</v>
      </c>
      <c r="D62" s="142"/>
      <c r="E62" s="143"/>
      <c r="F62" s="165">
        <f ca="1">SUMIF($A$3:$A$100,$A62&amp;"&gt;&gt;",F$3:F$100)*$C:$C</f>
        <v>0.75804959999999988</v>
      </c>
      <c r="G62" s="142"/>
      <c r="H62" s="143"/>
      <c r="I62" s="165">
        <f ca="1">SUMIF($A$3:$A$100,$A62&amp;"&gt;&gt;",I$3:I$100)*$C:$C</f>
        <v>0.75804959999999988</v>
      </c>
      <c r="J62" s="142"/>
      <c r="K62" s="143"/>
      <c r="L62" s="165">
        <f ca="1">SUMIF($A$3:$A$100,$A62&amp;"&gt;&gt;",L$3:L$100)*$C:$C</f>
        <v>0.50536639999999999</v>
      </c>
      <c r="M62" s="142"/>
      <c r="N62" s="143"/>
      <c r="O62" s="165">
        <f ca="1">SUMIF($A$3:$A$100,$A62&amp;"&gt;&gt;",O$3:O$100)*$C:$C</f>
        <v>0.50536639999999999</v>
      </c>
      <c r="Q62" s="142"/>
      <c r="R62" s="143"/>
      <c r="S62" s="165">
        <f ca="1">SUMIF($A$3:$A$100,$A62&amp;"&gt;&gt;",S$3:S$100)*$C:$C</f>
        <v>0</v>
      </c>
      <c r="T62" s="32"/>
      <c r="U62" s="561"/>
      <c r="V62" s="561"/>
      <c r="W62" s="1"/>
      <c r="Y62" s="21"/>
      <c r="Z62" s="21"/>
    </row>
    <row r="63" spans="1:26" ht="20.25" customHeight="1" collapsed="1" thickBot="1">
      <c r="A63" s="180" t="str">
        <f>B63&amp;"&gt;&gt;"</f>
        <v>14 - Formation-Coaching&gt;&gt;</v>
      </c>
      <c r="B63" s="555" t="str">
        <f>Facteurs_Activités!U19</f>
        <v>14 - Formation-Coaching</v>
      </c>
      <c r="C63" s="556"/>
      <c r="D63" s="538">
        <v>0.5</v>
      </c>
      <c r="E63" s="539"/>
      <c r="F63" s="28">
        <f t="array" aca="1" ref="F63" ca="1">D63*SUM(IF(Facteurs_Activités!$G$19:$X$19=Activités_Phases_Ressources!$B63,Facteurs_Activités!$G$16:$X$16,0))</f>
        <v>2.6956000000000002</v>
      </c>
      <c r="G63" s="538">
        <v>0.3</v>
      </c>
      <c r="H63" s="539">
        <v>0.3</v>
      </c>
      <c r="I63" s="28">
        <f t="array" aca="1" ref="I63" ca="1">G63*SUM(IF(Facteurs_Activités!$G$19:$X$19=Activités_Phases_Ressources!$B63,Facteurs_Activités!$G$16:$X$16,0))</f>
        <v>1.6173600000000001</v>
      </c>
      <c r="J63" s="538">
        <v>0.15</v>
      </c>
      <c r="K63" s="539">
        <v>0.15</v>
      </c>
      <c r="L63" s="28">
        <f t="array" aca="1" ref="L63" ca="1">J63*SUM(IF(Facteurs_Activités!$G$19:$X$19=Activités_Phases_Ressources!$B63,Facteurs_Activités!$G$16:$X$16,0))</f>
        <v>0.80868000000000007</v>
      </c>
      <c r="M63" s="538">
        <v>0.05</v>
      </c>
      <c r="N63" s="539">
        <v>0.05</v>
      </c>
      <c r="O63" s="28">
        <f t="array" aca="1" ref="O63" ca="1">M63*SUM(IF(Facteurs_Activités!$G$19:$X$19=Activités_Phases_Ressources!$B63,Facteurs_Activités!$G$16:$X$16,0))</f>
        <v>0.26956000000000002</v>
      </c>
      <c r="P63" s="20"/>
      <c r="Q63" s="538">
        <v>0</v>
      </c>
      <c r="R63" s="539"/>
      <c r="S63" s="28">
        <f t="array" aca="1" ref="S63" ca="1">Q63*SUM(IF(Facteurs_Activités!$G$19:$X$19=Activités_Phases_Ressources!$B63,Facteurs_Activités!$G$16:$X$16,0))</f>
        <v>0</v>
      </c>
      <c r="T63" s="31"/>
      <c r="U63" s="559" t="s">
        <v>56</v>
      </c>
      <c r="V63" s="559"/>
      <c r="W63" s="37">
        <f>SUM(D63,G63,J63,M63,Q63)</f>
        <v>1</v>
      </c>
      <c r="X63" s="40">
        <f ca="1">SUM(S63,O63,L63,I63,F63)</f>
        <v>5.3912000000000004</v>
      </c>
      <c r="Y63" s="175">
        <f ca="1">X63/X$101</f>
        <v>1.2243725485720945E-2</v>
      </c>
      <c r="Z63" s="175">
        <f ca="1">X63/(X$101-X$67)</f>
        <v>1.2243725485720945E-2</v>
      </c>
    </row>
    <row r="64" spans="1:26" hidden="1" outlineLevel="1">
      <c r="A64" s="181" t="str">
        <f ca="1">SUBSTITUTE(OFFSET(A64,-1,0),"&gt;&gt;","")</f>
        <v>14 - Formation-Coaching</v>
      </c>
      <c r="B64" s="124">
        <f ca="1">SUMIF(A$3:A$100,A64,C$3:C$100)*100</f>
        <v>100</v>
      </c>
      <c r="C64" s="125"/>
      <c r="D64" s="140"/>
      <c r="E64" s="141"/>
      <c r="F64" s="163"/>
      <c r="G64" s="162"/>
      <c r="H64" s="141"/>
      <c r="I64" s="163"/>
      <c r="J64" s="162"/>
      <c r="K64" s="141"/>
      <c r="L64" s="163"/>
      <c r="M64" s="162"/>
      <c r="N64" s="141"/>
      <c r="O64" s="19"/>
      <c r="P64" s="164"/>
      <c r="Q64" s="162"/>
      <c r="R64" s="141"/>
      <c r="S64" s="19"/>
      <c r="T64" s="18"/>
      <c r="U64" s="560"/>
      <c r="V64" s="560"/>
      <c r="W64" s="1"/>
      <c r="Y64" s="21"/>
      <c r="Z64" s="21"/>
    </row>
    <row r="65" spans="1:26" hidden="1" outlineLevel="1">
      <c r="A65" s="181" t="str">
        <f ca="1">SUBSTITUTE(OFFSET(A65,-1,0),"&gt;&gt;","")</f>
        <v>14 - Formation-Coaching</v>
      </c>
      <c r="B65" s="128" t="s">
        <v>113</v>
      </c>
      <c r="C65" s="129">
        <v>1</v>
      </c>
      <c r="D65" s="142"/>
      <c r="E65" s="143"/>
      <c r="F65" s="165">
        <f ca="1">SUMIF($A$3:$A$100,$A65&amp;"&gt;&gt;",F$3:F$100)*$C:$C</f>
        <v>2.6956000000000002</v>
      </c>
      <c r="G65" s="142"/>
      <c r="H65" s="143"/>
      <c r="I65" s="165">
        <f ca="1">SUMIF($A$3:$A$100,$A65&amp;"&gt;&gt;",I$3:I$100)*$C:$C</f>
        <v>1.6173600000000001</v>
      </c>
      <c r="J65" s="142"/>
      <c r="K65" s="143"/>
      <c r="L65" s="165">
        <f ca="1">SUMIF($A$3:$A$100,$A65&amp;"&gt;&gt;",L$3:L$100)*$C:$C</f>
        <v>0.80868000000000007</v>
      </c>
      <c r="M65" s="142"/>
      <c r="N65" s="143"/>
      <c r="O65" s="165">
        <f ca="1">SUMIF($A$3:$A$100,$A65&amp;"&gt;&gt;",O$3:O$100)*$C:$C</f>
        <v>0.26956000000000002</v>
      </c>
      <c r="Q65" s="142"/>
      <c r="R65" s="143"/>
      <c r="S65" s="165">
        <f ca="1">SUMIF($A$3:$A$100,$A65&amp;"&gt;&gt;",S$3:S$100)*$C:$C</f>
        <v>0</v>
      </c>
      <c r="T65" s="18"/>
      <c r="U65" s="560"/>
      <c r="V65" s="560"/>
      <c r="W65" s="1"/>
      <c r="Y65" s="21"/>
      <c r="Z65" s="21"/>
    </row>
    <row r="66" spans="1:26" ht="13.5" hidden="1" outlineLevel="1" thickBot="1">
      <c r="A66" s="181" t="str">
        <f ca="1">SUBSTITUTE(OFFSET(A66,-1,0),"&gt;&gt;","")</f>
        <v>14 - Formation-Coaching</v>
      </c>
      <c r="B66" s="128"/>
      <c r="C66" s="129"/>
      <c r="D66" s="142"/>
      <c r="E66" s="143"/>
      <c r="F66" s="165">
        <f ca="1">SUMIF($A$3:$A$100,$A66&amp;"&gt;&gt;",F$3:F$100)*$C:$C</f>
        <v>0</v>
      </c>
      <c r="G66" s="142"/>
      <c r="H66" s="143"/>
      <c r="I66" s="165">
        <f ca="1">SUMIF($A$3:$A$100,$A66&amp;"&gt;&gt;",I$3:I$100)*$C:$C</f>
        <v>0</v>
      </c>
      <c r="J66" s="142"/>
      <c r="K66" s="143"/>
      <c r="L66" s="165">
        <f ca="1">SUMIF($A$3:$A$100,$A66&amp;"&gt;&gt;",L$3:L$100)*$C:$C</f>
        <v>0</v>
      </c>
      <c r="M66" s="142"/>
      <c r="N66" s="143"/>
      <c r="O66" s="165">
        <f ca="1">SUMIF($A$3:$A$100,$A66&amp;"&gt;&gt;",O$3:O$100)*$C:$C</f>
        <v>0</v>
      </c>
      <c r="Q66" s="142"/>
      <c r="R66" s="143"/>
      <c r="S66" s="165">
        <f ca="1">SUMIF($A$3:$A$100,$A66&amp;"&gt;&gt;",S$3:S$100)*$C:$C</f>
        <v>0</v>
      </c>
      <c r="T66" s="32"/>
      <c r="U66" s="561"/>
      <c r="V66" s="561"/>
      <c r="W66" s="1"/>
      <c r="Y66" s="21"/>
      <c r="Z66" s="21"/>
    </row>
    <row r="67" spans="1:26" ht="20.25" customHeight="1" collapsed="1" thickBot="1">
      <c r="A67" s="180" t="str">
        <f>B67&amp;"&gt;&gt;"</f>
        <v>15 - specific services&gt;&gt;</v>
      </c>
      <c r="B67" s="555" t="str">
        <f>Facteurs_Activités!V19</f>
        <v>15 - specific services</v>
      </c>
      <c r="C67" s="556"/>
      <c r="D67" s="543">
        <v>0</v>
      </c>
      <c r="E67" s="544"/>
      <c r="F67" s="28">
        <f t="array" aca="1" ref="F67" ca="1">D67*SUM(IF(Facteurs_Activités!$G$19:$X$19=Activités_Phases_Ressources!$B67,Facteurs_Activités!$G$16:$X$16,0))</f>
        <v>0</v>
      </c>
      <c r="G67" s="543"/>
      <c r="H67" s="544">
        <v>0.3</v>
      </c>
      <c r="I67" s="28">
        <f t="array" aca="1" ref="I67" ca="1">G67*SUM(IF(Facteurs_Activités!$G$19:$X$19=Activités_Phases_Ressources!$B67,Facteurs_Activités!$G$16:$X$16,0))</f>
        <v>0</v>
      </c>
      <c r="J67" s="543"/>
      <c r="K67" s="544">
        <v>0.15</v>
      </c>
      <c r="L67" s="28">
        <f t="array" aca="1" ref="L67" ca="1">J67*SUM(IF(Facteurs_Activités!$G$19:$X$19=Activités_Phases_Ressources!$B67,Facteurs_Activités!$G$16:$X$16,0))</f>
        <v>0</v>
      </c>
      <c r="M67" s="543"/>
      <c r="N67" s="544">
        <v>0.55000000000000004</v>
      </c>
      <c r="O67" s="28">
        <f t="array" aca="1" ref="O67" ca="1">M67*SUM(IF(Facteurs_Activités!$G$19:$X$19=Activités_Phases_Ressources!$B67,Facteurs_Activités!$G$16:$X$16,0))</f>
        <v>0</v>
      </c>
      <c r="P67" s="20"/>
      <c r="Q67" s="543"/>
      <c r="R67" s="544">
        <v>0</v>
      </c>
      <c r="S67" s="28">
        <f t="array" aca="1" ref="S67" ca="1">Q67*SUM(IF(Facteurs_Activités!$G$19:$X$19=Activités_Phases_Ressources!$B67,Facteurs_Activités!$G$16:$X$16,0))</f>
        <v>0</v>
      </c>
      <c r="T67" s="31"/>
      <c r="U67" s="559" t="s">
        <v>57</v>
      </c>
      <c r="V67" s="559"/>
      <c r="W67" s="37">
        <f>SUM(D67,G67,J67,M67,Q67)</f>
        <v>0</v>
      </c>
      <c r="X67" s="90">
        <f ca="1">SUM(S67,O67,L67,I67,F67)</f>
        <v>0</v>
      </c>
      <c r="Y67" s="177">
        <f ca="1">X67/X$101</f>
        <v>0</v>
      </c>
      <c r="Z67" s="178"/>
    </row>
    <row r="68" spans="1:26" hidden="1" outlineLevel="1">
      <c r="A68" s="181" t="str">
        <f ca="1">SUBSTITUTE(OFFSET(A68,-1,0),"&gt;&gt;","")</f>
        <v>15 - specific services</v>
      </c>
      <c r="B68" s="124">
        <f ca="1">SUMIF(A$3:A$100,A68,C$3:C$100)*100</f>
        <v>100</v>
      </c>
      <c r="C68" s="125"/>
      <c r="D68" s="140"/>
      <c r="E68" s="141"/>
      <c r="F68" s="163"/>
      <c r="G68" s="162"/>
      <c r="H68" s="141"/>
      <c r="I68" s="163"/>
      <c r="J68" s="162"/>
      <c r="K68" s="141"/>
      <c r="L68" s="163"/>
      <c r="M68" s="162"/>
      <c r="N68" s="141"/>
      <c r="O68" s="19"/>
      <c r="P68" s="164"/>
      <c r="Q68" s="162"/>
      <c r="R68" s="141"/>
      <c r="S68" s="19"/>
      <c r="T68" s="18"/>
      <c r="U68" s="560"/>
      <c r="V68" s="560"/>
      <c r="W68" s="1"/>
      <c r="Y68" s="21"/>
      <c r="Z68" s="21"/>
    </row>
    <row r="69" spans="1:26" hidden="1" outlineLevel="1">
      <c r="A69" s="181" t="str">
        <f ca="1">SUBSTITUTE(OFFSET(A69,-1,0),"&gt;&gt;","")</f>
        <v>15 - specific services</v>
      </c>
      <c r="B69" s="128" t="s">
        <v>113</v>
      </c>
      <c r="C69" s="129">
        <v>1</v>
      </c>
      <c r="D69" s="142"/>
      <c r="E69" s="143"/>
      <c r="F69" s="165">
        <f ca="1">SUMIF($A$3:$A$100,$A69&amp;"&gt;&gt;",F$3:F$100)*$C:$C</f>
        <v>0</v>
      </c>
      <c r="G69" s="142"/>
      <c r="H69" s="143"/>
      <c r="I69" s="165">
        <f ca="1">SUMIF($A$3:$A$100,$A69&amp;"&gt;&gt;",I$3:I$100)*$C:$C</f>
        <v>0</v>
      </c>
      <c r="J69" s="142"/>
      <c r="K69" s="143"/>
      <c r="L69" s="165">
        <f ca="1">SUMIF($A$3:$A$100,$A69&amp;"&gt;&gt;",L$3:L$100)*$C:$C</f>
        <v>0</v>
      </c>
      <c r="M69" s="142"/>
      <c r="N69" s="143"/>
      <c r="O69" s="165">
        <f ca="1">SUMIF($A$3:$A$100,$A69&amp;"&gt;&gt;",O$3:O$100)*$C:$C</f>
        <v>0</v>
      </c>
      <c r="Q69" s="142"/>
      <c r="R69" s="143"/>
      <c r="S69" s="165">
        <f ca="1">SUMIF($A$3:$A$100,$A69&amp;"&gt;&gt;",S$3:S$100)*$C:$C</f>
        <v>0</v>
      </c>
      <c r="T69" s="18"/>
      <c r="U69" s="560"/>
      <c r="V69" s="560"/>
      <c r="W69" s="1"/>
      <c r="Y69" s="21"/>
      <c r="Z69" s="21"/>
    </row>
    <row r="70" spans="1:26" ht="13.5" hidden="1" outlineLevel="1" thickBot="1">
      <c r="A70" s="181" t="str">
        <f ca="1">SUBSTITUTE(OFFSET(A70,-1,0),"&gt;&gt;","")</f>
        <v>15 - specific services</v>
      </c>
      <c r="B70" s="128"/>
      <c r="C70" s="129"/>
      <c r="D70" s="142"/>
      <c r="E70" s="143"/>
      <c r="F70" s="165">
        <f ca="1">SUMIF($A$3:$A$100,$A70&amp;"&gt;&gt;",F$3:F$100)*$C:$C</f>
        <v>0</v>
      </c>
      <c r="G70" s="142"/>
      <c r="H70" s="143"/>
      <c r="I70" s="165">
        <f ca="1">SUMIF($A$3:$A$100,$A70&amp;"&gt;&gt;",I$3:I$100)*$C:$C</f>
        <v>0</v>
      </c>
      <c r="J70" s="142"/>
      <c r="K70" s="143"/>
      <c r="L70" s="165">
        <f ca="1">SUMIF($A$3:$A$100,$A70&amp;"&gt;&gt;",L$3:L$100)*$C:$C</f>
        <v>0</v>
      </c>
      <c r="M70" s="142"/>
      <c r="N70" s="143"/>
      <c r="O70" s="165">
        <f ca="1">SUMIF($A$3:$A$100,$A70&amp;"&gt;&gt;",O$3:O$100)*$C:$C</f>
        <v>0</v>
      </c>
      <c r="Q70" s="142"/>
      <c r="R70" s="143"/>
      <c r="S70" s="165">
        <f ca="1">SUMIF($A$3:$A$100,$A70&amp;"&gt;&gt;",S$3:S$100)*$C:$C</f>
        <v>0</v>
      </c>
      <c r="T70" s="32"/>
      <c r="U70" s="561"/>
      <c r="V70" s="561"/>
      <c r="W70" s="1"/>
      <c r="Y70" s="21"/>
      <c r="Z70" s="21"/>
    </row>
    <row r="71" spans="1:26" ht="20.25" customHeight="1" collapsed="1" thickBot="1">
      <c r="A71" s="180" t="str">
        <f>B71&amp;"&gt;&gt;"</f>
        <v>16 - warranty&gt;&gt;</v>
      </c>
      <c r="B71" s="555" t="str">
        <f>Facteurs_Activités!W19</f>
        <v>16 - warranty</v>
      </c>
      <c r="C71" s="556"/>
      <c r="D71" s="538">
        <v>0</v>
      </c>
      <c r="E71" s="539"/>
      <c r="F71" s="28">
        <f t="array" aca="1" ref="F71" ca="1">D71*SUM(IF(Facteurs_Activités!$G$19:$X$19=Activités_Phases_Ressources!$B71,Facteurs_Activités!$G$16:$X$16,0))</f>
        <v>0</v>
      </c>
      <c r="G71" s="538">
        <v>0</v>
      </c>
      <c r="H71" s="539">
        <v>0</v>
      </c>
      <c r="I71" s="28">
        <f t="array" aca="1" ref="I71" ca="1">G71*SUM(IF(Facteurs_Activités!$G$19:$X$19=Activités_Phases_Ressources!$B71,Facteurs_Activités!$G$16:$X$16,0))</f>
        <v>0</v>
      </c>
      <c r="J71" s="538">
        <v>0</v>
      </c>
      <c r="K71" s="539">
        <v>0</v>
      </c>
      <c r="L71" s="28">
        <f t="array" aca="1" ref="L71" ca="1">J71*SUM(IF(Facteurs_Activités!$G$19:$X$19=Activités_Phases_Ressources!$B71,Facteurs_Activités!$G$16:$X$16,0))</f>
        <v>0</v>
      </c>
      <c r="M71" s="538">
        <v>0</v>
      </c>
      <c r="N71" s="539">
        <v>0</v>
      </c>
      <c r="O71" s="28">
        <f t="array" aca="1" ref="O71" ca="1">M71*SUM(IF(Facteurs_Activités!$G$19:$X$19=Activités_Phases_Ressources!$B71,Facteurs_Activités!$G$16:$X$16,0))</f>
        <v>0</v>
      </c>
      <c r="P71" s="20"/>
      <c r="Q71" s="538">
        <v>1</v>
      </c>
      <c r="R71" s="539">
        <v>1</v>
      </c>
      <c r="S71" s="28">
        <f t="array" aca="1" ref="S71" ca="1">Q71*SUM(IF(Facteurs_Activités!$G$19:$X$19=Activités_Phases_Ressources!$B71,Facteurs_Activités!$G$16:$X$16,0))</f>
        <v>7.8</v>
      </c>
      <c r="T71" s="31"/>
      <c r="U71" s="559" t="s">
        <v>58</v>
      </c>
      <c r="V71" s="559"/>
      <c r="W71" s="37">
        <f>SUM(D71,G71,J71,M71,Q71)</f>
        <v>1</v>
      </c>
      <c r="X71" s="40">
        <f ca="1">SUM(S71,O71,L71,I71,F71)</f>
        <v>7.8</v>
      </c>
      <c r="Y71" s="175">
        <f ca="1">X71/X$101</f>
        <v>1.7714248922062505E-2</v>
      </c>
      <c r="Z71" s="175">
        <f ca="1">X71/(X$101-X$67)</f>
        <v>1.7714248922062505E-2</v>
      </c>
    </row>
    <row r="72" spans="1:26" hidden="1" outlineLevel="1">
      <c r="A72" s="181" t="str">
        <f t="shared" ref="A72:A84" ca="1" si="0">SUBSTITUTE(OFFSET(A72,-1,0),"&gt;&gt;","")</f>
        <v>16 - warranty</v>
      </c>
      <c r="B72" s="124">
        <f ca="1">SUMIF(A$3:A$100,A72,C$3:C$100)*100</f>
        <v>100</v>
      </c>
      <c r="C72" s="125"/>
      <c r="D72" s="140"/>
      <c r="E72" s="141"/>
      <c r="F72" s="163"/>
      <c r="G72" s="162"/>
      <c r="H72" s="141"/>
      <c r="I72" s="163"/>
      <c r="J72" s="162"/>
      <c r="K72" s="141"/>
      <c r="L72" s="163"/>
      <c r="M72" s="162"/>
      <c r="N72" s="141"/>
      <c r="O72" s="19"/>
      <c r="P72" s="164"/>
      <c r="Q72" s="162"/>
      <c r="R72" s="141"/>
      <c r="S72" s="19"/>
      <c r="T72" s="18"/>
      <c r="U72" s="560"/>
      <c r="V72" s="560"/>
      <c r="Y72" s="21"/>
      <c r="Z72" s="21"/>
    </row>
    <row r="73" spans="1:26" hidden="1" outlineLevel="1">
      <c r="A73" s="181" t="str">
        <f t="shared" ca="1" si="0"/>
        <v>16 - warranty</v>
      </c>
      <c r="B73" s="126" t="s">
        <v>96</v>
      </c>
      <c r="C73" s="127">
        <v>0.1</v>
      </c>
      <c r="D73" s="142"/>
      <c r="E73" s="143"/>
      <c r="F73" s="165">
        <f t="shared" ref="F73:F84" ca="1" si="1">SUMIF($A$3:$A$100,$A73&amp;"&gt;&gt;",F$3:F$100)*$C:$C</f>
        <v>0</v>
      </c>
      <c r="G73" s="142"/>
      <c r="H73" s="143"/>
      <c r="I73" s="165">
        <f t="shared" ref="I73:I84" ca="1" si="2">SUMIF($A$3:$A$100,$A73&amp;"&gt;&gt;",I$3:I$100)*$C:$C</f>
        <v>0</v>
      </c>
      <c r="J73" s="142"/>
      <c r="K73" s="143"/>
      <c r="L73" s="165">
        <f t="shared" ref="L73:L84" ca="1" si="3">SUMIF($A$3:$A$100,$A73&amp;"&gt;&gt;",L$3:L$100)*$C:$C</f>
        <v>0</v>
      </c>
      <c r="M73" s="142"/>
      <c r="N73" s="143"/>
      <c r="O73" s="165">
        <f t="shared" ref="O73:O84" ca="1" si="4">SUMIF($A$3:$A$100,$A73&amp;"&gt;&gt;",O$3:O$100)*$C:$C</f>
        <v>0</v>
      </c>
      <c r="Q73" s="142"/>
      <c r="R73" s="143"/>
      <c r="S73" s="165">
        <f t="shared" ref="S73:S84" ca="1" si="5">SUMIF($A$3:$A$100,$A73&amp;"&gt;&gt;",S$3:S$100)*$C:$C</f>
        <v>0.78</v>
      </c>
      <c r="T73" s="18"/>
      <c r="U73" s="560"/>
      <c r="V73" s="560"/>
      <c r="Y73" s="21"/>
      <c r="Z73" s="21"/>
    </row>
    <row r="74" spans="1:26" hidden="1" outlineLevel="1">
      <c r="A74" s="181" t="str">
        <f t="shared" ca="1" si="0"/>
        <v>16 - warranty</v>
      </c>
      <c r="B74" s="126" t="s">
        <v>98</v>
      </c>
      <c r="C74" s="127">
        <v>0.02</v>
      </c>
      <c r="D74" s="142"/>
      <c r="E74" s="143"/>
      <c r="F74" s="165">
        <f t="shared" ca="1" si="1"/>
        <v>0</v>
      </c>
      <c r="G74" s="142"/>
      <c r="H74" s="143"/>
      <c r="I74" s="165">
        <f t="shared" ca="1" si="2"/>
        <v>0</v>
      </c>
      <c r="J74" s="142"/>
      <c r="K74" s="143"/>
      <c r="L74" s="165">
        <f t="shared" ca="1" si="3"/>
        <v>0</v>
      </c>
      <c r="M74" s="142"/>
      <c r="N74" s="143"/>
      <c r="O74" s="165">
        <f t="shared" ca="1" si="4"/>
        <v>0</v>
      </c>
      <c r="Q74" s="142"/>
      <c r="R74" s="143"/>
      <c r="S74" s="165">
        <f t="shared" ca="1" si="5"/>
        <v>0.156</v>
      </c>
      <c r="T74" s="18"/>
      <c r="U74" s="560"/>
      <c r="V74" s="560"/>
      <c r="Y74" s="21"/>
      <c r="Z74" s="21"/>
    </row>
    <row r="75" spans="1:26" hidden="1" outlineLevel="1">
      <c r="A75" s="181" t="str">
        <f t="shared" ca="1" si="0"/>
        <v>16 - warranty</v>
      </c>
      <c r="B75" s="126" t="s">
        <v>103</v>
      </c>
      <c r="C75" s="127"/>
      <c r="D75" s="142"/>
      <c r="E75" s="143"/>
      <c r="F75" s="165">
        <f t="shared" ca="1" si="1"/>
        <v>0</v>
      </c>
      <c r="G75" s="142"/>
      <c r="H75" s="143"/>
      <c r="I75" s="165">
        <f t="shared" ca="1" si="2"/>
        <v>0</v>
      </c>
      <c r="J75" s="142"/>
      <c r="K75" s="143"/>
      <c r="L75" s="165">
        <f t="shared" ca="1" si="3"/>
        <v>0</v>
      </c>
      <c r="M75" s="142"/>
      <c r="N75" s="143"/>
      <c r="O75" s="165">
        <f t="shared" ca="1" si="4"/>
        <v>0</v>
      </c>
      <c r="Q75" s="142"/>
      <c r="R75" s="143"/>
      <c r="S75" s="165">
        <f t="shared" ca="1" si="5"/>
        <v>0</v>
      </c>
      <c r="T75" s="18"/>
      <c r="U75" s="560"/>
      <c r="V75" s="560"/>
      <c r="Y75" s="21"/>
      <c r="Z75" s="21"/>
    </row>
    <row r="76" spans="1:26" hidden="1" outlineLevel="1">
      <c r="A76" s="181" t="str">
        <f t="shared" ca="1" si="0"/>
        <v>16 - warranty</v>
      </c>
      <c r="B76" s="126" t="s">
        <v>104</v>
      </c>
      <c r="C76" s="127">
        <v>0.05</v>
      </c>
      <c r="D76" s="142"/>
      <c r="E76" s="143"/>
      <c r="F76" s="165">
        <f t="shared" ca="1" si="1"/>
        <v>0</v>
      </c>
      <c r="G76" s="142"/>
      <c r="H76" s="143"/>
      <c r="I76" s="165">
        <f t="shared" ca="1" si="2"/>
        <v>0</v>
      </c>
      <c r="J76" s="142"/>
      <c r="K76" s="143"/>
      <c r="L76" s="165">
        <f t="shared" ca="1" si="3"/>
        <v>0</v>
      </c>
      <c r="M76" s="142"/>
      <c r="N76" s="143"/>
      <c r="O76" s="165">
        <f t="shared" ca="1" si="4"/>
        <v>0</v>
      </c>
      <c r="Q76" s="142"/>
      <c r="R76" s="143"/>
      <c r="S76" s="165">
        <f t="shared" ca="1" si="5"/>
        <v>0.39</v>
      </c>
      <c r="T76" s="18"/>
      <c r="U76" s="560"/>
      <c r="V76" s="560"/>
      <c r="Y76" s="21"/>
      <c r="Z76" s="21"/>
    </row>
    <row r="77" spans="1:26" hidden="1" outlineLevel="1">
      <c r="A77" s="181" t="str">
        <f t="shared" ca="1" si="0"/>
        <v>16 - warranty</v>
      </c>
      <c r="B77" s="126" t="s">
        <v>105</v>
      </c>
      <c r="C77" s="127">
        <v>0.05</v>
      </c>
      <c r="D77" s="142"/>
      <c r="E77" s="143"/>
      <c r="F77" s="165">
        <f t="shared" ca="1" si="1"/>
        <v>0</v>
      </c>
      <c r="G77" s="142"/>
      <c r="H77" s="143"/>
      <c r="I77" s="165">
        <f t="shared" ca="1" si="2"/>
        <v>0</v>
      </c>
      <c r="J77" s="142"/>
      <c r="K77" s="143"/>
      <c r="L77" s="165">
        <f t="shared" ca="1" si="3"/>
        <v>0</v>
      </c>
      <c r="M77" s="142"/>
      <c r="N77" s="143"/>
      <c r="O77" s="165">
        <f t="shared" ca="1" si="4"/>
        <v>0</v>
      </c>
      <c r="Q77" s="142"/>
      <c r="R77" s="143"/>
      <c r="S77" s="165">
        <f t="shared" ca="1" si="5"/>
        <v>0.39</v>
      </c>
      <c r="T77" s="18"/>
      <c r="U77" s="560"/>
      <c r="V77" s="560"/>
      <c r="Y77" s="21"/>
      <c r="Z77" s="21"/>
    </row>
    <row r="78" spans="1:26" hidden="1" outlineLevel="1">
      <c r="A78" s="181" t="str">
        <f t="shared" ca="1" si="0"/>
        <v>16 - warranty</v>
      </c>
      <c r="B78" s="126" t="s">
        <v>99</v>
      </c>
      <c r="C78" s="127"/>
      <c r="D78" s="142"/>
      <c r="E78" s="143"/>
      <c r="F78" s="165">
        <f t="shared" ca="1" si="1"/>
        <v>0</v>
      </c>
      <c r="G78" s="142"/>
      <c r="H78" s="143"/>
      <c r="I78" s="165">
        <f t="shared" ca="1" si="2"/>
        <v>0</v>
      </c>
      <c r="J78" s="142"/>
      <c r="K78" s="143"/>
      <c r="L78" s="165">
        <f t="shared" ca="1" si="3"/>
        <v>0</v>
      </c>
      <c r="M78" s="142"/>
      <c r="N78" s="143"/>
      <c r="O78" s="165">
        <f t="shared" ca="1" si="4"/>
        <v>0</v>
      </c>
      <c r="Q78" s="142"/>
      <c r="R78" s="143"/>
      <c r="S78" s="165">
        <f t="shared" ca="1" si="5"/>
        <v>0</v>
      </c>
      <c r="T78" s="18"/>
      <c r="U78" s="560"/>
      <c r="V78" s="560"/>
      <c r="Y78" s="21"/>
      <c r="Z78" s="21"/>
    </row>
    <row r="79" spans="1:26" hidden="1" outlineLevel="1">
      <c r="A79" s="181" t="str">
        <f t="shared" ca="1" si="0"/>
        <v>16 - warranty</v>
      </c>
      <c r="B79" s="126" t="s">
        <v>100</v>
      </c>
      <c r="C79" s="127">
        <v>0.6</v>
      </c>
      <c r="D79" s="142"/>
      <c r="E79" s="143"/>
      <c r="F79" s="165">
        <f t="shared" ca="1" si="1"/>
        <v>0</v>
      </c>
      <c r="G79" s="142"/>
      <c r="H79" s="143"/>
      <c r="I79" s="165">
        <f t="shared" ca="1" si="2"/>
        <v>0</v>
      </c>
      <c r="J79" s="142"/>
      <c r="K79" s="143"/>
      <c r="L79" s="165">
        <f t="shared" ca="1" si="3"/>
        <v>0</v>
      </c>
      <c r="M79" s="142"/>
      <c r="N79" s="143"/>
      <c r="O79" s="165">
        <f t="shared" ca="1" si="4"/>
        <v>0</v>
      </c>
      <c r="Q79" s="142"/>
      <c r="R79" s="143"/>
      <c r="S79" s="165">
        <f t="shared" ca="1" si="5"/>
        <v>4.68</v>
      </c>
      <c r="T79" s="18"/>
      <c r="U79" s="560"/>
      <c r="V79" s="560"/>
      <c r="Y79" s="21"/>
      <c r="Z79" s="21"/>
    </row>
    <row r="80" spans="1:26" hidden="1" outlineLevel="1">
      <c r="A80" s="181" t="str">
        <f t="shared" ca="1" si="0"/>
        <v>16 - warranty</v>
      </c>
      <c r="B80" s="126" t="s">
        <v>106</v>
      </c>
      <c r="C80" s="127">
        <v>0.1</v>
      </c>
      <c r="D80" s="142"/>
      <c r="E80" s="143"/>
      <c r="F80" s="165">
        <f t="shared" ca="1" si="1"/>
        <v>0</v>
      </c>
      <c r="G80" s="142"/>
      <c r="H80" s="143"/>
      <c r="I80" s="165">
        <f t="shared" ca="1" si="2"/>
        <v>0</v>
      </c>
      <c r="J80" s="142"/>
      <c r="K80" s="143"/>
      <c r="L80" s="165">
        <f t="shared" ca="1" si="3"/>
        <v>0</v>
      </c>
      <c r="M80" s="142"/>
      <c r="N80" s="143"/>
      <c r="O80" s="165">
        <f t="shared" ca="1" si="4"/>
        <v>0</v>
      </c>
      <c r="Q80" s="142"/>
      <c r="R80" s="143"/>
      <c r="S80" s="165">
        <f t="shared" ca="1" si="5"/>
        <v>0.78</v>
      </c>
      <c r="T80" s="18"/>
      <c r="U80" s="560"/>
      <c r="V80" s="560"/>
      <c r="Y80" s="21"/>
      <c r="Z80" s="21"/>
    </row>
    <row r="81" spans="1:26" hidden="1" outlineLevel="1">
      <c r="A81" s="181" t="str">
        <f t="shared" ca="1" si="0"/>
        <v>16 - warranty</v>
      </c>
      <c r="B81" s="126" t="s">
        <v>107</v>
      </c>
      <c r="C81" s="127">
        <v>0.04</v>
      </c>
      <c r="D81" s="142"/>
      <c r="E81" s="143"/>
      <c r="F81" s="165">
        <f t="shared" ca="1" si="1"/>
        <v>0</v>
      </c>
      <c r="G81" s="142"/>
      <c r="H81" s="143"/>
      <c r="I81" s="165">
        <f t="shared" ca="1" si="2"/>
        <v>0</v>
      </c>
      <c r="J81" s="142"/>
      <c r="K81" s="143"/>
      <c r="L81" s="165">
        <f t="shared" ca="1" si="3"/>
        <v>0</v>
      </c>
      <c r="M81" s="142"/>
      <c r="N81" s="143"/>
      <c r="O81" s="165">
        <f t="shared" ca="1" si="4"/>
        <v>0</v>
      </c>
      <c r="Q81" s="142"/>
      <c r="R81" s="143"/>
      <c r="S81" s="165">
        <f t="shared" ca="1" si="5"/>
        <v>0.312</v>
      </c>
      <c r="T81" s="18"/>
      <c r="U81" s="560"/>
      <c r="V81" s="560"/>
      <c r="Y81" s="21"/>
      <c r="Z81" s="21"/>
    </row>
    <row r="82" spans="1:26" hidden="1" outlineLevel="1">
      <c r="A82" s="181" t="str">
        <f t="shared" ca="1" si="0"/>
        <v>16 - warranty</v>
      </c>
      <c r="B82" s="126" t="s">
        <v>108</v>
      </c>
      <c r="C82" s="127">
        <v>0.02</v>
      </c>
      <c r="D82" s="142"/>
      <c r="E82" s="143"/>
      <c r="F82" s="165">
        <f t="shared" ca="1" si="1"/>
        <v>0</v>
      </c>
      <c r="G82" s="142"/>
      <c r="H82" s="143"/>
      <c r="I82" s="165">
        <f t="shared" ca="1" si="2"/>
        <v>0</v>
      </c>
      <c r="J82" s="142"/>
      <c r="K82" s="143"/>
      <c r="L82" s="165">
        <f t="shared" ca="1" si="3"/>
        <v>0</v>
      </c>
      <c r="M82" s="142"/>
      <c r="N82" s="143"/>
      <c r="O82" s="165">
        <f t="shared" ca="1" si="4"/>
        <v>0</v>
      </c>
      <c r="Q82" s="142"/>
      <c r="R82" s="143"/>
      <c r="S82" s="165">
        <f t="shared" ca="1" si="5"/>
        <v>0.156</v>
      </c>
      <c r="T82" s="18"/>
      <c r="U82" s="560"/>
      <c r="V82" s="560"/>
      <c r="Y82" s="21"/>
      <c r="Z82" s="21"/>
    </row>
    <row r="83" spans="1:26" hidden="1" outlineLevel="1">
      <c r="A83" s="181" t="str">
        <f t="shared" ca="1" si="0"/>
        <v>16 - warranty</v>
      </c>
      <c r="B83" s="126" t="s">
        <v>109</v>
      </c>
      <c r="C83" s="127">
        <v>0.02</v>
      </c>
      <c r="D83" s="142"/>
      <c r="E83" s="143"/>
      <c r="F83" s="165">
        <f t="shared" ca="1" si="1"/>
        <v>0</v>
      </c>
      <c r="G83" s="142"/>
      <c r="H83" s="143"/>
      <c r="I83" s="165">
        <f t="shared" ca="1" si="2"/>
        <v>0</v>
      </c>
      <c r="J83" s="142"/>
      <c r="K83" s="143"/>
      <c r="L83" s="165">
        <f t="shared" ca="1" si="3"/>
        <v>0</v>
      </c>
      <c r="M83" s="142"/>
      <c r="N83" s="143"/>
      <c r="O83" s="165">
        <f t="shared" ca="1" si="4"/>
        <v>0</v>
      </c>
      <c r="Q83" s="142"/>
      <c r="R83" s="143"/>
      <c r="S83" s="165">
        <f t="shared" ca="1" si="5"/>
        <v>0.156</v>
      </c>
      <c r="T83" s="18"/>
      <c r="U83" s="560"/>
      <c r="V83" s="560"/>
      <c r="Y83" s="21"/>
      <c r="Z83" s="21"/>
    </row>
    <row r="84" spans="1:26" ht="13.5" hidden="1" outlineLevel="1" thickBot="1">
      <c r="A84" s="181" t="str">
        <f t="shared" ca="1" si="0"/>
        <v>16 - warranty</v>
      </c>
      <c r="B84" s="126"/>
      <c r="C84" s="127"/>
      <c r="D84" s="142"/>
      <c r="E84" s="143"/>
      <c r="F84" s="165">
        <f t="shared" ca="1" si="1"/>
        <v>0</v>
      </c>
      <c r="G84" s="142"/>
      <c r="H84" s="143"/>
      <c r="I84" s="165">
        <f t="shared" ca="1" si="2"/>
        <v>0</v>
      </c>
      <c r="J84" s="142"/>
      <c r="K84" s="143"/>
      <c r="L84" s="165">
        <f t="shared" ca="1" si="3"/>
        <v>0</v>
      </c>
      <c r="M84" s="142"/>
      <c r="N84" s="143"/>
      <c r="O84" s="165">
        <f t="shared" ca="1" si="4"/>
        <v>0</v>
      </c>
      <c r="Q84" s="142"/>
      <c r="R84" s="143"/>
      <c r="S84" s="165">
        <f t="shared" ca="1" si="5"/>
        <v>0</v>
      </c>
      <c r="T84" s="32"/>
      <c r="U84" s="561"/>
      <c r="V84" s="561"/>
      <c r="Y84" s="21"/>
      <c r="Z84" s="21"/>
    </row>
    <row r="85" spans="1:26" ht="20.25" customHeight="1" collapsed="1">
      <c r="A85" s="180" t="str">
        <f>B85&amp;"&gt;&gt;"</f>
        <v>99 Act. Composée&gt;&gt;</v>
      </c>
      <c r="B85" s="555" t="str">
        <f>"99 Act. Composée"</f>
        <v>99 Act. Composée</v>
      </c>
      <c r="C85" s="556"/>
      <c r="D85" s="538">
        <v>0</v>
      </c>
      <c r="E85" s="539"/>
      <c r="F85" s="28">
        <f t="array" aca="1" ref="F85" ca="1">D85*SUM(IF(Facteurs_Activités!$G$19:$X$19=Activités_Phases_Ressources!$B85,Facteurs_Activités!$G$16:$X$16,0))</f>
        <v>0</v>
      </c>
      <c r="G85" s="538">
        <v>0</v>
      </c>
      <c r="H85" s="539"/>
      <c r="I85" s="28">
        <f t="array" aca="1" ref="I85" ca="1">G85*SUM(IF(Facteurs_Activités!$G$19:$X$19=Activités_Phases_Ressources!$B85,Facteurs_Activités!$G$16:$X$16,0))</f>
        <v>0</v>
      </c>
      <c r="J85" s="538">
        <v>0</v>
      </c>
      <c r="K85" s="539"/>
      <c r="L85" s="28">
        <f t="array" aca="1" ref="L85" ca="1">J85*SUM(IF(Facteurs_Activités!$G$19:$X$19=Activités_Phases_Ressources!$B85,Facteurs_Activités!$G$16:$X$16,0))</f>
        <v>0</v>
      </c>
      <c r="M85" s="538">
        <v>0</v>
      </c>
      <c r="N85" s="539"/>
      <c r="O85" s="28">
        <f t="array" aca="1" ref="O85" ca="1">M85*SUM(IF(Facteurs_Activités!$G$19:$X$19=Activités_Phases_Ressources!$B85,Facteurs_Activités!$G$16:$X$16,0))</f>
        <v>0</v>
      </c>
      <c r="P85" s="20"/>
      <c r="Q85" s="538">
        <v>0</v>
      </c>
      <c r="R85" s="539"/>
      <c r="S85" s="28">
        <f t="array" aca="1" ref="S85" ca="1">Q85*SUM(IF(Facteurs_Activités!$G$19:$X$19=Activités_Phases_Ressources!$B85,Facteurs_Activités!$G$16:$X$16,0))</f>
        <v>0</v>
      </c>
      <c r="T85" s="31"/>
      <c r="U85" s="559" t="s">
        <v>59</v>
      </c>
      <c r="V85" s="559"/>
      <c r="X85" s="40">
        <f ca="1">SUM(S85,O85,L85,I85,F85)</f>
        <v>0</v>
      </c>
      <c r="Y85" s="175">
        <f ca="1">X85/X$101</f>
        <v>0</v>
      </c>
      <c r="Z85" s="175">
        <f ca="1">X85/(X$101-X$67)</f>
        <v>0</v>
      </c>
    </row>
    <row r="86" spans="1:26" hidden="1" outlineLevel="1">
      <c r="A86" s="181" t="str">
        <f t="shared" ref="A86:A99" ca="1" si="6">SUBSTITUTE(OFFSET(A86,-1,0),"&gt;&gt;","")</f>
        <v>99 Act. Composée</v>
      </c>
      <c r="B86" s="36">
        <f ca="1">SUMIF(A$3:A$100,A86,C$3:C$100)*100</f>
        <v>0</v>
      </c>
      <c r="C86" s="30"/>
      <c r="D86" s="133"/>
      <c r="E86" s="141"/>
      <c r="F86" s="163"/>
      <c r="G86" s="162"/>
      <c r="H86" s="141"/>
      <c r="I86" s="163"/>
      <c r="J86" s="162"/>
      <c r="K86" s="141"/>
      <c r="L86" s="163"/>
      <c r="M86" s="162"/>
      <c r="N86" s="141"/>
      <c r="O86" s="19"/>
      <c r="P86" s="164"/>
      <c r="Q86" s="162"/>
      <c r="R86" s="141"/>
      <c r="S86" s="19"/>
      <c r="T86" s="18"/>
      <c r="U86" s="560"/>
      <c r="V86" s="560"/>
      <c r="Y86" s="21"/>
      <c r="Z86" s="21"/>
    </row>
    <row r="87" spans="1:26" hidden="1" outlineLevel="1">
      <c r="A87" s="181" t="str">
        <f t="shared" ca="1" si="6"/>
        <v>99 Act. Composée</v>
      </c>
      <c r="B87" s="73" t="s">
        <v>96</v>
      </c>
      <c r="C87" s="35"/>
      <c r="D87" s="142"/>
      <c r="E87" s="143"/>
      <c r="F87" s="165">
        <f t="shared" ref="F87:F99" ca="1" si="7">SUMIF($A$3:$A$100,$A87&amp;"&gt;&gt;",F$3:F$100)*$C:$C</f>
        <v>0</v>
      </c>
      <c r="G87" s="142"/>
      <c r="H87" s="143"/>
      <c r="I87" s="165">
        <f t="shared" ref="I87:I99" ca="1" si="8">SUMIF($A$3:$A$100,$A87&amp;"&gt;&gt;",I$3:I$100)*$C:$C</f>
        <v>0</v>
      </c>
      <c r="J87" s="142"/>
      <c r="K87" s="143"/>
      <c r="L87" s="165">
        <f t="shared" ref="L87:L99" ca="1" si="9">SUMIF($A$3:$A$100,$A87&amp;"&gt;&gt;",L$3:L$100)*$C:$C</f>
        <v>0</v>
      </c>
      <c r="M87" s="142"/>
      <c r="N87" s="143"/>
      <c r="O87" s="165">
        <f t="shared" ref="O87:O99" ca="1" si="10">SUMIF($A$3:$A$100,$A87&amp;"&gt;&gt;",O$3:O$100)*$C:$C</f>
        <v>0</v>
      </c>
      <c r="Q87" s="142"/>
      <c r="R87" s="143"/>
      <c r="S87" s="165">
        <f t="shared" ref="S87:S99" ca="1" si="11">SUMIF($A$3:$A$100,$A87&amp;"&gt;&gt;",S$3:S$100)*$C:$C</f>
        <v>0</v>
      </c>
      <c r="T87" s="18"/>
      <c r="U87" s="560"/>
      <c r="V87" s="560"/>
      <c r="Y87" s="21"/>
      <c r="Z87" s="21"/>
    </row>
    <row r="88" spans="1:26" hidden="1" outlineLevel="1">
      <c r="A88" s="181" t="str">
        <f t="shared" ca="1" si="6"/>
        <v>99 Act. Composée</v>
      </c>
      <c r="B88" s="73" t="s">
        <v>98</v>
      </c>
      <c r="C88" s="35"/>
      <c r="D88" s="142"/>
      <c r="E88" s="143"/>
      <c r="F88" s="165">
        <f t="shared" ca="1" si="7"/>
        <v>0</v>
      </c>
      <c r="G88" s="142"/>
      <c r="H88" s="143"/>
      <c r="I88" s="165">
        <f t="shared" ca="1" si="8"/>
        <v>0</v>
      </c>
      <c r="J88" s="142"/>
      <c r="K88" s="143"/>
      <c r="L88" s="165">
        <f t="shared" ca="1" si="9"/>
        <v>0</v>
      </c>
      <c r="M88" s="142"/>
      <c r="N88" s="143"/>
      <c r="O88" s="165">
        <f t="shared" ca="1" si="10"/>
        <v>0</v>
      </c>
      <c r="Q88" s="142"/>
      <c r="R88" s="143"/>
      <c r="S88" s="165">
        <f t="shared" ca="1" si="11"/>
        <v>0</v>
      </c>
      <c r="T88" s="18"/>
      <c r="U88" s="560"/>
      <c r="V88" s="560"/>
      <c r="Y88" s="21"/>
      <c r="Z88" s="21"/>
    </row>
    <row r="89" spans="1:26" hidden="1" outlineLevel="1">
      <c r="A89" s="181" t="str">
        <f t="shared" ca="1" si="6"/>
        <v>99 Act. Composée</v>
      </c>
      <c r="B89" s="73" t="s">
        <v>103</v>
      </c>
      <c r="C89" s="35"/>
      <c r="D89" s="142"/>
      <c r="E89" s="143"/>
      <c r="F89" s="165">
        <f t="shared" ca="1" si="7"/>
        <v>0</v>
      </c>
      <c r="G89" s="142"/>
      <c r="H89" s="143"/>
      <c r="I89" s="165">
        <f t="shared" ca="1" si="8"/>
        <v>0</v>
      </c>
      <c r="J89" s="142"/>
      <c r="K89" s="143"/>
      <c r="L89" s="165">
        <f t="shared" ca="1" si="9"/>
        <v>0</v>
      </c>
      <c r="M89" s="142"/>
      <c r="N89" s="143"/>
      <c r="O89" s="165">
        <f t="shared" ca="1" si="10"/>
        <v>0</v>
      </c>
      <c r="Q89" s="142"/>
      <c r="R89" s="143"/>
      <c r="S89" s="165">
        <f t="shared" ca="1" si="11"/>
        <v>0</v>
      </c>
      <c r="T89" s="18"/>
      <c r="U89" s="560"/>
      <c r="V89" s="560"/>
      <c r="Y89" s="21"/>
      <c r="Z89" s="21"/>
    </row>
    <row r="90" spans="1:26" hidden="1" outlineLevel="1">
      <c r="A90" s="181" t="str">
        <f t="shared" ca="1" si="6"/>
        <v>99 Act. Composée</v>
      </c>
      <c r="B90" s="73" t="s">
        <v>104</v>
      </c>
      <c r="C90" s="35"/>
      <c r="D90" s="142"/>
      <c r="E90" s="143"/>
      <c r="F90" s="165">
        <f t="shared" ca="1" si="7"/>
        <v>0</v>
      </c>
      <c r="G90" s="142"/>
      <c r="H90" s="143"/>
      <c r="I90" s="165">
        <f t="shared" ca="1" si="8"/>
        <v>0</v>
      </c>
      <c r="J90" s="142"/>
      <c r="K90" s="143"/>
      <c r="L90" s="165">
        <f t="shared" ca="1" si="9"/>
        <v>0</v>
      </c>
      <c r="M90" s="142"/>
      <c r="N90" s="143"/>
      <c r="O90" s="165">
        <f t="shared" ca="1" si="10"/>
        <v>0</v>
      </c>
      <c r="Q90" s="142"/>
      <c r="R90" s="143"/>
      <c r="S90" s="165">
        <f t="shared" ca="1" si="11"/>
        <v>0</v>
      </c>
      <c r="T90" s="18"/>
      <c r="U90" s="560"/>
      <c r="V90" s="560"/>
      <c r="Y90" s="21"/>
      <c r="Z90" s="21"/>
    </row>
    <row r="91" spans="1:26" hidden="1" outlineLevel="1">
      <c r="A91" s="181" t="str">
        <f t="shared" ca="1" si="6"/>
        <v>99 Act. Composée</v>
      </c>
      <c r="B91" s="73" t="s">
        <v>105</v>
      </c>
      <c r="C91" s="35"/>
      <c r="D91" s="142"/>
      <c r="E91" s="143"/>
      <c r="F91" s="165">
        <f t="shared" ca="1" si="7"/>
        <v>0</v>
      </c>
      <c r="G91" s="142"/>
      <c r="H91" s="143"/>
      <c r="I91" s="165">
        <f t="shared" ca="1" si="8"/>
        <v>0</v>
      </c>
      <c r="J91" s="142"/>
      <c r="K91" s="143"/>
      <c r="L91" s="165">
        <f t="shared" ca="1" si="9"/>
        <v>0</v>
      </c>
      <c r="M91" s="142"/>
      <c r="N91" s="143"/>
      <c r="O91" s="165">
        <f t="shared" ca="1" si="10"/>
        <v>0</v>
      </c>
      <c r="Q91" s="142"/>
      <c r="R91" s="143"/>
      <c r="S91" s="165">
        <f t="shared" ca="1" si="11"/>
        <v>0</v>
      </c>
      <c r="T91" s="18"/>
      <c r="U91" s="560"/>
      <c r="V91" s="560"/>
      <c r="Y91" s="21"/>
      <c r="Z91" s="21"/>
    </row>
    <row r="92" spans="1:26" hidden="1" outlineLevel="1">
      <c r="A92" s="181" t="str">
        <f t="shared" ca="1" si="6"/>
        <v>99 Act. Composée</v>
      </c>
      <c r="B92" s="73" t="s">
        <v>99</v>
      </c>
      <c r="C92" s="35"/>
      <c r="D92" s="142"/>
      <c r="E92" s="143"/>
      <c r="F92" s="165">
        <f t="shared" ca="1" si="7"/>
        <v>0</v>
      </c>
      <c r="G92" s="142"/>
      <c r="H92" s="143"/>
      <c r="I92" s="165">
        <f t="shared" ca="1" si="8"/>
        <v>0</v>
      </c>
      <c r="J92" s="142"/>
      <c r="K92" s="143"/>
      <c r="L92" s="165">
        <f t="shared" ca="1" si="9"/>
        <v>0</v>
      </c>
      <c r="M92" s="142"/>
      <c r="N92" s="143"/>
      <c r="O92" s="165">
        <f t="shared" ca="1" si="10"/>
        <v>0</v>
      </c>
      <c r="Q92" s="142"/>
      <c r="R92" s="143"/>
      <c r="S92" s="165">
        <f t="shared" ca="1" si="11"/>
        <v>0</v>
      </c>
      <c r="T92" s="18"/>
      <c r="U92" s="560"/>
      <c r="V92" s="560"/>
      <c r="Y92" s="21"/>
      <c r="Z92" s="21"/>
    </row>
    <row r="93" spans="1:26" hidden="1" outlineLevel="1">
      <c r="A93" s="181" t="str">
        <f t="shared" ca="1" si="6"/>
        <v>99 Act. Composée</v>
      </c>
      <c r="B93" s="73" t="s">
        <v>100</v>
      </c>
      <c r="C93" s="35"/>
      <c r="D93" s="142"/>
      <c r="E93" s="143"/>
      <c r="F93" s="165">
        <f t="shared" ca="1" si="7"/>
        <v>0</v>
      </c>
      <c r="G93" s="142"/>
      <c r="H93" s="143"/>
      <c r="I93" s="165">
        <f t="shared" ca="1" si="8"/>
        <v>0</v>
      </c>
      <c r="J93" s="142"/>
      <c r="K93" s="143"/>
      <c r="L93" s="165">
        <f t="shared" ca="1" si="9"/>
        <v>0</v>
      </c>
      <c r="M93" s="142"/>
      <c r="N93" s="143"/>
      <c r="O93" s="165">
        <f t="shared" ca="1" si="10"/>
        <v>0</v>
      </c>
      <c r="Q93" s="142"/>
      <c r="R93" s="143"/>
      <c r="S93" s="165">
        <f t="shared" ca="1" si="11"/>
        <v>0</v>
      </c>
      <c r="T93" s="18"/>
      <c r="U93" s="560"/>
      <c r="V93" s="560"/>
      <c r="Y93" s="21"/>
      <c r="Z93" s="21"/>
    </row>
    <row r="94" spans="1:26" hidden="1" outlineLevel="1">
      <c r="A94" s="181" t="str">
        <f t="shared" ca="1" si="6"/>
        <v>99 Act. Composée</v>
      </c>
      <c r="B94" s="73" t="s">
        <v>106</v>
      </c>
      <c r="C94" s="35"/>
      <c r="D94" s="142"/>
      <c r="E94" s="143"/>
      <c r="F94" s="165">
        <f t="shared" ca="1" si="7"/>
        <v>0</v>
      </c>
      <c r="G94" s="142"/>
      <c r="H94" s="143"/>
      <c r="I94" s="165">
        <f t="shared" ca="1" si="8"/>
        <v>0</v>
      </c>
      <c r="J94" s="142"/>
      <c r="K94" s="143"/>
      <c r="L94" s="165">
        <f t="shared" ca="1" si="9"/>
        <v>0</v>
      </c>
      <c r="M94" s="142"/>
      <c r="N94" s="143"/>
      <c r="O94" s="165">
        <f t="shared" ca="1" si="10"/>
        <v>0</v>
      </c>
      <c r="Q94" s="142"/>
      <c r="R94" s="143"/>
      <c r="S94" s="165">
        <f t="shared" ca="1" si="11"/>
        <v>0</v>
      </c>
      <c r="T94" s="18"/>
      <c r="U94" s="560"/>
      <c r="V94" s="560"/>
      <c r="Y94" s="21"/>
      <c r="Z94" s="21"/>
    </row>
    <row r="95" spans="1:26" hidden="1" outlineLevel="1">
      <c r="A95" s="181" t="str">
        <f t="shared" ca="1" si="6"/>
        <v>99 Act. Composée</v>
      </c>
      <c r="B95" s="73" t="s">
        <v>107</v>
      </c>
      <c r="C95" s="35"/>
      <c r="D95" s="142"/>
      <c r="E95" s="143"/>
      <c r="F95" s="165">
        <f t="shared" ca="1" si="7"/>
        <v>0</v>
      </c>
      <c r="G95" s="142"/>
      <c r="H95" s="143"/>
      <c r="I95" s="165">
        <f t="shared" ca="1" si="8"/>
        <v>0</v>
      </c>
      <c r="J95" s="142"/>
      <c r="K95" s="143"/>
      <c r="L95" s="165">
        <f t="shared" ca="1" si="9"/>
        <v>0</v>
      </c>
      <c r="M95" s="142"/>
      <c r="N95" s="143"/>
      <c r="O95" s="165">
        <f t="shared" ca="1" si="10"/>
        <v>0</v>
      </c>
      <c r="Q95" s="142"/>
      <c r="R95" s="143"/>
      <c r="S95" s="165">
        <f t="shared" ca="1" si="11"/>
        <v>0</v>
      </c>
      <c r="T95" s="18"/>
      <c r="U95" s="560"/>
      <c r="V95" s="560"/>
      <c r="Y95" s="21"/>
      <c r="Z95" s="21"/>
    </row>
    <row r="96" spans="1:26" hidden="1" outlineLevel="1">
      <c r="A96" s="181" t="str">
        <f t="shared" ca="1" si="6"/>
        <v>99 Act. Composée</v>
      </c>
      <c r="B96" s="73" t="s">
        <v>108</v>
      </c>
      <c r="C96" s="35"/>
      <c r="D96" s="142"/>
      <c r="E96" s="143"/>
      <c r="F96" s="165">
        <f t="shared" ca="1" si="7"/>
        <v>0</v>
      </c>
      <c r="G96" s="142"/>
      <c r="H96" s="143"/>
      <c r="I96" s="165">
        <f t="shared" ca="1" si="8"/>
        <v>0</v>
      </c>
      <c r="J96" s="142"/>
      <c r="K96" s="143"/>
      <c r="L96" s="165">
        <f t="shared" ca="1" si="9"/>
        <v>0</v>
      </c>
      <c r="M96" s="142"/>
      <c r="N96" s="143"/>
      <c r="O96" s="165">
        <f t="shared" ca="1" si="10"/>
        <v>0</v>
      </c>
      <c r="Q96" s="142"/>
      <c r="R96" s="143"/>
      <c r="S96" s="165">
        <f t="shared" ca="1" si="11"/>
        <v>0</v>
      </c>
      <c r="T96" s="18"/>
      <c r="U96" s="560"/>
      <c r="V96" s="560"/>
      <c r="Y96" s="21"/>
      <c r="Z96" s="21"/>
    </row>
    <row r="97" spans="1:26" hidden="1" outlineLevel="1">
      <c r="A97" s="181" t="str">
        <f t="shared" ca="1" si="6"/>
        <v>99 Act. Composée</v>
      </c>
      <c r="B97" s="73" t="s">
        <v>109</v>
      </c>
      <c r="C97" s="35"/>
      <c r="D97" s="142"/>
      <c r="E97" s="143"/>
      <c r="F97" s="165">
        <f t="shared" ca="1" si="7"/>
        <v>0</v>
      </c>
      <c r="G97" s="142"/>
      <c r="H97" s="143"/>
      <c r="I97" s="165">
        <f t="shared" ca="1" si="8"/>
        <v>0</v>
      </c>
      <c r="J97" s="142"/>
      <c r="K97" s="143"/>
      <c r="L97" s="165">
        <f t="shared" ca="1" si="9"/>
        <v>0</v>
      </c>
      <c r="M97" s="142"/>
      <c r="N97" s="143"/>
      <c r="O97" s="165">
        <f t="shared" ca="1" si="10"/>
        <v>0</v>
      </c>
      <c r="Q97" s="142"/>
      <c r="R97" s="143"/>
      <c r="S97" s="165">
        <f t="shared" ca="1" si="11"/>
        <v>0</v>
      </c>
      <c r="T97" s="18"/>
      <c r="U97" s="560"/>
      <c r="V97" s="560"/>
      <c r="Y97" s="21"/>
      <c r="Z97" s="21"/>
    </row>
    <row r="98" spans="1:26" hidden="1" outlineLevel="1">
      <c r="A98" s="181" t="str">
        <f t="shared" ca="1" si="6"/>
        <v>99 Act. Composée</v>
      </c>
      <c r="B98" s="73"/>
      <c r="C98" s="35"/>
      <c r="D98" s="142"/>
      <c r="E98" s="143"/>
      <c r="F98" s="165">
        <f t="shared" ca="1" si="7"/>
        <v>0</v>
      </c>
      <c r="G98" s="142"/>
      <c r="H98" s="143"/>
      <c r="I98" s="165">
        <f t="shared" ca="1" si="8"/>
        <v>0</v>
      </c>
      <c r="J98" s="142"/>
      <c r="K98" s="143"/>
      <c r="L98" s="165">
        <f t="shared" ca="1" si="9"/>
        <v>0</v>
      </c>
      <c r="M98" s="142"/>
      <c r="N98" s="143"/>
      <c r="O98" s="165">
        <f t="shared" ca="1" si="10"/>
        <v>0</v>
      </c>
      <c r="Q98" s="142"/>
      <c r="R98" s="143"/>
      <c r="S98" s="165">
        <f t="shared" ca="1" si="11"/>
        <v>0</v>
      </c>
      <c r="T98" s="18"/>
      <c r="U98" s="560"/>
      <c r="V98" s="560"/>
      <c r="Y98" s="21"/>
      <c r="Z98" s="21"/>
    </row>
    <row r="99" spans="1:26" ht="13.5" hidden="1" outlineLevel="1" thickBot="1">
      <c r="A99" s="181" t="str">
        <f t="shared" ca="1" si="6"/>
        <v>99 Act. Composée</v>
      </c>
      <c r="B99" s="73"/>
      <c r="C99" s="35"/>
      <c r="D99" s="142"/>
      <c r="E99" s="143"/>
      <c r="F99" s="165">
        <f t="shared" ca="1" si="7"/>
        <v>0</v>
      </c>
      <c r="G99" s="142"/>
      <c r="H99" s="143"/>
      <c r="I99" s="165">
        <f t="shared" ca="1" si="8"/>
        <v>0</v>
      </c>
      <c r="J99" s="142"/>
      <c r="K99" s="143"/>
      <c r="L99" s="165">
        <f t="shared" ca="1" si="9"/>
        <v>0</v>
      </c>
      <c r="M99" s="142"/>
      <c r="N99" s="143"/>
      <c r="O99" s="165">
        <f t="shared" ca="1" si="10"/>
        <v>0</v>
      </c>
      <c r="Q99" s="142"/>
      <c r="R99" s="143"/>
      <c r="S99" s="165">
        <f t="shared" ca="1" si="11"/>
        <v>0</v>
      </c>
      <c r="T99" s="32"/>
      <c r="U99" s="561"/>
      <c r="V99" s="561"/>
      <c r="Y99" s="21"/>
      <c r="Z99" s="21"/>
    </row>
    <row r="100" spans="1:26" ht="13.5" thickBot="1">
      <c r="C100" s="30"/>
      <c r="D100" s="133"/>
      <c r="G100" s="30"/>
      <c r="J100" s="30"/>
      <c r="M100" s="30"/>
      <c r="Q100" s="30"/>
      <c r="U100"/>
      <c r="V100"/>
      <c r="Y100" s="21"/>
      <c r="Z100" s="21"/>
    </row>
    <row r="101" spans="1:26" ht="15.75" customHeight="1" thickBot="1">
      <c r="B101" s="557" t="s">
        <v>93</v>
      </c>
      <c r="C101" s="558"/>
      <c r="D101" s="134"/>
      <c r="E101" s="123">
        <f ca="1">F101/$E104</f>
        <v>0.13258501952092344</v>
      </c>
      <c r="F101" s="34">
        <f ca="1">SUM(F3:F100)/2</f>
        <v>58.247714185555012</v>
      </c>
      <c r="G101" s="130"/>
      <c r="H101" s="33">
        <f ca="1">I101/$E104</f>
        <v>0.28330211052304205</v>
      </c>
      <c r="I101" s="34">
        <f ca="1">SUM(I3:I100)/2</f>
        <v>124.46127338923469</v>
      </c>
      <c r="J101" s="130"/>
      <c r="K101" s="33">
        <f ca="1">L101/$E104</f>
        <v>0.37509124527842336</v>
      </c>
      <c r="L101" s="34">
        <f ca="1">SUM(L3:L100)/2</f>
        <v>164.78639689028833</v>
      </c>
      <c r="M101" s="130"/>
      <c r="N101" s="33">
        <f ca="1">O101/$E104</f>
        <v>0.19126705410392722</v>
      </c>
      <c r="O101" s="34">
        <f ca="1">SUM(O3:O100)/2</f>
        <v>84.028110723327103</v>
      </c>
      <c r="P101" s="20"/>
      <c r="Q101" s="130"/>
      <c r="R101" s="33">
        <f ca="1">S101/$E104</f>
        <v>1.7754570573683858E-2</v>
      </c>
      <c r="S101" s="34">
        <f ca="1">SUM(S3:S100)/2</f>
        <v>7.8000000000000007</v>
      </c>
      <c r="T101" s="20"/>
      <c r="U101"/>
      <c r="V101"/>
      <c r="W101" s="37">
        <f ca="1">SUM(E101,H101,K101,N101,R101)</f>
        <v>1</v>
      </c>
      <c r="X101" s="41">
        <f ca="1">SUM(W101,S101,O101,L101,I101,F101)</f>
        <v>440.32349518840516</v>
      </c>
      <c r="Y101" s="43">
        <f ca="1">SUM(Y3:Y100)</f>
        <v>0.99772894244588972</v>
      </c>
      <c r="Z101" s="43">
        <f ca="1">SUM(Z2:Z100)</f>
        <v>0.99772894244588972</v>
      </c>
    </row>
    <row r="102" spans="1:26" ht="17.25" customHeight="1">
      <c r="B102" s="557" t="s">
        <v>73</v>
      </c>
      <c r="C102" s="558"/>
      <c r="D102" s="134"/>
      <c r="E102" s="565">
        <f ca="1">(F101/20)/E2</f>
        <v>2.022490075887327</v>
      </c>
      <c r="F102" s="566"/>
      <c r="G102" s="130"/>
      <c r="H102" s="567">
        <f ca="1">(I101/20)/H2</f>
        <v>3.2411789945113201</v>
      </c>
      <c r="I102" s="566"/>
      <c r="J102" s="130"/>
      <c r="K102" s="567">
        <f ca="1">(L101/20)/K2</f>
        <v>3.2184843142634434</v>
      </c>
      <c r="L102" s="566"/>
      <c r="M102" s="130"/>
      <c r="N102" s="567">
        <f ca="1">(O101/20)/N2</f>
        <v>2.0199065077722862</v>
      </c>
      <c r="O102" s="566"/>
      <c r="P102" s="20"/>
      <c r="Q102" s="130"/>
      <c r="R102" s="567">
        <f ca="1">(S101/20)/R2</f>
        <v>6.5000000000000002E-2</v>
      </c>
      <c r="S102" s="566"/>
      <c r="T102" s="20"/>
      <c r="U102"/>
      <c r="V102"/>
    </row>
    <row r="103" spans="1:26" ht="7.5" customHeight="1">
      <c r="C103" s="30"/>
      <c r="D103" s="133"/>
      <c r="G103" s="30"/>
      <c r="J103" s="30"/>
      <c r="M103" s="30"/>
      <c r="Q103" s="30"/>
      <c r="U103"/>
      <c r="V103"/>
    </row>
    <row r="104" spans="1:26" ht="15" customHeight="1">
      <c r="C104" s="30"/>
      <c r="D104" s="133"/>
      <c r="E104" s="562">
        <f ca="1">SUM(F101,I101,L101,O101,S101)</f>
        <v>439.32349518840516</v>
      </c>
      <c r="F104" s="563"/>
      <c r="G104" s="563"/>
      <c r="H104" s="563"/>
      <c r="I104" s="563"/>
      <c r="J104" s="563"/>
      <c r="K104" s="563"/>
      <c r="L104" s="563"/>
      <c r="M104" s="563"/>
      <c r="N104" s="563"/>
      <c r="O104" s="563"/>
      <c r="P104" s="563"/>
      <c r="Q104" s="563"/>
      <c r="R104" s="563"/>
      <c r="S104" s="564"/>
    </row>
    <row r="105" spans="1:26" ht="24.75" customHeight="1">
      <c r="C105" s="30"/>
      <c r="D105" s="133"/>
      <c r="G105" s="30"/>
      <c r="J105" s="30"/>
      <c r="M105" s="30"/>
      <c r="Q105" s="30"/>
    </row>
    <row r="106" spans="1:26" ht="24.75" customHeight="1">
      <c r="C106" s="30"/>
      <c r="D106" s="133"/>
      <c r="E106" s="183" t="str">
        <f>D3</f>
        <v>LANCEMENT</v>
      </c>
      <c r="F106" s="184">
        <f ca="1">E102</f>
        <v>2.022490075887327</v>
      </c>
      <c r="G106" s="30"/>
      <c r="J106" s="30"/>
      <c r="M106" s="30"/>
      <c r="Q106" s="30"/>
    </row>
    <row r="107" spans="1:26" ht="24.75" customHeight="1">
      <c r="C107" s="30"/>
      <c r="D107" s="133"/>
      <c r="E107" s="183" t="str">
        <f>G3</f>
        <v>ELABORATION</v>
      </c>
      <c r="F107" s="184">
        <f ca="1">H102</f>
        <v>3.2411789945113201</v>
      </c>
      <c r="G107" s="30"/>
      <c r="J107" s="30"/>
      <c r="M107" s="30"/>
      <c r="Q107" s="30"/>
    </row>
    <row r="108" spans="1:26" ht="24.75" customHeight="1">
      <c r="C108" s="30"/>
      <c r="D108" s="133"/>
      <c r="E108" s="185" t="str">
        <f>J3</f>
        <v>CONSTRUCTION</v>
      </c>
      <c r="F108" s="184">
        <f ca="1">K102</f>
        <v>3.2184843142634434</v>
      </c>
      <c r="G108" s="30"/>
      <c r="J108" s="30"/>
      <c r="M108" s="30"/>
      <c r="Q108" s="30"/>
    </row>
    <row r="109" spans="1:26" ht="24.75" customHeight="1">
      <c r="C109" s="30"/>
      <c r="D109" s="133"/>
      <c r="E109" s="183" t="str">
        <f>M3</f>
        <v>TRANSITION</v>
      </c>
      <c r="F109" s="184">
        <f ca="1">N102</f>
        <v>2.0199065077722862</v>
      </c>
      <c r="G109" s="30"/>
      <c r="J109" s="30"/>
      <c r="M109" s="30"/>
      <c r="Q109" s="30"/>
    </row>
    <row r="110" spans="1:26" ht="24.75" customHeight="1">
      <c r="C110" s="30"/>
      <c r="D110" s="133"/>
      <c r="E110" s="186" t="str">
        <f>Q3</f>
        <v>Garantie</v>
      </c>
      <c r="F110" s="187">
        <f ca="1">R102</f>
        <v>6.5000000000000002E-2</v>
      </c>
      <c r="G110" s="30"/>
      <c r="J110" s="30"/>
      <c r="M110" s="30"/>
      <c r="Q110" s="30"/>
    </row>
    <row r="111" spans="1:26" ht="24.75" customHeight="1">
      <c r="C111" s="30"/>
      <c r="D111" s="133"/>
      <c r="G111" s="30"/>
      <c r="J111" s="30"/>
      <c r="M111" s="30"/>
      <c r="Q111" s="30"/>
    </row>
    <row r="112" spans="1:26" ht="18" customHeight="1" thickBot="1">
      <c r="C112" s="30"/>
      <c r="D112" s="133"/>
      <c r="G112" s="30"/>
      <c r="J112" s="30"/>
      <c r="M112" s="30"/>
      <c r="Q112" s="30"/>
    </row>
    <row r="113" spans="1:26" ht="14.25" customHeight="1" thickBot="1">
      <c r="B113" s="551" t="s">
        <v>121</v>
      </c>
      <c r="C113" s="551"/>
      <c r="D113" s="568" t="s">
        <v>135</v>
      </c>
      <c r="E113" s="569"/>
      <c r="F113" s="570"/>
      <c r="G113" s="568" t="s">
        <v>89</v>
      </c>
      <c r="H113" s="569"/>
      <c r="I113" s="570"/>
      <c r="J113" s="568" t="s">
        <v>90</v>
      </c>
      <c r="K113" s="569"/>
      <c r="L113" s="570"/>
      <c r="M113" s="568" t="s">
        <v>91</v>
      </c>
      <c r="N113" s="569"/>
      <c r="O113" s="570"/>
      <c r="Q113" s="568" t="s">
        <v>160</v>
      </c>
      <c r="R113" s="569"/>
      <c r="S113" s="570"/>
    </row>
    <row r="114" spans="1:26" ht="19.5" customHeight="1">
      <c r="A114" s="182">
        <f ca="1">IF(ROUND(SUM(E114,H114,K114,N114,R114)-Z114,4)=0,0,MAX(A$113:OFFSET(A114,-1,0))+1)</f>
        <v>0</v>
      </c>
      <c r="B114" s="548" t="s">
        <v>102</v>
      </c>
      <c r="C114" s="549"/>
      <c r="D114" s="132"/>
      <c r="E114" s="46">
        <f t="shared" ref="E114:E127" ca="1" si="12">IF(E$2,F114/20/E$2,0)</f>
        <v>4.9601653385831682E-2</v>
      </c>
      <c r="F114" s="55">
        <f t="shared" ref="F114:F127" ca="1" si="13">SUMIF($B$1:$B$112,$B114,F$1:F$112)</f>
        <v>1.4285276175119523</v>
      </c>
      <c r="G114" s="30"/>
      <c r="H114" s="46">
        <f t="shared" ref="H114:H127" ca="1" si="14">IF(H$2,I114/20/H$2,0)</f>
        <v>3.2433728585831684E-2</v>
      </c>
      <c r="I114" s="55">
        <f t="shared" ref="I114:I127" ca="1" si="15">SUMIF($B$1:$B$112,$B114,I$1:I$112)</f>
        <v>1.2454551776959366</v>
      </c>
      <c r="J114" s="30"/>
      <c r="K114" s="46">
        <f t="shared" ref="K114:K127" ca="1" si="16">IF(K$2,L114/20/K$2,0)</f>
        <v>3.1918690841831673E-2</v>
      </c>
      <c r="L114" s="55">
        <f t="shared" ref="L114:L127" ca="1" si="17">SUMIF($B$1:$B$112,$B114,L$1:L$112)</f>
        <v>1.6342369711017819</v>
      </c>
      <c r="M114" s="30"/>
      <c r="N114" s="46">
        <f t="shared" ref="N114:N127" ca="1" si="18">IF(N$2,O114/20/N$2,0)</f>
        <v>3.2275255433831682E-2</v>
      </c>
      <c r="O114" s="55">
        <f t="shared" ref="O114:O127" ca="1" si="19">SUMIF($B$1:$B$112,$B114,O$1:O$112)</f>
        <v>1.342650626047398</v>
      </c>
      <c r="Q114" s="30"/>
      <c r="R114" s="46">
        <f ca="1">IF(R$2,S114/20/R$2,0)</f>
        <v>0</v>
      </c>
      <c r="S114" s="55">
        <f t="shared" ref="S114:S127" ca="1" si="20">SUMIF($B$1:$B$112,$B114,S$1:S$112)</f>
        <v>0</v>
      </c>
      <c r="X114" s="42">
        <f ca="1">SUM(AA114,S114,O114,L114,I114,F114)</f>
        <v>5.6508703923570689</v>
      </c>
      <c r="Y114" s="44">
        <f ca="1">X114/X$101</f>
        <v>1.2833451891862323E-2</v>
      </c>
      <c r="Z114" s="58">
        <f t="array" aca="1" ref="Z114" ca="1">SUM(IF(B$129:B$190=B114,IF(D113:S113&lt;&gt;"",E$129:R$190,0),0))</f>
        <v>0.14622932824732671</v>
      </c>
    </row>
    <row r="115" spans="1:26" ht="19.5" customHeight="1">
      <c r="A115" s="182">
        <f ca="1">IF(ROUND(SUM(E115,H115,K115,N115,R115)-Z115,4)=0,0,MAX(A$113:OFFSET(A115,-1,0))+1)</f>
        <v>0</v>
      </c>
      <c r="B115" s="548" t="s">
        <v>96</v>
      </c>
      <c r="C115" s="549"/>
      <c r="D115" s="132"/>
      <c r="E115" s="46">
        <f t="shared" ca="1" si="12"/>
        <v>0.94243141433080191</v>
      </c>
      <c r="F115" s="56">
        <f t="shared" ca="1" si="13"/>
        <v>27.142024732727091</v>
      </c>
      <c r="G115" s="30"/>
      <c r="H115" s="46">
        <f t="shared" ca="1" si="14"/>
        <v>0.61624084313080185</v>
      </c>
      <c r="I115" s="56">
        <f t="shared" ca="1" si="15"/>
        <v>23.663648376222792</v>
      </c>
      <c r="J115" s="30"/>
      <c r="K115" s="46">
        <f t="shared" ca="1" si="16"/>
        <v>0.60645512599480178</v>
      </c>
      <c r="L115" s="56">
        <f t="shared" ca="1" si="17"/>
        <v>31.050502450933855</v>
      </c>
      <c r="M115" s="30"/>
      <c r="N115" s="46">
        <f t="shared" ca="1" si="18"/>
        <v>0.61322985324280188</v>
      </c>
      <c r="O115" s="56">
        <f t="shared" ca="1" si="19"/>
        <v>25.510361894900559</v>
      </c>
      <c r="Q115" s="30"/>
      <c r="R115" s="46">
        <f t="shared" ref="R115:R127" ca="1" si="21">IF(R$2,S115/20/R$2,0)</f>
        <v>6.4999999999999997E-3</v>
      </c>
      <c r="S115" s="56">
        <f t="shared" ca="1" si="20"/>
        <v>0.78</v>
      </c>
      <c r="X115" s="42">
        <f t="shared" ref="X115:X127" ca="1" si="22">SUM(W115,S115,O115,L115,I115,F115)</f>
        <v>108.14653745478431</v>
      </c>
      <c r="Y115" s="44">
        <f t="shared" ref="Y115:Y127" ca="1" si="23">X115/X$101</f>
        <v>0.2456070108375904</v>
      </c>
      <c r="Z115" s="58">
        <f t="array" aca="1" ref="Z115" ca="1">SUM(IF(B$129:B$190=B115,E$129:E$190+H$129:H$190+K$129:K$190+N$129:N$190+R$129:R$190))</f>
        <v>2.784857236699207</v>
      </c>
    </row>
    <row r="116" spans="1:26" ht="19.5" customHeight="1">
      <c r="A116" s="182">
        <f ca="1">IF(ROUND(SUM(E116,H116,K116,N116,R116)-Z116,4)=0,0,MAX(A$113:OFFSET(A116,-1,0))+1)</f>
        <v>0</v>
      </c>
      <c r="B116" s="548" t="s">
        <v>98</v>
      </c>
      <c r="C116" s="549"/>
      <c r="D116" s="132"/>
      <c r="E116" s="46">
        <f t="shared" ca="1" si="12"/>
        <v>0.18314700817069321</v>
      </c>
      <c r="F116" s="56">
        <f t="shared" ca="1" si="13"/>
        <v>5.2746338353159636</v>
      </c>
      <c r="G116" s="30"/>
      <c r="H116" s="46">
        <f t="shared" ca="1" si="14"/>
        <v>0.13736025612801989</v>
      </c>
      <c r="I116" s="56">
        <f t="shared" ca="1" si="15"/>
        <v>5.2746338353159636</v>
      </c>
      <c r="J116" s="30"/>
      <c r="K116" s="46">
        <f t="shared" ca="1" si="16"/>
        <v>8.2416153676811932E-2</v>
      </c>
      <c r="L116" s="56">
        <f t="shared" ca="1" si="17"/>
        <v>4.2197070682527711</v>
      </c>
      <c r="M116" s="30"/>
      <c r="N116" s="46">
        <f t="shared" ca="1" si="18"/>
        <v>0.1521528990956528</v>
      </c>
      <c r="O116" s="56">
        <f t="shared" ca="1" si="19"/>
        <v>6.3295606023791562</v>
      </c>
      <c r="Q116" s="30"/>
      <c r="R116" s="46">
        <f t="shared" ca="1" si="21"/>
        <v>1.2999999999999999E-3</v>
      </c>
      <c r="S116" s="56">
        <f t="shared" ca="1" si="20"/>
        <v>0.156</v>
      </c>
      <c r="X116" s="42">
        <f t="shared" ca="1" si="22"/>
        <v>21.254535341263853</v>
      </c>
      <c r="Y116" s="44">
        <f t="shared" ca="1" si="23"/>
        <v>4.8270273045887511E-2</v>
      </c>
      <c r="Z116" s="58">
        <f t="array" aca="1" ref="Z116" ca="1">SUM(IF(B$129:B$190=B116,E$129:E$190+H$129:H$190+K$129:K$190+N$129:N$190+R$129:R$190))</f>
        <v>0.55637631707117785</v>
      </c>
    </row>
    <row r="117" spans="1:26" ht="19.5" customHeight="1">
      <c r="A117" s="182">
        <f ca="1">IF(ROUND(SUM(E117,H117,K117,N117,R117)-Z117,4)=0,0,MAX(A$113:OFFSET(A117,-1,0))+1)</f>
        <v>0</v>
      </c>
      <c r="B117" s="548" t="s">
        <v>103</v>
      </c>
      <c r="C117" s="549"/>
      <c r="D117" s="132"/>
      <c r="E117" s="46">
        <f t="shared" ca="1" si="12"/>
        <v>0.17250000000000004</v>
      </c>
      <c r="F117" s="56">
        <f t="shared" ca="1" si="13"/>
        <v>4.9680000000000009</v>
      </c>
      <c r="G117" s="30"/>
      <c r="H117" s="46">
        <f t="shared" ca="1" si="14"/>
        <v>0.388125</v>
      </c>
      <c r="I117" s="56">
        <f t="shared" ca="1" si="15"/>
        <v>14.904</v>
      </c>
      <c r="J117" s="30"/>
      <c r="K117" s="46">
        <f t="shared" ca="1" si="16"/>
        <v>7.2773437499999996E-2</v>
      </c>
      <c r="L117" s="56">
        <f t="shared" ca="1" si="17"/>
        <v>3.726</v>
      </c>
      <c r="M117" s="30"/>
      <c r="N117" s="46">
        <f t="shared" ca="1" si="18"/>
        <v>2.9855769230769234E-2</v>
      </c>
      <c r="O117" s="56">
        <f t="shared" ca="1" si="19"/>
        <v>1.2420000000000002</v>
      </c>
      <c r="Q117" s="30"/>
      <c r="R117" s="46">
        <f t="shared" ca="1" si="21"/>
        <v>0</v>
      </c>
      <c r="S117" s="56">
        <f t="shared" ca="1" si="20"/>
        <v>0</v>
      </c>
      <c r="X117" s="42">
        <f t="shared" ca="1" si="22"/>
        <v>24.84</v>
      </c>
      <c r="Y117" s="44">
        <f t="shared" ca="1" si="23"/>
        <v>5.6413069644106743E-2</v>
      </c>
      <c r="Z117" s="58">
        <f t="array" aca="1" ref="Z117" ca="1">SUM(IF(B$129:B$190=B117,E$129:E$190+H$129:H$190+K$129:K$190+N$129:N$190+R$129:R$190))</f>
        <v>0.66325420673076929</v>
      </c>
    </row>
    <row r="118" spans="1:26" ht="19.5" customHeight="1">
      <c r="A118" s="182">
        <f ca="1">IF(ROUND(SUM(E118,H118,K118,N118,R118)-Z118,4)=0,0,MAX(A$113:OFFSET(A118,-1,0))+1)</f>
        <v>0</v>
      </c>
      <c r="B118" s="548" t="s">
        <v>104</v>
      </c>
      <c r="C118" s="549"/>
      <c r="D118" s="132"/>
      <c r="E118" s="46">
        <f t="shared" ca="1" si="12"/>
        <v>0.19691666666666668</v>
      </c>
      <c r="F118" s="56">
        <f t="shared" ca="1" si="13"/>
        <v>5.6712000000000007</v>
      </c>
      <c r="G118" s="30"/>
      <c r="H118" s="46">
        <f t="shared" ca="1" si="14"/>
        <v>0.43932675000000004</v>
      </c>
      <c r="I118" s="56">
        <f t="shared" ca="1" si="15"/>
        <v>16.870147200000002</v>
      </c>
      <c r="J118" s="30"/>
      <c r="K118" s="46">
        <f t="shared" ca="1" si="16"/>
        <v>0.10074761249999999</v>
      </c>
      <c r="L118" s="56">
        <f t="shared" ca="1" si="17"/>
        <v>5.1582777599999998</v>
      </c>
      <c r="M118" s="30"/>
      <c r="N118" s="46">
        <f t="shared" ca="1" si="18"/>
        <v>0.10340778461538462</v>
      </c>
      <c r="O118" s="56">
        <f t="shared" ca="1" si="19"/>
        <v>4.3017638400000004</v>
      </c>
      <c r="Q118" s="30"/>
      <c r="R118" s="46">
        <f t="shared" ca="1" si="21"/>
        <v>3.2499999999999999E-3</v>
      </c>
      <c r="S118" s="56">
        <f t="shared" ca="1" si="20"/>
        <v>0.39</v>
      </c>
      <c r="X118" s="42">
        <f t="shared" ca="1" si="22"/>
        <v>32.391388800000001</v>
      </c>
      <c r="Y118" s="44">
        <f t="shared" ca="1" si="23"/>
        <v>7.356270822237275E-2</v>
      </c>
      <c r="Z118" s="58">
        <f t="array" aca="1" ref="Z118" ca="1">SUM(IF(B$129:B$190=B118,E$129:E$190+H$129:H$190+K$129:K$190+N$129:N$190+R$129:R$190))</f>
        <v>0.84364881378205125</v>
      </c>
    </row>
    <row r="119" spans="1:26" ht="19.5" customHeight="1">
      <c r="A119" s="182">
        <f ca="1">IF(ROUND(SUM(E119,H119,K119,N119,R119)-Z119,4)=0,0,MAX(A$113:OFFSET(A119,-1,0))+1)</f>
        <v>0</v>
      </c>
      <c r="B119" s="548" t="s">
        <v>105</v>
      </c>
      <c r="C119" s="549"/>
      <c r="D119" s="132"/>
      <c r="E119" s="46">
        <f t="shared" ca="1" si="12"/>
        <v>0.12194716666666669</v>
      </c>
      <c r="F119" s="56">
        <f t="shared" ca="1" si="13"/>
        <v>3.5120784000000005</v>
      </c>
      <c r="G119" s="30"/>
      <c r="H119" s="46">
        <f t="shared" ca="1" si="14"/>
        <v>0.69669337500000006</v>
      </c>
      <c r="I119" s="56">
        <f t="shared" ca="1" si="15"/>
        <v>26.753025600000001</v>
      </c>
      <c r="J119" s="30"/>
      <c r="K119" s="46">
        <f t="shared" ca="1" si="16"/>
        <v>0.24349342499999999</v>
      </c>
      <c r="L119" s="56">
        <f t="shared" ca="1" si="17"/>
        <v>12.46686336</v>
      </c>
      <c r="M119" s="30"/>
      <c r="N119" s="46">
        <f t="shared" ca="1" si="18"/>
        <v>0.18346993846153847</v>
      </c>
      <c r="O119" s="56">
        <f t="shared" ca="1" si="19"/>
        <v>7.6323494400000005</v>
      </c>
      <c r="Q119" s="30"/>
      <c r="R119" s="46">
        <f t="shared" ca="1" si="21"/>
        <v>3.2499999999999999E-3</v>
      </c>
      <c r="S119" s="56">
        <f t="shared" ca="1" si="20"/>
        <v>0.39</v>
      </c>
      <c r="X119" s="42">
        <f t="shared" ca="1" si="22"/>
        <v>50.754316800000005</v>
      </c>
      <c r="Y119" s="44">
        <f t="shared" ca="1" si="23"/>
        <v>0.1152659745723614</v>
      </c>
      <c r="Z119" s="58">
        <f t="array" aca="1" ref="Z119" ca="1">SUM(IF(B$129:B$190=B119,E$129:E$190+H$129:H$190+K$129:K$190+N$129:N$190+R$129:R$190))</f>
        <v>1.2488539051282053</v>
      </c>
    </row>
    <row r="120" spans="1:26" ht="19.5" customHeight="1">
      <c r="A120" s="182">
        <f ca="1">IF(ROUND(SUM(E120,H120,K120,N120,R120)-Z120,4)=0,0,MAX(A$113:OFFSET(A120,-1,0))+1)</f>
        <v>0</v>
      </c>
      <c r="B120" s="548" t="s">
        <v>99</v>
      </c>
      <c r="C120" s="549"/>
      <c r="D120" s="132"/>
      <c r="E120" s="46">
        <f t="shared" ca="1" si="12"/>
        <v>0</v>
      </c>
      <c r="F120" s="56">
        <f t="shared" ca="1" si="13"/>
        <v>0</v>
      </c>
      <c r="G120" s="30"/>
      <c r="H120" s="46">
        <f t="shared" ca="1" si="14"/>
        <v>0.14375000000000002</v>
      </c>
      <c r="I120" s="56">
        <f t="shared" ca="1" si="15"/>
        <v>5.5200000000000005</v>
      </c>
      <c r="J120" s="30"/>
      <c r="K120" s="46">
        <f t="shared" ca="1" si="16"/>
        <v>2.0214843749999999E-2</v>
      </c>
      <c r="L120" s="56">
        <f t="shared" ca="1" si="17"/>
        <v>1.0349999999999999</v>
      </c>
      <c r="M120" s="30"/>
      <c r="N120" s="46">
        <f t="shared" ca="1" si="18"/>
        <v>8.2932692307692308E-3</v>
      </c>
      <c r="O120" s="56">
        <f t="shared" ca="1" si="19"/>
        <v>0.34500000000000003</v>
      </c>
      <c r="Q120" s="30"/>
      <c r="R120" s="46">
        <f t="shared" ca="1" si="21"/>
        <v>0</v>
      </c>
      <c r="S120" s="56">
        <f t="shared" ca="1" si="20"/>
        <v>0</v>
      </c>
      <c r="X120" s="42">
        <f t="shared" ca="1" si="22"/>
        <v>6.9</v>
      </c>
      <c r="Y120" s="44">
        <f t="shared" ca="1" si="23"/>
        <v>1.5670297123362986E-2</v>
      </c>
      <c r="Z120" s="58">
        <f t="array" aca="1" ref="Z120" ca="1">SUM(IF(B$129:B$190=B120,E$129:E$190+H$129:H$190+K$129:K$190+N$129:N$190+R$129:R$190))</f>
        <v>0.17225811298076923</v>
      </c>
    </row>
    <row r="121" spans="1:26" ht="19.5" customHeight="1">
      <c r="A121" s="182">
        <f ca="1">IF(ROUND(SUM(E121,H121,K121,N121,R121)-Z121,4)=0,0,MAX(A$113:OFFSET(A121,-1,0))+1)</f>
        <v>0</v>
      </c>
      <c r="B121" s="548" t="s">
        <v>100</v>
      </c>
      <c r="C121" s="549"/>
      <c r="D121" s="132"/>
      <c r="E121" s="46">
        <f t="shared" ca="1" si="12"/>
        <v>2.6321166666666663E-2</v>
      </c>
      <c r="F121" s="56">
        <f t="shared" ca="1" si="13"/>
        <v>0.75804959999999988</v>
      </c>
      <c r="G121" s="30"/>
      <c r="H121" s="46">
        <f t="shared" ca="1" si="14"/>
        <v>0.45125129166666667</v>
      </c>
      <c r="I121" s="56">
        <f t="shared" ca="1" si="15"/>
        <v>17.3280496</v>
      </c>
      <c r="J121" s="30"/>
      <c r="K121" s="46">
        <f t="shared" ca="1" si="16"/>
        <v>1.8591868437499999</v>
      </c>
      <c r="L121" s="56">
        <f t="shared" ca="1" si="17"/>
        <v>95.190366400000002</v>
      </c>
      <c r="M121" s="30"/>
      <c r="N121" s="46">
        <f t="shared" ca="1" si="18"/>
        <v>0.41226842307692302</v>
      </c>
      <c r="O121" s="56">
        <f t="shared" ca="1" si="19"/>
        <v>17.150366399999999</v>
      </c>
      <c r="Q121" s="30"/>
      <c r="R121" s="46">
        <f t="shared" ca="1" si="21"/>
        <v>3.9E-2</v>
      </c>
      <c r="S121" s="56">
        <f t="shared" ca="1" si="20"/>
        <v>4.68</v>
      </c>
      <c r="X121" s="42">
        <f t="shared" ca="1" si="22"/>
        <v>135.106832</v>
      </c>
      <c r="Y121" s="44">
        <f t="shared" ca="1" si="23"/>
        <v>0.30683539142554866</v>
      </c>
      <c r="Z121" s="58">
        <f t="array" aca="1" ref="Z121" ca="1">SUM(IF(B$129:B$190=B121,E$129:E$190+H$129:H$190+K$129:K$190+N$129:N$190+R$129:R$190))</f>
        <v>2.7880277251602563</v>
      </c>
    </row>
    <row r="122" spans="1:26" ht="19.5" customHeight="1">
      <c r="A122" s="182">
        <f ca="1">IF(ROUND(SUM(E122,H122,K122,N122,R122)-Z122,4)=0,0,MAX(A$113:OFFSET(A122,-1,0))+1)</f>
        <v>0</v>
      </c>
      <c r="B122" s="548" t="s">
        <v>106</v>
      </c>
      <c r="C122" s="549"/>
      <c r="D122" s="132"/>
      <c r="E122" s="46">
        <f t="shared" ca="1" si="12"/>
        <v>0.11394444444444445</v>
      </c>
      <c r="F122" s="56">
        <f t="shared" ca="1" si="13"/>
        <v>3.2816000000000001</v>
      </c>
      <c r="G122" s="30"/>
      <c r="H122" s="46">
        <f t="shared" ca="1" si="14"/>
        <v>0.23894149999999997</v>
      </c>
      <c r="I122" s="56">
        <f t="shared" ca="1" si="15"/>
        <v>9.1753535999999993</v>
      </c>
      <c r="J122" s="30"/>
      <c r="K122" s="46">
        <f t="shared" ca="1" si="16"/>
        <v>0.13054615</v>
      </c>
      <c r="L122" s="56">
        <f t="shared" ca="1" si="17"/>
        <v>6.6839628800000002</v>
      </c>
      <c r="M122" s="30"/>
      <c r="N122" s="46">
        <f t="shared" ca="1" si="18"/>
        <v>0.34324273846153847</v>
      </c>
      <c r="O122" s="56">
        <f t="shared" ca="1" si="19"/>
        <v>14.27889792</v>
      </c>
      <c r="Q122" s="30"/>
      <c r="R122" s="46">
        <f t="shared" ca="1" si="21"/>
        <v>6.4999999999999997E-3</v>
      </c>
      <c r="S122" s="56">
        <f t="shared" ca="1" si="20"/>
        <v>0.78</v>
      </c>
      <c r="X122" s="42">
        <f t="shared" ca="1" si="22"/>
        <v>34.199814399999994</v>
      </c>
      <c r="Y122" s="44">
        <f t="shared" ca="1" si="23"/>
        <v>7.7669746842299686E-2</v>
      </c>
      <c r="Z122" s="58">
        <f t="array" aca="1" ref="Z122" ca="1">SUM(IF(B$129:B$190=B122,E$129:E$190+H$129:H$190+K$129:K$190+N$129:N$190+R$129:R$190))</f>
        <v>0.83317483290598293</v>
      </c>
    </row>
    <row r="123" spans="1:26" ht="19.5" customHeight="1">
      <c r="A123" s="182">
        <f ca="1">IF(ROUND(SUM(E123,H123,K123,N123,R123)-Z123,4)=0,0,MAX(A$113:OFFSET(A123,-1,0))+1)</f>
        <v>0</v>
      </c>
      <c r="B123" s="548" t="s">
        <v>107</v>
      </c>
      <c r="C123" s="549"/>
      <c r="D123" s="132"/>
      <c r="E123" s="46">
        <f t="shared" ca="1" si="12"/>
        <v>5.49375E-2</v>
      </c>
      <c r="F123" s="56">
        <f t="shared" ca="1" si="13"/>
        <v>1.5822000000000001</v>
      </c>
      <c r="G123" s="30"/>
      <c r="H123" s="46">
        <f t="shared" ca="1" si="14"/>
        <v>2.4721874999999997E-2</v>
      </c>
      <c r="I123" s="56">
        <f t="shared" ca="1" si="15"/>
        <v>0.94931999999999994</v>
      </c>
      <c r="J123" s="30"/>
      <c r="K123" s="46">
        <f t="shared" ca="1" si="16"/>
        <v>2.4721875000000004E-2</v>
      </c>
      <c r="L123" s="56">
        <f t="shared" ca="1" si="17"/>
        <v>1.2657600000000002</v>
      </c>
      <c r="M123" s="30"/>
      <c r="N123" s="46">
        <f t="shared" ca="1" si="18"/>
        <v>6.0853846153846161E-2</v>
      </c>
      <c r="O123" s="56">
        <f t="shared" ca="1" si="19"/>
        <v>2.5315200000000004</v>
      </c>
      <c r="Q123" s="30"/>
      <c r="R123" s="46">
        <f t="shared" ca="1" si="21"/>
        <v>2.5999999999999999E-3</v>
      </c>
      <c r="S123" s="56">
        <f t="shared" ca="1" si="20"/>
        <v>0.312</v>
      </c>
      <c r="X123" s="42">
        <f t="shared" ca="1" si="22"/>
        <v>6.6408000000000005</v>
      </c>
      <c r="Y123" s="44">
        <f t="shared" ca="1" si="23"/>
        <v>1.5081639005337523E-2</v>
      </c>
      <c r="Z123" s="58">
        <f t="array" aca="1" ref="Z123" ca="1">SUM(IF(B$129:B$190=B123,E$129:E$190+H$129:H$190+K$129:K$190+N$129:N$190+R$129:R$190))</f>
        <v>0.16783509615384617</v>
      </c>
    </row>
    <row r="124" spans="1:26" ht="19.5" customHeight="1">
      <c r="A124" s="182">
        <f ca="1">IF(ROUND(SUM(E124,H124,K124,N124,R124)-Z124,4)=0,0,MAX(A$113:OFFSET(A124,-1,0))+1)</f>
        <v>0</v>
      </c>
      <c r="B124" s="548" t="s">
        <v>108</v>
      </c>
      <c r="C124" s="549"/>
      <c r="D124" s="132"/>
      <c r="E124" s="46">
        <f t="shared" ca="1" si="12"/>
        <v>5.49375E-2</v>
      </c>
      <c r="F124" s="56">
        <f t="shared" ca="1" si="13"/>
        <v>1.5822000000000001</v>
      </c>
      <c r="G124" s="30"/>
      <c r="H124" s="46">
        <f t="shared" ca="1" si="14"/>
        <v>2.4721874999999997E-2</v>
      </c>
      <c r="I124" s="56">
        <f t="shared" ca="1" si="15"/>
        <v>0.94931999999999994</v>
      </c>
      <c r="J124" s="30"/>
      <c r="K124" s="46">
        <f t="shared" ca="1" si="16"/>
        <v>2.4721875000000004E-2</v>
      </c>
      <c r="L124" s="56">
        <f t="shared" ca="1" si="17"/>
        <v>1.2657600000000002</v>
      </c>
      <c r="M124" s="30"/>
      <c r="N124" s="46">
        <f t="shared" ca="1" si="18"/>
        <v>6.0853846153846161E-2</v>
      </c>
      <c r="O124" s="56">
        <f t="shared" ca="1" si="19"/>
        <v>2.5315200000000004</v>
      </c>
      <c r="Q124" s="30"/>
      <c r="R124" s="46">
        <f t="shared" ca="1" si="21"/>
        <v>1.2999999999999999E-3</v>
      </c>
      <c r="S124" s="56">
        <f t="shared" ca="1" si="20"/>
        <v>0.156</v>
      </c>
      <c r="X124" s="42">
        <f t="shared" ca="1" si="22"/>
        <v>6.4848000000000008</v>
      </c>
      <c r="Y124" s="44">
        <f t="shared" ca="1" si="23"/>
        <v>1.4727354026896273E-2</v>
      </c>
      <c r="Z124" s="58">
        <f t="array" aca="1" ref="Z124" ca="1">SUM(IF(B$129:B$190=B124,E$129:E$190+H$129:H$190+K$129:K$190+N$129:N$190+R$129:R$190))</f>
        <v>0.16653509615384618</v>
      </c>
    </row>
    <row r="125" spans="1:26" ht="19.5" customHeight="1">
      <c r="A125" s="182">
        <f ca="1">IF(ROUND(SUM(E125,H125,K125,N125,R125)-Z125,4)=0,0,MAX(A$113:OFFSET(A125,-1,0))+1)</f>
        <v>0</v>
      </c>
      <c r="B125" s="548" t="s">
        <v>109</v>
      </c>
      <c r="C125" s="549"/>
      <c r="D125" s="132"/>
      <c r="E125" s="46">
        <f t="shared" ca="1" si="12"/>
        <v>1.2208333333333335E-2</v>
      </c>
      <c r="F125" s="56">
        <f t="shared" ca="1" si="13"/>
        <v>0.35160000000000002</v>
      </c>
      <c r="G125" s="30"/>
      <c r="H125" s="46">
        <f t="shared" ca="1" si="14"/>
        <v>5.4937500000000004E-3</v>
      </c>
      <c r="I125" s="56">
        <f t="shared" ca="1" si="15"/>
        <v>0.21096000000000001</v>
      </c>
      <c r="J125" s="30"/>
      <c r="K125" s="46">
        <f t="shared" ca="1" si="16"/>
        <v>5.4937500000000004E-3</v>
      </c>
      <c r="L125" s="56">
        <f t="shared" ca="1" si="17"/>
        <v>0.28128000000000003</v>
      </c>
      <c r="M125" s="30"/>
      <c r="N125" s="46">
        <f t="shared" ca="1" si="18"/>
        <v>1.3523076923076924E-2</v>
      </c>
      <c r="O125" s="56">
        <f t="shared" ca="1" si="19"/>
        <v>0.56256000000000006</v>
      </c>
      <c r="Q125" s="30"/>
      <c r="R125" s="46">
        <f t="shared" ca="1" si="21"/>
        <v>1.2999999999999999E-3</v>
      </c>
      <c r="S125" s="56">
        <f t="shared" ca="1" si="20"/>
        <v>0.156</v>
      </c>
      <c r="X125" s="42">
        <f t="shared" ca="1" si="22"/>
        <v>1.5624000000000002</v>
      </c>
      <c r="Y125" s="44">
        <f t="shared" ca="1" si="23"/>
        <v>3.5483003225423664E-3</v>
      </c>
      <c r="Z125" s="58">
        <f t="array" aca="1" ref="Z125" ca="1">SUM(IF(B$129:B$190=B125,E$129:E$190+H$129:H$190+K$129:K$190+N$129:N$190+R$129:R$190))</f>
        <v>3.8018910256410257E-2</v>
      </c>
    </row>
    <row r="126" spans="1:26" ht="19.5" customHeight="1">
      <c r="A126" s="182">
        <f ca="1">IF(ROUND(SUM(E126,H126,K126,N126,R126)-Z126,4)=0,0,MAX(A$113:OFFSET(A126,-1,0))+1)</f>
        <v>0</v>
      </c>
      <c r="B126" s="548" t="s">
        <v>113</v>
      </c>
      <c r="C126" s="549"/>
      <c r="D126" s="132"/>
      <c r="E126" s="46">
        <f t="shared" ca="1" si="12"/>
        <v>9.3597222222222234E-2</v>
      </c>
      <c r="F126" s="56">
        <f t="shared" ca="1" si="13"/>
        <v>2.6956000000000002</v>
      </c>
      <c r="G126" s="30"/>
      <c r="H126" s="46">
        <f t="shared" ca="1" si="14"/>
        <v>4.2118750000000003E-2</v>
      </c>
      <c r="I126" s="56">
        <f t="shared" ca="1" si="15"/>
        <v>1.6173600000000001</v>
      </c>
      <c r="J126" s="30"/>
      <c r="K126" s="46">
        <f t="shared" ca="1" si="16"/>
        <v>1.579453125E-2</v>
      </c>
      <c r="L126" s="56">
        <f t="shared" ca="1" si="17"/>
        <v>0.80868000000000007</v>
      </c>
      <c r="M126" s="30"/>
      <c r="N126" s="46">
        <f t="shared" ca="1" si="18"/>
        <v>6.4798076923076927E-3</v>
      </c>
      <c r="O126" s="56">
        <f t="shared" ca="1" si="19"/>
        <v>0.26956000000000002</v>
      </c>
      <c r="Q126" s="30"/>
      <c r="R126" s="46">
        <f t="shared" ca="1" si="21"/>
        <v>0</v>
      </c>
      <c r="S126" s="56">
        <f t="shared" ca="1" si="20"/>
        <v>0</v>
      </c>
      <c r="X126" s="42">
        <f t="shared" ca="1" si="22"/>
        <v>5.3912000000000004</v>
      </c>
      <c r="Y126" s="44">
        <f t="shared" ca="1" si="23"/>
        <v>1.2243725485720945E-2</v>
      </c>
      <c r="Z126" s="58">
        <f t="array" aca="1" ref="Z126" ca="1">SUM(IF(B$129:B$190=B126,E$129:E$190+H$129:H$190+K$129:K$190+N$129:N$190+R$129:R$190))</f>
        <v>0.15799031116452991</v>
      </c>
    </row>
    <row r="127" spans="1:26" ht="19.5" customHeight="1">
      <c r="A127" s="182">
        <f ca="1">IF(ROUND(SUM(E127,H127,K127,N127,R127)-Z127,4)=0,0,MAX(A$113:OFFSET(A127,-1,0))+1)</f>
        <v>0</v>
      </c>
      <c r="B127" s="553" t="s">
        <v>115</v>
      </c>
      <c r="C127" s="554"/>
      <c r="D127" s="132"/>
      <c r="E127" s="46">
        <f t="shared" ca="1" si="12"/>
        <v>0</v>
      </c>
      <c r="F127" s="56">
        <f t="shared" ca="1" si="13"/>
        <v>0</v>
      </c>
      <c r="G127" s="30"/>
      <c r="H127" s="46">
        <f t="shared" ca="1" si="14"/>
        <v>0</v>
      </c>
      <c r="I127" s="56">
        <f t="shared" ca="1" si="15"/>
        <v>0</v>
      </c>
      <c r="J127" s="30"/>
      <c r="K127" s="46">
        <f t="shared" ca="1" si="16"/>
        <v>0</v>
      </c>
      <c r="L127" s="56">
        <f t="shared" ca="1" si="17"/>
        <v>0</v>
      </c>
      <c r="M127" s="30"/>
      <c r="N127" s="46">
        <f t="shared" ca="1" si="18"/>
        <v>0</v>
      </c>
      <c r="O127" s="56">
        <f t="shared" ca="1" si="19"/>
        <v>0</v>
      </c>
      <c r="Q127" s="30"/>
      <c r="R127" s="46">
        <f t="shared" ca="1" si="21"/>
        <v>0</v>
      </c>
      <c r="S127" s="56">
        <f t="shared" ca="1" si="20"/>
        <v>0</v>
      </c>
      <c r="X127" s="42">
        <f t="shared" ca="1" si="22"/>
        <v>0</v>
      </c>
      <c r="Y127" s="44">
        <f t="shared" ca="1" si="23"/>
        <v>0</v>
      </c>
      <c r="Z127" s="58">
        <f t="array" aca="1" ref="Z127" ca="1">SUM(IF(B$129:B$190=B127,E$129:E$190+H$129:H$190+K$129:K$190+N$129:N$190+R$129:R$190))</f>
        <v>0</v>
      </c>
    </row>
    <row r="128" spans="1:26" ht="3.75" customHeight="1">
      <c r="B128" s="51" t="s">
        <v>101</v>
      </c>
      <c r="G128" s="30"/>
      <c r="M128" s="30"/>
    </row>
    <row r="129" spans="1:25" ht="12.75" customHeight="1">
      <c r="B129" s="51" t="s">
        <v>101</v>
      </c>
      <c r="C129" s="1"/>
      <c r="E129" s="45">
        <f ca="1">SUM(E115:E128)</f>
        <v>1.9728884225014955</v>
      </c>
      <c r="F129" s="1"/>
      <c r="G129" s="1"/>
      <c r="H129" s="45">
        <f ca="1">SUM(H115:H128)</f>
        <v>3.2087452659254887</v>
      </c>
      <c r="I129" s="1"/>
      <c r="J129" s="1"/>
      <c r="K129" s="45">
        <f ca="1">SUM(K115:K128)</f>
        <v>3.1865656234216133</v>
      </c>
      <c r="L129" s="1"/>
      <c r="M129" s="1"/>
      <c r="N129" s="45">
        <f ca="1">SUM(N115:N128)</f>
        <v>1.9876312523384545</v>
      </c>
      <c r="Q129" s="1"/>
      <c r="R129" s="45">
        <f ca="1">SUM(R115:R128)</f>
        <v>6.4999999999999988E-2</v>
      </c>
      <c r="U129" s="1"/>
      <c r="V129" s="1"/>
      <c r="W129" s="1"/>
    </row>
    <row r="130" spans="1:25" ht="22.5" customHeight="1" thickBot="1">
      <c r="B130" s="552" t="s">
        <v>133</v>
      </c>
      <c r="C130" s="552"/>
      <c r="D130" s="136"/>
      <c r="F130" s="78" t="s">
        <v>134</v>
      </c>
      <c r="G130" s="122"/>
      <c r="I130" s="78" t="s">
        <v>134</v>
      </c>
      <c r="J130" s="122"/>
      <c r="L130" s="78" t="s">
        <v>134</v>
      </c>
      <c r="M130" s="122"/>
      <c r="O130" s="78" t="s">
        <v>134</v>
      </c>
      <c r="Q130" s="122"/>
      <c r="S130" s="78" t="s">
        <v>134</v>
      </c>
      <c r="X130" s="1">
        <f>SUMIF($B$130:$B$190,$B134,F$130:F$190)</f>
        <v>0</v>
      </c>
    </row>
    <row r="131" spans="1:25" ht="20.25" customHeight="1" collapsed="1" thickBot="1">
      <c r="A131" s="180" t="str">
        <f>B131&amp;"&gt;&gt;"</f>
        <v>D. SAINTIER&gt;&gt;</v>
      </c>
      <c r="B131" s="74" t="s">
        <v>139</v>
      </c>
      <c r="C131" s="131" t="s">
        <v>125</v>
      </c>
      <c r="D131" s="136"/>
      <c r="E131" s="50">
        <f ca="1">SUMIF($A$130:$A$190,SUBSTITUTE($A131,"&gt;&gt;",""),E$130:E$190)</f>
        <v>0.94243141433080191</v>
      </c>
      <c r="F131" s="79">
        <f ca="1">E131*37.6</f>
        <v>35.435421178838155</v>
      </c>
      <c r="G131" s="122"/>
      <c r="H131" s="50">
        <f ca="1">SUMIF($A$130:$A$190,SUBSTITUTE($A131,"&gt;&gt;",""),H$130:H$190)</f>
        <v>0.61624084313080185</v>
      </c>
      <c r="I131" s="79">
        <f ca="1">H131*37.6</f>
        <v>23.17065570171815</v>
      </c>
      <c r="J131" s="122"/>
      <c r="K131" s="50">
        <f ca="1">SUMIF($A$130:$A$190,SUBSTITUTE($A131,"&gt;&gt;",""),K$130:K$190)</f>
        <v>0.60645512599480178</v>
      </c>
      <c r="L131" s="79">
        <f ca="1">K131*37.6</f>
        <v>22.802712737404548</v>
      </c>
      <c r="M131" s="122"/>
      <c r="N131" s="50">
        <f ca="1">SUMIF($A$130:$A$190,SUBSTITUTE($A131,"&gt;&gt;",""),N$130:N$190)</f>
        <v>0.81322985324280195</v>
      </c>
      <c r="O131" s="79">
        <f ca="1">N131*37.6</f>
        <v>30.577442481929353</v>
      </c>
      <c r="Q131" s="122"/>
      <c r="R131" s="50">
        <f ca="1">SUMIF($A$130:$A$190,SUBSTITUTE($A131,"&gt;&gt;",""),R$130:R$190)</f>
        <v>1.8849999999999999E-2</v>
      </c>
      <c r="S131" s="79">
        <f ca="1">R131*37.6</f>
        <v>0.70875999999999995</v>
      </c>
      <c r="T131" s="47"/>
      <c r="U131" s="571"/>
      <c r="V131" s="571"/>
      <c r="X131" s="40">
        <f ca="1">SUMPRODUCT(C131:W131,C$2:W$2)*20</f>
        <v>117.94853745478429</v>
      </c>
      <c r="Y131" s="39">
        <f t="shared" ref="Y131:Y137" ca="1" si="24">X131/X$101</f>
        <v>0.26786791698298223</v>
      </c>
    </row>
    <row r="132" spans="1:25" ht="22.5" hidden="1" customHeight="1" outlineLevel="1">
      <c r="A132" s="181" t="str">
        <f t="shared" ref="A132:A137" ca="1" si="25">SUBSTITUTE(OFFSET(A132,-1,0),"&gt;&gt;","")</f>
        <v>D. SAINTIER</v>
      </c>
      <c r="B132" s="547" t="s">
        <v>131</v>
      </c>
      <c r="C132" s="547"/>
      <c r="D132" s="136"/>
      <c r="E132" s="80"/>
      <c r="F132" s="81" t="s">
        <v>114</v>
      </c>
      <c r="G132" s="122"/>
      <c r="H132" s="80"/>
      <c r="I132" s="81" t="s">
        <v>114</v>
      </c>
      <c r="J132" s="122"/>
      <c r="K132" s="80"/>
      <c r="L132" s="81" t="s">
        <v>114</v>
      </c>
      <c r="M132" s="122"/>
      <c r="N132" s="80"/>
      <c r="O132" s="81" t="s">
        <v>114</v>
      </c>
      <c r="Q132" s="122"/>
      <c r="R132" s="82"/>
      <c r="S132" s="81" t="s">
        <v>114</v>
      </c>
      <c r="T132" s="18"/>
      <c r="U132" s="571"/>
      <c r="V132" s="571"/>
      <c r="Y132" s="39">
        <f t="shared" ca="1" si="24"/>
        <v>0</v>
      </c>
    </row>
    <row r="133" spans="1:25" hidden="1" outlineLevel="1">
      <c r="A133" s="181" t="str">
        <f t="shared" ca="1" si="25"/>
        <v>D. SAINTIER</v>
      </c>
      <c r="B133" s="76" t="s">
        <v>96</v>
      </c>
      <c r="C133" s="27" t="str">
        <f ca="1">A:A</f>
        <v>D. SAINTIER</v>
      </c>
      <c r="D133" s="138" t="s">
        <v>159</v>
      </c>
      <c r="E133" s="139">
        <f ca="1">IF(ISNUMBER(F133),F133,SUMIF($B$1:$B$128,$B133,E$1:E$128)-SUMIF($B$130:$B$190,$B133,F$130:F$190))</f>
        <v>0.94243141433080191</v>
      </c>
      <c r="F133" s="53"/>
      <c r="G133" s="138" t="s">
        <v>159</v>
      </c>
      <c r="H133" s="139">
        <f ca="1">IF(ISNUMBER(I133),I133,SUMIF($B$1:$B$128,$B133,H$1:H$128)-SUMIF($B$130:$B$190,$B133,I$130:I$190))</f>
        <v>0.61624084313080185</v>
      </c>
      <c r="I133" s="53"/>
      <c r="J133" s="138" t="s">
        <v>159</v>
      </c>
      <c r="K133" s="139">
        <f ca="1">IF(ISNUMBER(L133),L133,SUMIF($B$1:$B$128,$B133,K$1:K$128)-SUMIF($B$130:$B$190,$B133,L$130:L$190))</f>
        <v>0.60645512599480178</v>
      </c>
      <c r="L133" s="53"/>
      <c r="M133" s="138" t="s">
        <v>159</v>
      </c>
      <c r="N133" s="139">
        <f ca="1">IF(ISNUMBER(O133),O133,SUMIF($B$1:$B$128,$B133,N$1:N$128)-SUMIF($B$130:$B$190,$B133,O$130:O$190))</f>
        <v>0.61322985324280188</v>
      </c>
      <c r="O133" s="53"/>
      <c r="Q133" s="138" t="s">
        <v>159</v>
      </c>
      <c r="R133" s="139">
        <f ca="1">IF(ISNUMBER(S133),S133,SUMIF($B$1:$B$128,$B133,R$1:R$128)-SUMIF($B$130:$B$190,$B133,S$130:S$190))</f>
        <v>6.4999999999999997E-3</v>
      </c>
      <c r="S133" s="53"/>
      <c r="T133" s="18"/>
      <c r="U133" s="571"/>
      <c r="V133" s="571"/>
      <c r="Y133" s="39">
        <f t="shared" ca="1" si="24"/>
        <v>0</v>
      </c>
    </row>
    <row r="134" spans="1:25" hidden="1" outlineLevel="1">
      <c r="A134" s="181" t="str">
        <f t="shared" ca="1" si="25"/>
        <v>D. SAINTIER</v>
      </c>
      <c r="B134" s="77" t="s">
        <v>106</v>
      </c>
      <c r="C134" s="27" t="str">
        <f ca="1">A:A</f>
        <v>D. SAINTIER</v>
      </c>
      <c r="D134" s="138"/>
      <c r="E134" s="139">
        <f>IF(ISNUMBER(F134),F134,SUMIF($B$1:$B$128,$B134,E$1:E$128)-SUMIF($B$130:$B$190,$B134,F$130:F$190))</f>
        <v>0</v>
      </c>
      <c r="F134" s="53">
        <v>0</v>
      </c>
      <c r="G134" s="138"/>
      <c r="H134" s="139">
        <f>IF(ISNUMBER(I134),I134,SUMIF($B$1:$B$128,$B134,H$1:H$128)-SUMIF($B$130:$B$190,$B134,I$130:I$190))</f>
        <v>0</v>
      </c>
      <c r="I134" s="53">
        <v>0</v>
      </c>
      <c r="J134" s="138"/>
      <c r="K134" s="139">
        <f>IF(ISNUMBER(L134),L134,SUMIF($B$1:$B$128,$B134,K$1:K$128)-SUMIF($B$130:$B$190,$B134,L$130:L$190))</f>
        <v>0</v>
      </c>
      <c r="L134" s="53">
        <v>0</v>
      </c>
      <c r="M134" s="138"/>
      <c r="N134" s="139">
        <f>IF(ISNUMBER(O134),O134,SUMIF($B$1:$B$128,$B134,N$1:N$128)-SUMIF($B$130:$B$190,$B134,O$130:O$190))</f>
        <v>0.2</v>
      </c>
      <c r="O134" s="53">
        <v>0.2</v>
      </c>
      <c r="Q134" s="138"/>
      <c r="R134" s="139">
        <f ca="1">IF(ISNUMBER(S134),S134,SUMIF($B$1:$B$128,$B134,R$1:R$128)-SUMIF($B$130:$B$190,$B134,S$130:S$190))</f>
        <v>6.4999999999999997E-3</v>
      </c>
      <c r="S134" s="53"/>
      <c r="T134" s="18"/>
      <c r="U134" s="571"/>
      <c r="V134" s="571"/>
      <c r="Y134" s="39">
        <f t="shared" ca="1" si="24"/>
        <v>0</v>
      </c>
    </row>
    <row r="135" spans="1:25" hidden="1" outlineLevel="1">
      <c r="A135" s="181" t="str">
        <f t="shared" ca="1" si="25"/>
        <v>D. SAINTIER</v>
      </c>
      <c r="B135" s="75" t="s">
        <v>104</v>
      </c>
      <c r="C135" s="27" t="str">
        <f ca="1">A:A</f>
        <v>D. SAINTIER</v>
      </c>
      <c r="D135" s="138"/>
      <c r="E135" s="139">
        <f>IF(ISNUMBER(F135),F135,SUMIF($B$1:$B$128,$B135,E$1:E$128)-SUMIF($B$130:$B$190,$B135,F$130:F$190))</f>
        <v>0</v>
      </c>
      <c r="F135" s="53">
        <v>0</v>
      </c>
      <c r="G135" s="138"/>
      <c r="H135" s="139">
        <f>IF(ISNUMBER(I135),I135,SUMIF($B$1:$B$128,$B135,H$1:H$128)-SUMIF($B$130:$B$190,$B135,I$130:I$190))</f>
        <v>0</v>
      </c>
      <c r="I135" s="53">
        <v>0</v>
      </c>
      <c r="J135" s="138"/>
      <c r="K135" s="139">
        <f>IF(ISNUMBER(L135),L135,SUMIF($B$1:$B$128,$B135,K$1:K$128)-SUMIF($B$130:$B$190,$B135,L$130:L$190))</f>
        <v>0</v>
      </c>
      <c r="L135" s="53">
        <v>0</v>
      </c>
      <c r="M135" s="138"/>
      <c r="N135" s="139">
        <f>IF(ISNUMBER(O135),O135,SUMIF($B$1:$B$128,$B135,N$1:N$128)-SUMIF($B$130:$B$190,$B135,O$130:O$190))</f>
        <v>0</v>
      </c>
      <c r="O135" s="53">
        <v>0</v>
      </c>
      <c r="Q135" s="138"/>
      <c r="R135" s="139">
        <f ca="1">IF(ISNUMBER(S135),S135,SUMIF($B$1:$B$128,$B135,R$1:R$128)-SUMIF($B$130:$B$190,$B135,S$130:S$190))</f>
        <v>3.2499999999999999E-3</v>
      </c>
      <c r="S135" s="53"/>
      <c r="T135" s="48"/>
      <c r="U135" s="571"/>
      <c r="V135" s="571"/>
      <c r="Y135" s="39">
        <f t="shared" ca="1" si="24"/>
        <v>0</v>
      </c>
    </row>
    <row r="136" spans="1:25" hidden="1" outlineLevel="1">
      <c r="A136" s="181" t="str">
        <f t="shared" ca="1" si="25"/>
        <v>D. SAINTIER</v>
      </c>
      <c r="B136" s="75" t="s">
        <v>107</v>
      </c>
      <c r="C136" s="27" t="str">
        <f ca="1">A:A</f>
        <v>D. SAINTIER</v>
      </c>
      <c r="D136" s="138"/>
      <c r="E136" s="139">
        <f>IF(ISNUMBER(F136),F136,SUMIF($B$1:$B$128,$B136,E$1:E$128)-SUMIF($B$130:$B$190,$B136,F$130:F$190))</f>
        <v>0</v>
      </c>
      <c r="F136" s="53">
        <v>0</v>
      </c>
      <c r="G136" s="138"/>
      <c r="H136" s="139">
        <f>IF(ISNUMBER(I136),I136,SUMIF($B$1:$B$128,$B136,H$1:H$128)-SUMIF($B$130:$B$190,$B136,I$130:I$190))</f>
        <v>0</v>
      </c>
      <c r="I136" s="53">
        <v>0</v>
      </c>
      <c r="J136" s="138"/>
      <c r="K136" s="139">
        <f>IF(ISNUMBER(L136),L136,SUMIF($B$1:$B$128,$B136,K$1:K$128)-SUMIF($B$130:$B$190,$B136,L$130:L$190))</f>
        <v>0</v>
      </c>
      <c r="L136" s="53">
        <v>0</v>
      </c>
      <c r="M136" s="138"/>
      <c r="N136" s="139">
        <f>IF(ISNUMBER(O136),O136,SUMIF($B$1:$B$128,$B136,N$1:N$128)-SUMIF($B$130:$B$190,$B136,O$130:O$190))</f>
        <v>0</v>
      </c>
      <c r="O136" s="53">
        <v>0</v>
      </c>
      <c r="Q136" s="138"/>
      <c r="R136" s="139">
        <f ca="1">IF(ISNUMBER(S136),S136,SUMIF($B$1:$B$128,$B136,R$1:R$128)-SUMIF($B$130:$B$190,$B136,S$130:S$190))</f>
        <v>2.5999999999999999E-3</v>
      </c>
      <c r="S136" s="53"/>
      <c r="T136" s="48"/>
      <c r="U136" s="57"/>
      <c r="V136" s="57"/>
      <c r="Y136" s="39">
        <f t="shared" ca="1" si="24"/>
        <v>0</v>
      </c>
    </row>
    <row r="137" spans="1:25" hidden="1" outlineLevel="1">
      <c r="A137" s="181" t="str">
        <f t="shared" ca="1" si="25"/>
        <v>D. SAINTIER</v>
      </c>
      <c r="B137" s="75"/>
      <c r="C137" s="27" t="str">
        <f ca="1">A:A</f>
        <v>D. SAINTIER</v>
      </c>
      <c r="D137" s="138"/>
      <c r="E137" s="139">
        <f ca="1">IF(ISNUMBER(F137),F137,SUMIF($B$1:$B$128,$B137,E$1:E$128)-SUMIF($B$130:$B$190,$B137,F$130:F$190))</f>
        <v>0</v>
      </c>
      <c r="F137" s="53"/>
      <c r="G137" s="138"/>
      <c r="H137" s="139">
        <f ca="1">IF(ISNUMBER(I137),I137,SUMIF($B$1:$B$128,$B137,H$1:H$128)-SUMIF($B$130:$B$190,$B137,I$130:I$190))</f>
        <v>0</v>
      </c>
      <c r="I137" s="53"/>
      <c r="J137" s="138"/>
      <c r="K137" s="139">
        <f ca="1">IF(ISNUMBER(L137),L137,SUMIF($B$1:$B$128,$B137,K$1:K$128)-SUMIF($B$130:$B$190,$B137,L$130:L$190))</f>
        <v>0</v>
      </c>
      <c r="L137" s="53"/>
      <c r="M137" s="138"/>
      <c r="N137" s="139">
        <f ca="1">IF(ISNUMBER(O137),O137,SUMIF($B$1:$B$128,$B137,N$1:N$128)-SUMIF($B$130:$B$190,$B137,O$130:O$190))</f>
        <v>0</v>
      </c>
      <c r="O137" s="53"/>
      <c r="Q137" s="138"/>
      <c r="R137" s="139">
        <f ca="1">IF(ISNUMBER(S137),S137,SUMIF($B$1:$B$128,$B137,R$1:R$128)-SUMIF($B$130:$B$190,$B137,S$130:S$190))</f>
        <v>0</v>
      </c>
      <c r="S137" s="53"/>
      <c r="T137" s="48"/>
      <c r="U137" s="57"/>
      <c r="V137" s="57"/>
      <c r="Y137" s="39">
        <f t="shared" ca="1" si="24"/>
        <v>0</v>
      </c>
    </row>
    <row r="138" spans="1:25" ht="8.25" customHeight="1" thickBot="1">
      <c r="B138" s="51" t="s">
        <v>101</v>
      </c>
      <c r="S138" s="19"/>
      <c r="T138" s="19"/>
      <c r="U138" s="19"/>
      <c r="V138" s="19"/>
    </row>
    <row r="139" spans="1:25" ht="20.25" customHeight="1" collapsed="1" thickBot="1">
      <c r="A139" s="180" t="str">
        <f>B139&amp;"&gt;&gt;"</f>
        <v>F. TRICOT&gt;&gt;</v>
      </c>
      <c r="B139" s="74" t="s">
        <v>140</v>
      </c>
      <c r="C139" s="131" t="s">
        <v>117</v>
      </c>
      <c r="E139" s="50">
        <f ca="1">SUMIF($A$130:$A$190,SUBSTITUTE($A139,"&gt;&gt;",""),E$130:E$190)</f>
        <v>4.9601653385831682E-2</v>
      </c>
      <c r="F139" s="79">
        <f ca="1">E139*37.6</f>
        <v>1.8650221673072713</v>
      </c>
      <c r="H139" s="50">
        <f ca="1">SUMIF($A$130:$A$190,SUBSTITUTE($A139,"&gt;&gt;",""),H$130:H$190)</f>
        <v>3.2433728585831684E-2</v>
      </c>
      <c r="I139" s="79">
        <f ca="1">H139*37.6</f>
        <v>1.2195081948272715</v>
      </c>
      <c r="K139" s="50">
        <f ca="1">SUMIF($A$130:$A$190,SUBSTITUTE($A139,"&gt;&gt;",""),K$130:K$190)</f>
        <v>3.1918690841831673E-2</v>
      </c>
      <c r="L139" s="79">
        <f ca="1">K139*37.6</f>
        <v>1.2001427756528709</v>
      </c>
      <c r="N139" s="50">
        <f ca="1">SUMIF($A$130:$A$190,SUBSTITUTE($A139,"&gt;&gt;",""),N$130:N$190)</f>
        <v>3.2275255433831682E-2</v>
      </c>
      <c r="O139" s="79">
        <f ca="1">N139*37.6</f>
        <v>1.2135496043120713</v>
      </c>
      <c r="R139" s="50">
        <f ca="1">SUMIF($A$130:$A$190,SUBSTITUTE($A139,"&gt;&gt;",""),R$130:R$190)</f>
        <v>0</v>
      </c>
      <c r="S139" s="79">
        <f ca="1">R139*37.6</f>
        <v>0</v>
      </c>
      <c r="T139" s="47"/>
      <c r="U139" s="571"/>
      <c r="V139" s="571"/>
      <c r="X139" s="40">
        <f ca="1">SUMPRODUCT(C139:W139,C$2:W$2)*20</f>
        <v>5.650870392357068</v>
      </c>
      <c r="Y139" s="39">
        <f ca="1">X139/X$101</f>
        <v>1.2833451891862321E-2</v>
      </c>
    </row>
    <row r="140" spans="1:25" hidden="1" outlineLevel="1">
      <c r="A140" s="181" t="str">
        <f ca="1">SUBSTITUTE(OFFSET(A140,-1,0),"&gt;&gt;","")</f>
        <v>F. TRICOT</v>
      </c>
      <c r="B140" s="547"/>
      <c r="C140" s="547"/>
      <c r="E140" s="30"/>
      <c r="F140" s="54" t="s">
        <v>114</v>
      </c>
      <c r="H140" s="30"/>
      <c r="I140" s="54" t="s">
        <v>114</v>
      </c>
      <c r="K140" s="30"/>
      <c r="L140" s="54" t="s">
        <v>114</v>
      </c>
      <c r="N140" s="30"/>
      <c r="O140" s="54" t="s">
        <v>114</v>
      </c>
      <c r="S140" s="54" t="s">
        <v>114</v>
      </c>
      <c r="T140" s="18"/>
      <c r="U140" s="571"/>
      <c r="V140" s="571"/>
      <c r="Y140" s="39">
        <f ca="1">X140/X$101</f>
        <v>0</v>
      </c>
    </row>
    <row r="141" spans="1:25" hidden="1" outlineLevel="1">
      <c r="A141" s="181" t="str">
        <f ca="1">SUBSTITUTE(OFFSET(A141,-1,0),"&gt;&gt;","")</f>
        <v>F. TRICOT</v>
      </c>
      <c r="B141" s="76" t="s">
        <v>102</v>
      </c>
      <c r="C141" s="27" t="str">
        <f ca="1">A:A</f>
        <v>F. TRICOT</v>
      </c>
      <c r="D141" s="138" t="s">
        <v>159</v>
      </c>
      <c r="E141" s="139">
        <f ca="1">IF(ISNUMBER(F141),F141,SUMIF($B$1:$B$128,$B141,E$1:E$128)-SUMIF($B$130:$B$190,$B141,F$130:F$190))</f>
        <v>4.9601653385831682E-2</v>
      </c>
      <c r="F141" s="53"/>
      <c r="G141" s="138" t="s">
        <v>159</v>
      </c>
      <c r="H141" s="139">
        <f ca="1">IF(ISNUMBER(I141),I141,SUMIF($B$1:$B$128,$B141,H$1:H$128)-SUMIF($B$130:$B$190,$B141,I$130:I$190))</f>
        <v>3.2433728585831684E-2</v>
      </c>
      <c r="I141" s="53"/>
      <c r="J141" s="138" t="s">
        <v>159</v>
      </c>
      <c r="K141" s="139">
        <f ca="1">IF(ISNUMBER(L141),L141,SUMIF($B$1:$B$128,$B141,K$1:K$128)-SUMIF($B$130:$B$190,$B141,L$130:L$190))</f>
        <v>3.1918690841831673E-2</v>
      </c>
      <c r="L141" s="53"/>
      <c r="M141" s="138" t="s">
        <v>159</v>
      </c>
      <c r="N141" s="139">
        <f ca="1">IF(ISNUMBER(O141),O141,SUMIF($B$1:$B$128,$B141,N$1:N$128)-SUMIF($B$130:$B$190,$B141,O$130:O$190))</f>
        <v>3.2275255433831682E-2</v>
      </c>
      <c r="O141" s="53"/>
      <c r="Q141" s="138"/>
      <c r="R141" s="139">
        <f ca="1">IF(ISNUMBER(S141),S141,SUMIF($B$1:$B$128,$B141,R$1:R$128)-SUMIF($B$130:$B$190,$B141,S$130:S$190))</f>
        <v>0</v>
      </c>
      <c r="S141" s="53"/>
      <c r="T141" s="18"/>
      <c r="U141" s="571"/>
      <c r="V141" s="571"/>
      <c r="Y141" s="39">
        <f ca="1">X141/X$101</f>
        <v>0</v>
      </c>
    </row>
    <row r="142" spans="1:25" hidden="1" outlineLevel="1">
      <c r="A142" s="181" t="str">
        <f ca="1">SUBSTITUTE(OFFSET(A142,-1,0),"&gt;&gt;","")</f>
        <v>F. TRICOT</v>
      </c>
      <c r="B142" s="76"/>
      <c r="C142" s="27" t="str">
        <f ca="1">A:A</f>
        <v>F. TRICOT</v>
      </c>
      <c r="D142" s="138"/>
      <c r="E142" s="139">
        <f ca="1">IF(ISNUMBER(F142),F142,SUMIF($B$1:$B$128,$B142,E$1:E$128)-SUMIF($B$130:$B$190,$B142,F$130:F$190))</f>
        <v>0</v>
      </c>
      <c r="F142" s="53"/>
      <c r="G142" s="138"/>
      <c r="H142" s="139">
        <f ca="1">IF(ISNUMBER(I142),I142,SUMIF($B$1:$B$128,$B142,H$1:H$128)-SUMIF($B$130:$B$190,$B142,I$130:I$190))</f>
        <v>0</v>
      </c>
      <c r="I142" s="53"/>
      <c r="J142" s="138"/>
      <c r="K142" s="139">
        <f ca="1">IF(ISNUMBER(L142),L142,SUMIF($B$1:$B$128,$B142,K$1:K$128)-SUMIF($B$130:$B$190,$B142,L$130:L$190))</f>
        <v>0</v>
      </c>
      <c r="L142" s="53"/>
      <c r="M142" s="138"/>
      <c r="N142" s="139">
        <f ca="1">IF(ISNUMBER(O142),O142,SUMIF($B$1:$B$128,$B142,N$1:N$128)-SUMIF($B$130:$B$190,$B142,O$130:O$190))</f>
        <v>0</v>
      </c>
      <c r="O142" s="53"/>
      <c r="Q142" s="138"/>
      <c r="R142" s="139">
        <f ca="1">IF(ISNUMBER(S142),S142,SUMIF($B$1:$B$128,$B142,R$1:R$128)-SUMIF($B$130:$B$190,$B142,S$130:S$190))</f>
        <v>0</v>
      </c>
      <c r="S142" s="53"/>
      <c r="T142" s="48"/>
      <c r="U142" s="571"/>
      <c r="V142" s="571"/>
      <c r="Y142" s="39">
        <f ca="1">X142/X$101</f>
        <v>0</v>
      </c>
    </row>
    <row r="143" spans="1:25" ht="8.25" customHeight="1" thickBot="1">
      <c r="B143" s="51" t="s">
        <v>101</v>
      </c>
      <c r="S143" s="19"/>
      <c r="T143" s="19"/>
      <c r="U143" s="19"/>
      <c r="V143" s="19"/>
    </row>
    <row r="144" spans="1:25" ht="20.25" customHeight="1" collapsed="1" thickBot="1">
      <c r="A144" s="180" t="str">
        <f>B144&amp;"&gt;&gt;"</f>
        <v>---&gt;&gt;</v>
      </c>
      <c r="B144" s="92" t="s">
        <v>144</v>
      </c>
      <c r="C144" s="131" t="s">
        <v>118</v>
      </c>
      <c r="E144" s="50">
        <f ca="1">SUMIF($A$130:$A$190,SUBSTITUTE($A144,"&gt;&gt;",""),E$130:E$190)</f>
        <v>0</v>
      </c>
      <c r="F144" s="79">
        <f ca="1">E144*37.6</f>
        <v>0</v>
      </c>
      <c r="H144" s="50">
        <f ca="1">SUMIF($A$130:$A$190,SUBSTITUTE($A144,"&gt;&gt;",""),H$130:H$190)</f>
        <v>0</v>
      </c>
      <c r="I144" s="79">
        <f ca="1">H144*37.6</f>
        <v>0</v>
      </c>
      <c r="K144" s="50">
        <f ca="1">SUMIF($A$130:$A$190,SUBSTITUTE($A144,"&gt;&gt;",""),K$130:K$190)</f>
        <v>0</v>
      </c>
      <c r="L144" s="79">
        <f ca="1">K144*37.6</f>
        <v>0</v>
      </c>
      <c r="N144" s="50">
        <f ca="1">SUMIF($A$130:$A$190,SUBSTITUTE($A144,"&gt;&gt;",""),N$130:N$190)</f>
        <v>0</v>
      </c>
      <c r="O144" s="79">
        <f ca="1">N144*37.6</f>
        <v>0</v>
      </c>
      <c r="R144" s="50">
        <f ca="1">SUMIF($A$130:$A$190,SUBSTITUTE($A144,"&gt;&gt;",""),R$130:R$190)</f>
        <v>0</v>
      </c>
      <c r="S144" s="79">
        <f ca="1">R144*37.6</f>
        <v>0</v>
      </c>
      <c r="T144" s="47"/>
      <c r="U144" s="571"/>
      <c r="V144" s="571"/>
      <c r="X144" s="40">
        <f ca="1">SUMPRODUCT(C144:W144,C$2:W$2)*20</f>
        <v>0</v>
      </c>
      <c r="Y144" s="39">
        <f ca="1">X144/X$101</f>
        <v>0</v>
      </c>
    </row>
    <row r="145" spans="1:25" hidden="1" outlineLevel="1">
      <c r="A145" s="181" t="str">
        <f ca="1">SUBSTITUTE(OFFSET(A145,-1,0),"&gt;&gt;","")</f>
        <v>---</v>
      </c>
      <c r="B145" s="547" t="s">
        <v>132</v>
      </c>
      <c r="C145" s="547"/>
      <c r="E145" s="30"/>
      <c r="F145" s="54" t="s">
        <v>114</v>
      </c>
      <c r="H145" s="30"/>
      <c r="I145" s="54" t="s">
        <v>114</v>
      </c>
      <c r="K145" s="30"/>
      <c r="L145" s="54" t="s">
        <v>114</v>
      </c>
      <c r="N145" s="30"/>
      <c r="O145" s="54" t="s">
        <v>114</v>
      </c>
      <c r="S145" s="54" t="s">
        <v>114</v>
      </c>
      <c r="T145" s="18"/>
      <c r="U145" s="571"/>
      <c r="V145" s="571"/>
      <c r="Y145" s="39">
        <f ca="1">X145/X$101</f>
        <v>0</v>
      </c>
    </row>
    <row r="146" spans="1:25" hidden="1" outlineLevel="1">
      <c r="A146" s="181" t="str">
        <f ca="1">SUBSTITUTE(OFFSET(A146,-1,0),"&gt;&gt;","")</f>
        <v>---</v>
      </c>
      <c r="B146" s="77"/>
      <c r="C146" s="27" t="str">
        <f ca="1">A:A</f>
        <v>---</v>
      </c>
      <c r="D146" s="138"/>
      <c r="E146" s="139">
        <f ca="1">IF(ISNUMBER(F146),F146,SUMIF($B$1:$B$128,$B146,E$1:E$128)-SUMIF($B$130:$B$190,$B146,F$130:F$190))</f>
        <v>0</v>
      </c>
      <c r="F146" s="53"/>
      <c r="G146" s="138"/>
      <c r="H146" s="139">
        <f ca="1">IF(ISNUMBER(I146),I146,SUMIF($B$1:$B$128,$B146,H$1:H$128)-SUMIF($B$130:$B$190,$B146,I$130:I$190))</f>
        <v>0</v>
      </c>
      <c r="I146" s="53"/>
      <c r="J146" s="138"/>
      <c r="K146" s="139">
        <f ca="1">IF(ISNUMBER(L146),L146,SUMIF($B$1:$B$128,$B146,K$1:K$128)-SUMIF($B$130:$B$190,$B146,L$130:L$190))</f>
        <v>0</v>
      </c>
      <c r="L146" s="53"/>
      <c r="M146" s="138"/>
      <c r="N146" s="139">
        <f ca="1">IF(ISNUMBER(O146),O146,SUMIF($B$1:$B$128,$B146,N$1:N$128)-SUMIF($B$130:$B$190,$B146,O$130:O$190))</f>
        <v>0</v>
      </c>
      <c r="O146" s="53"/>
      <c r="Q146" s="138"/>
      <c r="R146" s="139">
        <f ca="1">IF(ISNUMBER(S146),S146,SUMIF($B$1:$B$128,$B146,R$1:R$128)-SUMIF($B$130:$B$190,$B146,S$130:S$190))</f>
        <v>0</v>
      </c>
      <c r="S146" s="53"/>
      <c r="T146" s="18"/>
      <c r="U146" s="571"/>
      <c r="V146" s="571"/>
      <c r="Y146" s="39">
        <f ca="1">X146/X$101</f>
        <v>0</v>
      </c>
    </row>
    <row r="147" spans="1:25" hidden="1" outlineLevel="1">
      <c r="A147" s="181" t="str">
        <f ca="1">SUBSTITUTE(OFFSET(A147,-1,0),"&gt;&gt;","")</f>
        <v>---</v>
      </c>
      <c r="B147" s="77"/>
      <c r="C147" s="27" t="str">
        <f ca="1">A:A</f>
        <v>---</v>
      </c>
      <c r="D147" s="138"/>
      <c r="E147" s="139">
        <f ca="1">IF(ISNUMBER(F147),F147,SUMIF($B$1:$B$128,$B147,E$1:E$128)-SUMIF($B$130:$B$190,$B147,F$130:F$190))</f>
        <v>0</v>
      </c>
      <c r="F147" s="53"/>
      <c r="G147" s="138"/>
      <c r="H147" s="139">
        <f ca="1">IF(ISNUMBER(I147),I147,SUMIF($B$1:$B$128,$B147,H$1:H$128)-SUMIF($B$130:$B$190,$B147,I$130:I$190))</f>
        <v>0</v>
      </c>
      <c r="I147" s="53"/>
      <c r="J147" s="138"/>
      <c r="K147" s="139">
        <f ca="1">IF(ISNUMBER(L147),L147,SUMIF($B$1:$B$128,$B147,K$1:K$128)-SUMIF($B$130:$B$190,$B147,L$130:L$190))</f>
        <v>0</v>
      </c>
      <c r="L147" s="53"/>
      <c r="M147" s="138"/>
      <c r="N147" s="139">
        <f ca="1">IF(ISNUMBER(O147),O147,SUMIF($B$1:$B$128,$B147,N$1:N$128)-SUMIF($B$130:$B$190,$B147,O$130:O$190))</f>
        <v>0</v>
      </c>
      <c r="O147" s="53"/>
      <c r="Q147" s="138"/>
      <c r="R147" s="139">
        <f ca="1">IF(ISNUMBER(S147),S147,SUMIF($B$1:$B$128,$B147,R$1:R$128)-SUMIF($B$130:$B$190,$B147,S$130:S$190))</f>
        <v>0</v>
      </c>
      <c r="S147" s="53"/>
      <c r="T147" s="18"/>
      <c r="U147" s="57"/>
      <c r="V147" s="57"/>
      <c r="Y147" s="39">
        <f ca="1">X147/X$101</f>
        <v>0</v>
      </c>
    </row>
    <row r="148" spans="1:25" ht="8.25" customHeight="1" thickBot="1">
      <c r="B148" s="51" t="s">
        <v>101</v>
      </c>
      <c r="S148" s="19"/>
      <c r="T148" s="19"/>
      <c r="U148" s="19"/>
      <c r="V148" s="19"/>
    </row>
    <row r="149" spans="1:25" ht="20.25" customHeight="1" collapsed="1" thickBot="1">
      <c r="A149" s="180" t="str">
        <f>B149&amp;"&gt;&gt;"</f>
        <v>P. DELPOUX&gt;&gt;</v>
      </c>
      <c r="B149" s="74" t="s">
        <v>141</v>
      </c>
      <c r="C149" s="131" t="s">
        <v>116</v>
      </c>
      <c r="E149" s="50">
        <f ca="1">SUMIF($A$130:$A$190,SUBSTITUTE($A149,"&gt;&gt;",""),E$130:E$190)</f>
        <v>0.19535534150402656</v>
      </c>
      <c r="F149" s="79">
        <f ca="1">E149*37.6</f>
        <v>7.3453608405513986</v>
      </c>
      <c r="H149" s="50">
        <f ca="1">SUMIF($A$130:$A$190,SUBSTITUTE($A149,"&gt;&gt;",""),H$130:H$190)</f>
        <v>0.14285400612801988</v>
      </c>
      <c r="I149" s="79">
        <f ca="1">H149*37.6</f>
        <v>5.3713106304135474</v>
      </c>
      <c r="K149" s="50">
        <f ca="1">SUMIF($A$130:$A$190,SUBSTITUTE($A149,"&gt;&gt;",""),K$130:K$190)</f>
        <v>8.7909903676811937E-2</v>
      </c>
      <c r="L149" s="79">
        <f ca="1">K149*37.6</f>
        <v>3.3054123782481288</v>
      </c>
      <c r="N149" s="50">
        <f ca="1">SUMIF($A$130:$A$190,SUBSTITUTE($A149,"&gt;&gt;",""),N$130:N$190)</f>
        <v>0.16567597601872971</v>
      </c>
      <c r="O149" s="79">
        <f ca="1">N149*37.6</f>
        <v>6.2294166983042372</v>
      </c>
      <c r="R149" s="50">
        <f ca="1">SUMIF($A$130:$A$190,SUBSTITUTE($A149,"&gt;&gt;",""),R$130:R$190)</f>
        <v>2.5999999999999999E-3</v>
      </c>
      <c r="S149" s="79">
        <f ca="1">R149*37.6</f>
        <v>9.776E-2</v>
      </c>
      <c r="T149" s="47"/>
      <c r="U149" s="571"/>
      <c r="V149" s="571"/>
      <c r="X149" s="40">
        <f ca="1">SUMPRODUCT(C149:W149,C$2:W$2)*20</f>
        <v>22.816935341263857</v>
      </c>
      <c r="Y149" s="39">
        <f ca="1">X149/X$101</f>
        <v>5.1818573368429884E-2</v>
      </c>
    </row>
    <row r="150" spans="1:25" hidden="1" outlineLevel="1">
      <c r="A150" s="181" t="str">
        <f ca="1">SUBSTITUTE(OFFSET(A150,-1,0),"&gt;&gt;","")</f>
        <v>P. DELPOUX</v>
      </c>
      <c r="B150" s="547" t="s">
        <v>116</v>
      </c>
      <c r="C150" s="547"/>
      <c r="E150" s="30"/>
      <c r="F150" s="54" t="s">
        <v>114</v>
      </c>
      <c r="H150" s="30"/>
      <c r="I150" s="54" t="s">
        <v>114</v>
      </c>
      <c r="K150" s="30"/>
      <c r="L150" s="54" t="s">
        <v>114</v>
      </c>
      <c r="N150" s="30"/>
      <c r="O150" s="54" t="s">
        <v>114</v>
      </c>
      <c r="S150" s="54" t="s">
        <v>114</v>
      </c>
      <c r="T150" s="18"/>
      <c r="U150" s="571"/>
      <c r="V150" s="571"/>
      <c r="Y150" s="39">
        <f ca="1">X150/X$101</f>
        <v>0</v>
      </c>
    </row>
    <row r="151" spans="1:25" hidden="1" outlineLevel="1">
      <c r="A151" s="181" t="str">
        <f ca="1">SUBSTITUTE(OFFSET(A151,-1,0),"&gt;&gt;","")</f>
        <v>P. DELPOUX</v>
      </c>
      <c r="B151" s="76" t="s">
        <v>98</v>
      </c>
      <c r="C151" s="27" t="str">
        <f ca="1">A:A</f>
        <v>P. DELPOUX</v>
      </c>
      <c r="D151" s="138" t="s">
        <v>159</v>
      </c>
      <c r="E151" s="139">
        <f ca="1">IF(ISNUMBER(F151),F151,SUMIF($B$1:$B$128,$B151,E$1:E$128)-SUMIF($B$130:$B$190,$B151,F$130:F$190))</f>
        <v>0.18314700817069321</v>
      </c>
      <c r="F151" s="53"/>
      <c r="G151" s="138" t="s">
        <v>159</v>
      </c>
      <c r="H151" s="139">
        <f ca="1">IF(ISNUMBER(I151),I151,SUMIF($B$1:$B$128,$B151,H$1:H$128)-SUMIF($B$130:$B$190,$B151,I$130:I$190))</f>
        <v>0.13736025612801989</v>
      </c>
      <c r="I151" s="53"/>
      <c r="J151" s="138" t="s">
        <v>159</v>
      </c>
      <c r="K151" s="139">
        <f ca="1">IF(ISNUMBER(L151),L151,SUMIF($B$1:$B$128,$B151,K$1:K$128)-SUMIF($B$130:$B$190,$B151,L$130:L$190))</f>
        <v>8.2416153676811932E-2</v>
      </c>
      <c r="L151" s="53"/>
      <c r="M151" s="138" t="s">
        <v>159</v>
      </c>
      <c r="N151" s="139">
        <f ca="1">IF(ISNUMBER(O151),O151,SUMIF($B$1:$B$128,$B151,N$1:N$128)-SUMIF($B$130:$B$190,$B151,O$130:O$190))</f>
        <v>0.1521528990956528</v>
      </c>
      <c r="O151" s="53"/>
      <c r="Q151" s="138" t="s">
        <v>159</v>
      </c>
      <c r="R151" s="139">
        <f ca="1">IF(ISNUMBER(S151),S151,SUMIF($B$1:$B$128,$B151,R$1:R$128)-SUMIF($B$130:$B$190,$B151,S$130:S$190))</f>
        <v>1.2999999999999999E-3</v>
      </c>
      <c r="S151" s="53"/>
      <c r="T151" s="18"/>
      <c r="U151" s="571"/>
      <c r="V151" s="571"/>
      <c r="Y151" s="39">
        <f ca="1">X151/X$101</f>
        <v>0</v>
      </c>
    </row>
    <row r="152" spans="1:25" hidden="1" outlineLevel="1">
      <c r="A152" s="181" t="str">
        <f ca="1">SUBSTITUTE(OFFSET(A152,-1,0),"&gt;&gt;","")</f>
        <v>P. DELPOUX</v>
      </c>
      <c r="B152" s="76" t="s">
        <v>109</v>
      </c>
      <c r="C152" s="27" t="str">
        <f ca="1">A:A</f>
        <v>P. DELPOUX</v>
      </c>
      <c r="D152" s="138" t="s">
        <v>159</v>
      </c>
      <c r="E152" s="139">
        <f ca="1">IF(ISNUMBER(F152),F152,SUMIF($B$1:$B$128,$B152,E$1:E$128)-SUMIF($B$130:$B$190,$B152,F$130:F$190))</f>
        <v>1.2208333333333335E-2</v>
      </c>
      <c r="F152" s="53"/>
      <c r="G152" s="138" t="s">
        <v>159</v>
      </c>
      <c r="H152" s="139">
        <f ca="1">IF(ISNUMBER(I152),I152,SUMIF($B$1:$B$128,$B152,H$1:H$128)-SUMIF($B$130:$B$190,$B152,I$130:I$190))</f>
        <v>5.4937500000000004E-3</v>
      </c>
      <c r="I152" s="53"/>
      <c r="J152" s="138" t="s">
        <v>159</v>
      </c>
      <c r="K152" s="139">
        <f ca="1">IF(ISNUMBER(L152),L152,SUMIF($B$1:$B$128,$B152,K$1:K$128)-SUMIF($B$130:$B$190,$B152,L$130:L$190))</f>
        <v>5.4937500000000004E-3</v>
      </c>
      <c r="L152" s="53"/>
      <c r="M152" s="138" t="s">
        <v>159</v>
      </c>
      <c r="N152" s="139">
        <f ca="1">IF(ISNUMBER(O152),O152,SUMIF($B$1:$B$128,$B152,N$1:N$128)-SUMIF($B$130:$B$190,$B152,O$130:O$190))</f>
        <v>1.3523076923076924E-2</v>
      </c>
      <c r="O152" s="53"/>
      <c r="Q152" s="138" t="s">
        <v>159</v>
      </c>
      <c r="R152" s="139">
        <f ca="1">IF(ISNUMBER(S152),S152,SUMIF($B$1:$B$128,$B152,R$1:R$128)-SUMIF($B$130:$B$190,$B152,S$130:S$190))</f>
        <v>1.2999999999999999E-3</v>
      </c>
      <c r="S152" s="53"/>
      <c r="T152" s="48"/>
      <c r="U152" s="571"/>
      <c r="V152" s="571"/>
      <c r="Y152" s="39">
        <f ca="1">X152/X$101</f>
        <v>0</v>
      </c>
    </row>
    <row r="153" spans="1:25" hidden="1" outlineLevel="1">
      <c r="A153" s="181" t="str">
        <f ca="1">SUBSTITUTE(OFFSET(A153,-1,0),"&gt;&gt;","")</f>
        <v>P. DELPOUX</v>
      </c>
      <c r="B153" s="76"/>
      <c r="C153" s="27" t="str">
        <f ca="1">A:A</f>
        <v>P. DELPOUX</v>
      </c>
      <c r="D153" s="138"/>
      <c r="E153" s="139">
        <f ca="1">IF(ISNUMBER(F153),F153,SUMIF($B$1:$B$128,$B153,E$1:E$128)-SUMIF($B$130:$B$190,$B153,F$130:F$190))</f>
        <v>0</v>
      </c>
      <c r="F153" s="53"/>
      <c r="G153" s="138"/>
      <c r="H153" s="139">
        <f ca="1">IF(ISNUMBER(I153),I153,SUMIF($B$1:$B$128,$B153,H$1:H$128)-SUMIF($B$130:$B$190,$B153,I$130:I$190))</f>
        <v>0</v>
      </c>
      <c r="I153" s="53"/>
      <c r="J153" s="138"/>
      <c r="K153" s="139">
        <f ca="1">IF(ISNUMBER(L153),L153,SUMIF($B$1:$B$128,$B153,K$1:K$128)-SUMIF($B$130:$B$190,$B153,L$130:L$190))</f>
        <v>0</v>
      </c>
      <c r="L153" s="53"/>
      <c r="M153" s="138"/>
      <c r="N153" s="139">
        <f ca="1">IF(ISNUMBER(O153),O153,SUMIF($B$1:$B$128,$B153,N$1:N$128)-SUMIF($B$130:$B$190,$B153,O$130:O$190))</f>
        <v>0</v>
      </c>
      <c r="O153" s="53"/>
      <c r="Q153" s="138"/>
      <c r="R153" s="139">
        <f ca="1">IF(ISNUMBER(S153),S153,SUMIF($B$1:$B$128,$B153,R$1:R$128)-SUMIF($B$130:$B$190,$B153,S$130:S$190))</f>
        <v>0</v>
      </c>
      <c r="S153" s="53"/>
      <c r="T153" s="48"/>
      <c r="U153" s="57"/>
      <c r="V153" s="57"/>
      <c r="Y153" s="39">
        <f ca="1">X153/X$101</f>
        <v>0</v>
      </c>
    </row>
    <row r="154" spans="1:25" ht="8.25" customHeight="1" thickBot="1">
      <c r="B154" s="51" t="s">
        <v>101</v>
      </c>
      <c r="S154" s="19"/>
      <c r="T154" s="19"/>
      <c r="U154" s="19"/>
      <c r="V154" s="19"/>
    </row>
    <row r="155" spans="1:25" ht="20.25" customHeight="1" collapsed="1" thickBot="1">
      <c r="A155" s="180" t="str">
        <f>B155&amp;"&gt;&gt;"</f>
        <v>N. LARZILIERE&gt;&gt;</v>
      </c>
      <c r="B155" s="74" t="s">
        <v>142</v>
      </c>
      <c r="C155" s="131" t="s">
        <v>126</v>
      </c>
      <c r="E155" s="50">
        <f ca="1">SUMIF($A$130:$A$190,SUBSTITUTE($A155,"&gt;&gt;",""),E$130:E$190)</f>
        <v>0.59323611111111119</v>
      </c>
      <c r="F155" s="79">
        <f ca="1">E155*37.6</f>
        <v>22.305677777777781</v>
      </c>
      <c r="H155" s="50">
        <f ca="1">SUMIF($A$130:$A$190,SUBSTITUTE($A155,"&gt;&gt;",""),H$130:H$190)</f>
        <v>1.115837</v>
      </c>
      <c r="I155" s="79">
        <f ca="1">H155*37.6</f>
        <v>41.955471199999998</v>
      </c>
      <c r="K155" s="50">
        <f ca="1">SUMIF($A$130:$A$190,SUBSTITUTE($A155,"&gt;&gt;",""),K$130:K$190)</f>
        <v>0.35351094999999999</v>
      </c>
      <c r="L155" s="79">
        <f ca="1">K155*37.6</f>
        <v>13.29201172</v>
      </c>
      <c r="N155" s="50">
        <f ca="1">SUMIF($A$130:$A$190,SUBSTITUTE($A155,"&gt;&gt;",""),N$130:N$190)</f>
        <v>0.3982139846153846</v>
      </c>
      <c r="O155" s="79">
        <f ca="1">N155*37.6</f>
        <v>14.972845821538462</v>
      </c>
      <c r="R155" s="50">
        <f ca="1">SUMIF($A$130:$A$190,SUBSTITUTE($A155,"&gt;&gt;",""),R$130:R$190)</f>
        <v>0</v>
      </c>
      <c r="S155" s="79">
        <f ca="1">R155*37.6</f>
        <v>0</v>
      </c>
      <c r="T155" s="47"/>
      <c r="U155" s="571"/>
      <c r="V155" s="571"/>
      <c r="X155" s="40">
        <f ca="1">SUMPRODUCT(C155:W155,C$2:W$2)*20</f>
        <v>94.598803199999992</v>
      </c>
      <c r="Y155" s="39">
        <f t="shared" ref="Y155:Y161" ca="1" si="26">X155/X$101</f>
        <v>0.21483932661717983</v>
      </c>
    </row>
    <row r="156" spans="1:25" hidden="1" outlineLevel="1">
      <c r="A156" s="181" t="str">
        <f t="shared" ref="A156:A161" ca="1" si="27">SUBSTITUTE(OFFSET(A156,-1,0),"&gt;&gt;","")</f>
        <v>N. LARZILIERE</v>
      </c>
      <c r="B156" s="547" t="s">
        <v>122</v>
      </c>
      <c r="C156" s="547"/>
      <c r="F156" s="54" t="s">
        <v>114</v>
      </c>
      <c r="H156" s="30"/>
      <c r="I156" s="54" t="s">
        <v>114</v>
      </c>
      <c r="K156" s="30"/>
      <c r="L156" s="54" t="s">
        <v>114</v>
      </c>
      <c r="N156" s="30"/>
      <c r="O156" s="54" t="s">
        <v>114</v>
      </c>
      <c r="S156" s="54" t="s">
        <v>114</v>
      </c>
      <c r="T156" s="18"/>
      <c r="U156" s="571"/>
      <c r="V156" s="571"/>
      <c r="Y156" s="39">
        <f t="shared" ca="1" si="26"/>
        <v>0</v>
      </c>
    </row>
    <row r="157" spans="1:25" hidden="1" outlineLevel="1">
      <c r="A157" s="181" t="str">
        <f t="shared" ca="1" si="27"/>
        <v>N. LARZILIERE</v>
      </c>
      <c r="B157" s="76" t="s">
        <v>104</v>
      </c>
      <c r="C157" s="27" t="str">
        <f ca="1">A:A</f>
        <v>N. LARZILIERE</v>
      </c>
      <c r="D157" s="138" t="s">
        <v>159</v>
      </c>
      <c r="E157" s="139">
        <f ca="1">IF(ISNUMBER(F157),F157,SUMIF($B$1:$B$128,$B157,E$1:E$128)-SUMIF($B$130:$B$190,$B157,F$130:F$190))</f>
        <v>0.19691666666666668</v>
      </c>
      <c r="F157" s="53"/>
      <c r="G157" s="138" t="s">
        <v>159</v>
      </c>
      <c r="H157" s="139">
        <f ca="1">IF(ISNUMBER(I157),I157,SUMIF($B$1:$B$128,$B157,H$1:H$128)-SUMIF($B$130:$B$190,$B157,I$130:I$190))</f>
        <v>0.43932675000000004</v>
      </c>
      <c r="I157" s="53"/>
      <c r="J157" s="138" t="s">
        <v>159</v>
      </c>
      <c r="K157" s="139">
        <f ca="1">IF(ISNUMBER(L157),L157,SUMIF($B$1:$B$128,$B157,K$1:K$128)-SUMIF($B$130:$B$190,$B157,L$130:L$190))</f>
        <v>0.10074761249999999</v>
      </c>
      <c r="L157" s="53"/>
      <c r="M157" s="138" t="s">
        <v>159</v>
      </c>
      <c r="N157" s="139">
        <f ca="1">IF(ISNUMBER(O157),O157,SUMIF($B$1:$B$128,$B157,N$1:N$128)-SUMIF($B$130:$B$190,$B157,O$130:O$190))</f>
        <v>0.10340778461538462</v>
      </c>
      <c r="O157" s="53"/>
      <c r="Q157" s="138"/>
      <c r="R157" s="139">
        <f>IF(ISNUMBER(S157),S157,SUMIF($B$1:$B$128,$B157,R$1:R$128)-SUMIF($B$130:$B$190,$B157,S$130:S$190))</f>
        <v>0</v>
      </c>
      <c r="S157" s="53">
        <v>0</v>
      </c>
      <c r="T157" s="18"/>
      <c r="U157" s="571"/>
      <c r="V157" s="571"/>
      <c r="Y157" s="39">
        <f t="shared" ca="1" si="26"/>
        <v>0</v>
      </c>
    </row>
    <row r="158" spans="1:25" hidden="1" outlineLevel="1">
      <c r="A158" s="181" t="str">
        <f t="shared" ca="1" si="27"/>
        <v>N. LARZILIERE</v>
      </c>
      <c r="B158" s="76" t="s">
        <v>103</v>
      </c>
      <c r="C158" s="27" t="str">
        <f ca="1">A:A</f>
        <v>N. LARZILIERE</v>
      </c>
      <c r="D158" s="138" t="s">
        <v>159</v>
      </c>
      <c r="E158" s="139">
        <f ca="1">IF(ISNUMBER(F158),F158,SUMIF($B$1:$B$128,$B158,E$1:E$128)-SUMIF($B$130:$B$190,$B158,F$130:F$190))</f>
        <v>0.17250000000000004</v>
      </c>
      <c r="F158" s="53"/>
      <c r="G158" s="138" t="s">
        <v>159</v>
      </c>
      <c r="H158" s="139">
        <f ca="1">IF(ISNUMBER(I158),I158,SUMIF($B$1:$B$128,$B158,H$1:H$128)-SUMIF($B$130:$B$190,$B158,I$130:I$190))</f>
        <v>0.388125</v>
      </c>
      <c r="I158" s="53"/>
      <c r="J158" s="138" t="s">
        <v>159</v>
      </c>
      <c r="K158" s="139">
        <f ca="1">IF(ISNUMBER(L158),L158,SUMIF($B$1:$B$128,$B158,K$1:K$128)-SUMIF($B$130:$B$190,$B158,L$130:L$190))</f>
        <v>7.2773437499999996E-2</v>
      </c>
      <c r="L158" s="53"/>
      <c r="M158" s="138" t="s">
        <v>159</v>
      </c>
      <c r="N158" s="139">
        <f ca="1">IF(ISNUMBER(O158),O158,SUMIF($B$1:$B$128,$B158,N$1:N$128)-SUMIF($B$130:$B$190,$B158,O$130:O$190))</f>
        <v>2.9855769230769234E-2</v>
      </c>
      <c r="O158" s="53"/>
      <c r="Q158" s="138"/>
      <c r="R158" s="139">
        <f>IF(ISNUMBER(S158),S158,SUMIF($B$1:$B$128,$B158,R$1:R$128)-SUMIF($B$130:$B$190,$B158,S$130:S$190))</f>
        <v>0</v>
      </c>
      <c r="S158" s="53">
        <v>0</v>
      </c>
      <c r="T158" s="52"/>
      <c r="U158" s="571"/>
      <c r="V158" s="571"/>
      <c r="Y158" s="39">
        <f t="shared" ca="1" si="26"/>
        <v>0</v>
      </c>
    </row>
    <row r="159" spans="1:25" hidden="1" outlineLevel="1">
      <c r="A159" s="181" t="str">
        <f t="shared" ca="1" si="27"/>
        <v>N. LARZILIERE</v>
      </c>
      <c r="B159" s="76" t="s">
        <v>106</v>
      </c>
      <c r="C159" s="27" t="str">
        <f ca="1">A:A</f>
        <v>N. LARZILIERE</v>
      </c>
      <c r="D159" s="138" t="s">
        <v>159</v>
      </c>
      <c r="E159" s="139">
        <f ca="1">IF(ISNUMBER(F159),F159,SUMIF($B$1:$B$128,$B159,E$1:E$128)-SUMIF($B$130:$B$190,$B159,F$130:F$190))</f>
        <v>0.11394444444444445</v>
      </c>
      <c r="F159" s="53"/>
      <c r="G159" s="138" t="s">
        <v>159</v>
      </c>
      <c r="H159" s="139">
        <f ca="1">IF(ISNUMBER(I159),I159,SUMIF($B$1:$B$128,$B159,H$1:H$128)-SUMIF($B$130:$B$190,$B159,I$130:I$190))</f>
        <v>0.23894149999999997</v>
      </c>
      <c r="I159" s="53"/>
      <c r="J159" s="138" t="s">
        <v>159</v>
      </c>
      <c r="K159" s="139">
        <f ca="1">IF(ISNUMBER(L159),L159,SUMIF($B$1:$B$128,$B159,K$1:K$128)-SUMIF($B$130:$B$190,$B159,L$130:L$190))</f>
        <v>0.13054615</v>
      </c>
      <c r="L159" s="53"/>
      <c r="M159" s="138" t="s">
        <v>159</v>
      </c>
      <c r="N159" s="139">
        <f ca="1">IF(ISNUMBER(O159),O159,SUMIF($B$1:$B$128,$B159,N$1:N$128)-SUMIF($B$130:$B$190,$B159,O$130:O$190))</f>
        <v>0.14324273846153845</v>
      </c>
      <c r="O159" s="53"/>
      <c r="Q159" s="138"/>
      <c r="R159" s="139">
        <f>IF(ISNUMBER(S159),S159,SUMIF($B$1:$B$128,$B159,R$1:R$128)-SUMIF($B$130:$B$190,$B159,S$130:S$190))</f>
        <v>0</v>
      </c>
      <c r="S159" s="53">
        <v>0</v>
      </c>
      <c r="T159" s="52"/>
      <c r="U159" s="57"/>
      <c r="V159" s="57"/>
      <c r="Y159" s="39">
        <f t="shared" ca="1" si="26"/>
        <v>0</v>
      </c>
    </row>
    <row r="160" spans="1:25" hidden="1" outlineLevel="1">
      <c r="A160" s="181" t="str">
        <f t="shared" ca="1" si="27"/>
        <v>N. LARZILIERE</v>
      </c>
      <c r="B160" s="76" t="s">
        <v>107</v>
      </c>
      <c r="C160" s="27" t="str">
        <f ca="1">A:A</f>
        <v>N. LARZILIERE</v>
      </c>
      <c r="D160" s="138" t="s">
        <v>159</v>
      </c>
      <c r="E160" s="139">
        <f ca="1">IF(ISNUMBER(F160),F160,SUMIF($B$1:$B$128,$B160,E$1:E$128)-SUMIF($B$130:$B$190,$B160,F$130:F$190))</f>
        <v>5.49375E-2</v>
      </c>
      <c r="F160" s="53"/>
      <c r="G160" s="138" t="s">
        <v>159</v>
      </c>
      <c r="H160" s="139">
        <f ca="1">IF(ISNUMBER(I160),I160,SUMIF($B$1:$B$128,$B160,H$1:H$128)-SUMIF($B$130:$B$190,$B160,I$130:I$190))</f>
        <v>2.4721874999999997E-2</v>
      </c>
      <c r="I160" s="53"/>
      <c r="J160" s="138" t="s">
        <v>159</v>
      </c>
      <c r="K160" s="139">
        <f ca="1">IF(ISNUMBER(L160),L160,SUMIF($B$1:$B$128,$B160,K$1:K$128)-SUMIF($B$130:$B$190,$B160,L$130:L$190))</f>
        <v>2.4721875000000004E-2</v>
      </c>
      <c r="L160" s="53"/>
      <c r="M160" s="138" t="s">
        <v>159</v>
      </c>
      <c r="N160" s="139">
        <f ca="1">IF(ISNUMBER(O160),O160,SUMIF($B$1:$B$128,$B160,N$1:N$128)-SUMIF($B$130:$B$190,$B160,O$130:O$190))</f>
        <v>6.0853846153846161E-2</v>
      </c>
      <c r="O160" s="53"/>
      <c r="Q160" s="138"/>
      <c r="R160" s="139">
        <f>IF(ISNUMBER(S160),S160,SUMIF($B$1:$B$128,$B160,R$1:R$128)-SUMIF($B$130:$B$190,$B160,S$130:S$190))</f>
        <v>0</v>
      </c>
      <c r="S160" s="53">
        <v>0</v>
      </c>
      <c r="T160" s="52"/>
      <c r="U160" s="57"/>
      <c r="V160" s="57"/>
      <c r="Y160" s="39">
        <f t="shared" ca="1" si="26"/>
        <v>0</v>
      </c>
    </row>
    <row r="161" spans="1:25" hidden="1" outlineLevel="1">
      <c r="A161" s="181" t="str">
        <f t="shared" ca="1" si="27"/>
        <v>N. LARZILIERE</v>
      </c>
      <c r="B161" s="76" t="s">
        <v>108</v>
      </c>
      <c r="C161" s="27" t="str">
        <f ca="1">A:A</f>
        <v>N. LARZILIERE</v>
      </c>
      <c r="D161" s="138" t="s">
        <v>159</v>
      </c>
      <c r="E161" s="139">
        <f ca="1">IF(ISNUMBER(F161),F161,SUMIF($B$1:$B$128,$B161,E$1:E$128)-SUMIF($B$130:$B$190,$B161,F$130:F$190))</f>
        <v>5.49375E-2</v>
      </c>
      <c r="F161" s="53"/>
      <c r="G161" s="138" t="s">
        <v>159</v>
      </c>
      <c r="H161" s="139">
        <f ca="1">IF(ISNUMBER(I161),I161,SUMIF($B$1:$B$128,$B161,H$1:H$128)-SUMIF($B$130:$B$190,$B161,I$130:I$190))</f>
        <v>2.4721874999999997E-2</v>
      </c>
      <c r="I161" s="53"/>
      <c r="J161" s="138" t="s">
        <v>159</v>
      </c>
      <c r="K161" s="139">
        <f ca="1">IF(ISNUMBER(L161),L161,SUMIF($B$1:$B$128,$B161,K$1:K$128)-SUMIF($B$130:$B$190,$B161,L$130:L$190))</f>
        <v>2.4721875000000004E-2</v>
      </c>
      <c r="L161" s="53"/>
      <c r="M161" s="138" t="s">
        <v>159</v>
      </c>
      <c r="N161" s="139">
        <f ca="1">IF(ISNUMBER(O161),O161,SUMIF($B$1:$B$128,$B161,N$1:N$128)-SUMIF($B$130:$B$190,$B161,O$130:O$190))</f>
        <v>6.0853846153846161E-2</v>
      </c>
      <c r="O161" s="53"/>
      <c r="Q161" s="138"/>
      <c r="R161" s="139">
        <f>IF(ISNUMBER(S161),S161,SUMIF($B$1:$B$128,$B161,R$1:R$128)-SUMIF($B$130:$B$190,$B161,S$130:S$190))</f>
        <v>0</v>
      </c>
      <c r="S161" s="53">
        <v>0</v>
      </c>
      <c r="T161" s="52"/>
      <c r="U161" s="57"/>
      <c r="V161" s="57"/>
      <c r="Y161" s="39">
        <f t="shared" ca="1" si="26"/>
        <v>0</v>
      </c>
    </row>
    <row r="162" spans="1:25" ht="8.25" customHeight="1" thickBot="1">
      <c r="B162" s="51" t="s">
        <v>101</v>
      </c>
      <c r="S162" s="19"/>
      <c r="T162" s="19"/>
      <c r="U162" s="19"/>
      <c r="V162" s="19"/>
    </row>
    <row r="163" spans="1:25" ht="20.25" customHeight="1" collapsed="1" thickBot="1">
      <c r="A163" s="180" t="str">
        <f>B163&amp;"&gt;&gt;"</f>
        <v>G. CAUMES&gt;&gt;</v>
      </c>
      <c r="B163" s="74" t="s">
        <v>143</v>
      </c>
      <c r="C163" s="131" t="s">
        <v>127</v>
      </c>
      <c r="E163" s="50">
        <f ca="1">SUMIF($A$130:$A$190,SUBSTITUTE($A163,"&gt;&gt;",""),E$130:E$190)</f>
        <v>0.12194716666666669</v>
      </c>
      <c r="F163" s="79">
        <f ca="1">E163*37.6</f>
        <v>4.5852134666666675</v>
      </c>
      <c r="H163" s="50">
        <f ca="1">SUMIF($A$130:$A$190,SUBSTITUTE($A163,"&gt;&gt;",""),H$130:H$190)</f>
        <v>0.8404433750000001</v>
      </c>
      <c r="I163" s="79">
        <f ca="1">H163*37.6</f>
        <v>31.600670900000004</v>
      </c>
      <c r="K163" s="50">
        <f ca="1">SUMIF($A$130:$A$190,SUBSTITUTE($A163,"&gt;&gt;",""),K$130:K$190)</f>
        <v>0.26370826874999997</v>
      </c>
      <c r="L163" s="79">
        <f ca="1">K163*37.6</f>
        <v>9.9154309049999991</v>
      </c>
      <c r="N163" s="50">
        <f ca="1">SUMIF($A$130:$A$190,SUBSTITUTE($A163,"&gt;&gt;",""),N$130:N$190)</f>
        <v>0.1917632076923077</v>
      </c>
      <c r="O163" s="79">
        <f ca="1">N163*37.6</f>
        <v>7.2102966092307703</v>
      </c>
      <c r="R163" s="50">
        <f ca="1">SUMIF($A$130:$A$190,SUBSTITUTE($A163,"&gt;&gt;",""),R$130:R$190)</f>
        <v>0</v>
      </c>
      <c r="S163" s="79">
        <f ca="1">R163*37.6</f>
        <v>0</v>
      </c>
      <c r="T163" s="47"/>
      <c r="U163" s="571"/>
      <c r="V163" s="571"/>
      <c r="X163" s="40">
        <f ca="1">SUMPRODUCT(C163:W163,C$2:W$2)*20</f>
        <v>57.26431680000001</v>
      </c>
      <c r="Y163" s="39">
        <f ca="1">X163/X$101</f>
        <v>0.13005055924962128</v>
      </c>
    </row>
    <row r="164" spans="1:25" hidden="1" outlineLevel="1">
      <c r="A164" s="181" t="str">
        <f ca="1">SUBSTITUTE(OFFSET(A164,-1,0),"&gt;&gt;","")</f>
        <v>G. CAUMES</v>
      </c>
      <c r="B164" s="547"/>
      <c r="C164" s="547"/>
      <c r="F164" s="54" t="s">
        <v>114</v>
      </c>
      <c r="H164" s="30"/>
      <c r="I164" s="54" t="s">
        <v>114</v>
      </c>
      <c r="K164" s="30"/>
      <c r="L164" s="54" t="s">
        <v>114</v>
      </c>
      <c r="N164" s="30"/>
      <c r="O164" s="54" t="s">
        <v>114</v>
      </c>
      <c r="S164" s="54" t="s">
        <v>114</v>
      </c>
      <c r="T164" s="18"/>
      <c r="U164" s="571"/>
      <c r="V164" s="571"/>
      <c r="Y164" s="39">
        <f ca="1">X164/X$101</f>
        <v>0</v>
      </c>
    </row>
    <row r="165" spans="1:25" hidden="1" outlineLevel="1">
      <c r="A165" s="181" t="str">
        <f ca="1">SUBSTITUTE(OFFSET(A165,-1,0),"&gt;&gt;","")</f>
        <v>G. CAUMES</v>
      </c>
      <c r="B165" s="76" t="s">
        <v>99</v>
      </c>
      <c r="C165" s="27" t="str">
        <f ca="1">A:A</f>
        <v>G. CAUMES</v>
      </c>
      <c r="D165" s="138"/>
      <c r="E165" s="139">
        <f ca="1">IF(ISNUMBER(F165),F165,SUMIF($B$1:$B$128,$B165,E$1:E$128)-SUMIF($B$130:$B$190,$B165,F$130:F$190))</f>
        <v>0</v>
      </c>
      <c r="F165" s="53"/>
      <c r="G165" s="138" t="s">
        <v>159</v>
      </c>
      <c r="H165" s="139">
        <f ca="1">IF(ISNUMBER(I165),I165,SUMIF($B$1:$B$128,$B165,H$1:H$128)-SUMIF($B$130:$B$190,$B165,I$130:I$190))</f>
        <v>0.14375000000000002</v>
      </c>
      <c r="I165" s="53"/>
      <c r="J165" s="138" t="s">
        <v>159</v>
      </c>
      <c r="K165" s="139">
        <f ca="1">IF(ISNUMBER(L165),L165,SUMIF($B$1:$B$128,$B165,K$1:K$128)-SUMIF($B$130:$B$190,$B165,L$130:L$190))</f>
        <v>2.0214843749999999E-2</v>
      </c>
      <c r="L165" s="53"/>
      <c r="M165" s="138" t="s">
        <v>159</v>
      </c>
      <c r="N165" s="139">
        <f ca="1">IF(ISNUMBER(O165),O165,SUMIF($B$1:$B$128,$B165,N$1:N$128)-SUMIF($B$130:$B$190,$B165,O$130:O$190))</f>
        <v>8.2932692307692308E-3</v>
      </c>
      <c r="O165" s="53"/>
      <c r="Q165" s="138"/>
      <c r="R165" s="139">
        <f ca="1">IF(ISNUMBER(S165),S165,SUMIF($B$1:$B$128,$B165,R$1:R$128)-SUMIF($B$130:$B$190,$B165,S$130:S$190))</f>
        <v>0</v>
      </c>
      <c r="S165" s="53"/>
      <c r="T165" s="18"/>
      <c r="U165" s="571"/>
      <c r="V165" s="571"/>
      <c r="Y165" s="39">
        <f ca="1">X165/X$101</f>
        <v>0</v>
      </c>
    </row>
    <row r="166" spans="1:25" hidden="1" outlineLevel="1">
      <c r="A166" s="181" t="str">
        <f ca="1">SUBSTITUTE(OFFSET(A166,-1,0),"&gt;&gt;","")</f>
        <v>G. CAUMES</v>
      </c>
      <c r="B166" s="76" t="s">
        <v>105</v>
      </c>
      <c r="C166" s="27" t="str">
        <f ca="1">A:A</f>
        <v>G. CAUMES</v>
      </c>
      <c r="D166" s="138" t="s">
        <v>159</v>
      </c>
      <c r="E166" s="139">
        <f ca="1">IF(ISNUMBER(F166),F166,SUMIF($B$1:$B$128,$B166,E$1:E$128)-SUMIF($B$130:$B$190,$B166,F$130:F$190))</f>
        <v>0.12194716666666669</v>
      </c>
      <c r="F166" s="53"/>
      <c r="G166" s="138" t="s">
        <v>159</v>
      </c>
      <c r="H166" s="139">
        <f ca="1">IF(ISNUMBER(I166),I166,SUMIF($B$1:$B$128,$B166,H$1:H$128)-SUMIF($B$130:$B$190,$B166,I$130:I$190))</f>
        <v>0.69669337500000006</v>
      </c>
      <c r="I166" s="53"/>
      <c r="J166" s="138" t="s">
        <v>159</v>
      </c>
      <c r="K166" s="139">
        <f ca="1">IF(ISNUMBER(L166),L166,SUMIF($B$1:$B$128,$B166,K$1:K$128)-SUMIF($B$130:$B$190,$B166,L$130:L$190))</f>
        <v>0.24349342499999999</v>
      </c>
      <c r="L166" s="53"/>
      <c r="M166" s="138" t="s">
        <v>159</v>
      </c>
      <c r="N166" s="139">
        <f ca="1">IF(ISNUMBER(O166),O166,SUMIF($B$1:$B$128,$B166,N$1:N$128)-SUMIF($B$130:$B$190,$B166,O$130:O$190))</f>
        <v>0.18346993846153847</v>
      </c>
      <c r="O166" s="53"/>
      <c r="Q166" s="138"/>
      <c r="R166" s="139">
        <f>IF(ISNUMBER(S166),S166,SUMIF($B$1:$B$128,$B166,R$1:R$128)-SUMIF($B$130:$B$190,$B166,S$130:S$190))</f>
        <v>0</v>
      </c>
      <c r="S166" s="53">
        <v>0</v>
      </c>
      <c r="T166" s="18"/>
      <c r="U166" s="571"/>
      <c r="V166" s="571"/>
      <c r="Y166" s="39">
        <f ca="1">X166/X$101</f>
        <v>0</v>
      </c>
    </row>
    <row r="167" spans="1:25" ht="8.25" customHeight="1" thickBot="1">
      <c r="B167" s="51" t="s">
        <v>101</v>
      </c>
      <c r="S167" s="19"/>
      <c r="T167" s="19"/>
      <c r="U167" s="19"/>
      <c r="V167" s="19"/>
    </row>
    <row r="168" spans="1:25" ht="20.25" customHeight="1" collapsed="1" thickBot="1">
      <c r="A168" s="180" t="str">
        <f>B168&amp;"&gt;&gt;"</f>
        <v>---&gt;&gt;</v>
      </c>
      <c r="B168" s="92" t="s">
        <v>144</v>
      </c>
      <c r="C168" s="131" t="s">
        <v>128</v>
      </c>
      <c r="E168" s="50">
        <f ca="1">SUMIF($A$130:$A$190,SUBSTITUTE($A168,"&gt;&gt;",""),E$130:E$190)</f>
        <v>0</v>
      </c>
      <c r="F168" s="79">
        <f ca="1">E168*37.6</f>
        <v>0</v>
      </c>
      <c r="H168" s="50">
        <f ca="1">SUMIF($A$130:$A$190,SUBSTITUTE($A168,"&gt;&gt;",""),H$130:H$190)</f>
        <v>0</v>
      </c>
      <c r="I168" s="79">
        <f ca="1">H168*37.6</f>
        <v>0</v>
      </c>
      <c r="K168" s="50">
        <f ca="1">SUMIF($A$130:$A$190,SUBSTITUTE($A168,"&gt;&gt;",""),K$130:K$190)</f>
        <v>0</v>
      </c>
      <c r="L168" s="79">
        <f ca="1">K168*37.6</f>
        <v>0</v>
      </c>
      <c r="N168" s="50">
        <f ca="1">SUMIF($A$130:$A$190,SUBSTITUTE($A168,"&gt;&gt;",""),N$130:N$190)</f>
        <v>0</v>
      </c>
      <c r="O168" s="79">
        <f ca="1">N168*37.6</f>
        <v>0</v>
      </c>
      <c r="R168" s="50">
        <f ca="1">SUMIF($A$130:$A$190,SUBSTITUTE($A168,"&gt;&gt;",""),R$130:R$190)</f>
        <v>0</v>
      </c>
      <c r="S168" s="79">
        <f ca="1">R168*37.6</f>
        <v>0</v>
      </c>
      <c r="T168" s="47"/>
      <c r="U168" s="571"/>
      <c r="V168" s="571"/>
      <c r="X168" s="40">
        <f ca="1">SUMPRODUCT(C168:W168,C$2:W$2)*20</f>
        <v>0</v>
      </c>
      <c r="Y168" s="39">
        <f ca="1">X168/X$101</f>
        <v>0</v>
      </c>
    </row>
    <row r="169" spans="1:25" hidden="1" outlineLevel="1">
      <c r="A169" s="181" t="str">
        <f ca="1">SUBSTITUTE(OFFSET(A169,-1,0),"&gt;&gt;","")</f>
        <v>---</v>
      </c>
      <c r="B169" s="547"/>
      <c r="C169" s="547"/>
      <c r="F169" s="54" t="s">
        <v>114</v>
      </c>
      <c r="H169" s="30"/>
      <c r="I169" s="54" t="s">
        <v>114</v>
      </c>
      <c r="K169" s="30"/>
      <c r="L169" s="54" t="s">
        <v>114</v>
      </c>
      <c r="N169" s="30"/>
      <c r="O169" s="54" t="s">
        <v>114</v>
      </c>
      <c r="S169" s="54" t="s">
        <v>114</v>
      </c>
      <c r="T169" s="18"/>
      <c r="U169" s="571"/>
      <c r="V169" s="571"/>
      <c r="Y169" s="39">
        <f ca="1">X169/X$101</f>
        <v>0</v>
      </c>
    </row>
    <row r="170" spans="1:25" hidden="1" outlineLevel="1">
      <c r="A170" s="181" t="str">
        <f ca="1">SUBSTITUTE(OFFSET(A170,-1,0),"&gt;&gt;","")</f>
        <v>---</v>
      </c>
      <c r="B170" s="76"/>
      <c r="C170" s="27" t="str">
        <f ca="1">A:A</f>
        <v>---</v>
      </c>
      <c r="D170" s="138"/>
      <c r="E170" s="139">
        <f ca="1">IF(ISNUMBER(F170),F170,SUMIF($B$1:$B$128,$B170,E$1:E$128)-SUMIF($B$130:$B$190,$B170,F$130:F$190))</f>
        <v>0</v>
      </c>
      <c r="F170" s="53"/>
      <c r="G170" s="138"/>
      <c r="H170" s="139">
        <f ca="1">IF(ISNUMBER(I170),I170,SUMIF($B$1:$B$128,$B170,H$1:H$128)-SUMIF($B$130:$B$190,$B170,I$130:I$190))</f>
        <v>0</v>
      </c>
      <c r="I170" s="53"/>
      <c r="J170" s="138"/>
      <c r="K170" s="139">
        <f ca="1">IF(ISNUMBER(L170),L170,SUMIF($B$1:$B$128,$B170,K$1:K$128)-SUMIF($B$130:$B$190,$B170,L$130:L$190))</f>
        <v>0</v>
      </c>
      <c r="L170" s="53"/>
      <c r="M170" s="138"/>
      <c r="N170" s="139">
        <f ca="1">IF(ISNUMBER(O170),O170,SUMIF($B$1:$B$128,$B170,N$1:N$128)-SUMIF($B$130:$B$190,$B170,O$130:O$190))</f>
        <v>0</v>
      </c>
      <c r="O170" s="53"/>
      <c r="Q170" s="138"/>
      <c r="R170" s="139">
        <f ca="1">IF(ISNUMBER(S170),S170,SUMIF($B$1:$B$128,$B170,R$1:R$128)-SUMIF($B$130:$B$190,$B170,S$130:S$190))</f>
        <v>0</v>
      </c>
      <c r="S170" s="53"/>
      <c r="T170" s="18"/>
      <c r="U170" s="571"/>
      <c r="V170" s="571"/>
      <c r="Y170" s="39">
        <f ca="1">X170/X$101</f>
        <v>0</v>
      </c>
    </row>
    <row r="171" spans="1:25" hidden="1" outlineLevel="1">
      <c r="A171" s="181" t="str">
        <f ca="1">SUBSTITUTE(OFFSET(A171,-1,0),"&gt;&gt;","")</f>
        <v>---</v>
      </c>
      <c r="B171" s="76"/>
      <c r="C171" s="27" t="str">
        <f ca="1">A:A</f>
        <v>---</v>
      </c>
      <c r="D171" s="138"/>
      <c r="E171" s="139">
        <f ca="1">IF(ISNUMBER(F171),F171,SUMIF($B$1:$B$128,$B171,E$1:E$128)-SUMIF($B$130:$B$190,$B171,F$130:F$190))</f>
        <v>0</v>
      </c>
      <c r="F171" s="53"/>
      <c r="G171" s="138"/>
      <c r="H171" s="139">
        <f ca="1">IF(ISNUMBER(I171),I171,SUMIF($B$1:$B$128,$B171,H$1:H$128)-SUMIF($B$130:$B$190,$B171,I$130:I$190))</f>
        <v>0</v>
      </c>
      <c r="I171" s="53"/>
      <c r="J171" s="138"/>
      <c r="K171" s="139">
        <f ca="1">IF(ISNUMBER(L171),L171,SUMIF($B$1:$B$128,$B171,K$1:K$128)-SUMIF($B$130:$B$190,$B171,L$130:L$190))</f>
        <v>0</v>
      </c>
      <c r="L171" s="53"/>
      <c r="M171" s="138"/>
      <c r="N171" s="139">
        <f ca="1">IF(ISNUMBER(O171),O171,SUMIF($B$1:$B$128,$B171,N$1:N$128)-SUMIF($B$130:$B$190,$B171,O$130:O$190))</f>
        <v>0</v>
      </c>
      <c r="O171" s="53"/>
      <c r="Q171" s="138"/>
      <c r="R171" s="139">
        <f ca="1">IF(ISNUMBER(S171),S171,SUMIF($B$1:$B$128,$B171,R$1:R$128)-SUMIF($B$130:$B$190,$B171,S$130:S$190))</f>
        <v>0</v>
      </c>
      <c r="S171" s="53"/>
      <c r="T171" s="18"/>
      <c r="U171" s="571"/>
      <c r="V171" s="571"/>
      <c r="Y171" s="39">
        <f ca="1">X171/X$101</f>
        <v>0</v>
      </c>
    </row>
    <row r="172" spans="1:25" hidden="1" outlineLevel="1">
      <c r="A172" s="181" t="str">
        <f ca="1">SUBSTITUTE(OFFSET(A172,-1,0),"&gt;&gt;","")</f>
        <v>---</v>
      </c>
      <c r="B172" s="77"/>
      <c r="C172" s="27" t="str">
        <f ca="1">A:A</f>
        <v>---</v>
      </c>
      <c r="D172" s="138"/>
      <c r="E172" s="139">
        <f ca="1">IF(ISNUMBER(F172),F172,SUMIF($B$1:$B$128,$B172,E$1:E$128)-SUMIF($B$130:$B$190,$B172,F$130:F$190))</f>
        <v>0</v>
      </c>
      <c r="F172" s="53"/>
      <c r="G172" s="138"/>
      <c r="H172" s="139">
        <f ca="1">IF(ISNUMBER(I172),I172,SUMIF($B$1:$B$128,$B172,H$1:H$128)-SUMIF($B$130:$B$190,$B172,I$130:I$190))</f>
        <v>0</v>
      </c>
      <c r="I172" s="53"/>
      <c r="J172" s="138"/>
      <c r="K172" s="139">
        <f ca="1">IF(ISNUMBER(L172),L172,SUMIF($B$1:$B$128,$B172,K$1:K$128)-SUMIF($B$130:$B$190,$B172,L$130:L$190))</f>
        <v>0</v>
      </c>
      <c r="L172" s="53"/>
      <c r="M172" s="138"/>
      <c r="N172" s="139">
        <f ca="1">IF(ISNUMBER(O172),O172,SUMIF($B$1:$B$128,$B172,N$1:N$128)-SUMIF($B$130:$B$190,$B172,O$130:O$190))</f>
        <v>0</v>
      </c>
      <c r="O172" s="53"/>
      <c r="Q172" s="138"/>
      <c r="R172" s="139">
        <f ca="1">IF(ISNUMBER(S172),S172,SUMIF($B$1:$B$128,$B172,R$1:R$128)-SUMIF($B$130:$B$190,$B172,S$130:S$190))</f>
        <v>0</v>
      </c>
      <c r="S172" s="53"/>
      <c r="T172" s="52"/>
      <c r="U172" s="571"/>
      <c r="V172" s="571"/>
      <c r="Y172" s="39">
        <f ca="1">X172/X$101</f>
        <v>0</v>
      </c>
    </row>
    <row r="173" spans="1:25" ht="7.5" customHeight="1" thickBot="1">
      <c r="B173" s="51" t="s">
        <v>101</v>
      </c>
      <c r="S173" s="19"/>
      <c r="T173" s="19"/>
      <c r="U173" s="19"/>
      <c r="V173" s="19"/>
    </row>
    <row r="174" spans="1:25" ht="20.25" customHeight="1" collapsed="1" thickBot="1">
      <c r="A174" s="180" t="str">
        <f>B174&amp;"&gt;&gt;"</f>
        <v>Coach (Xxxx)&gt;&gt;</v>
      </c>
      <c r="B174" s="74" t="s">
        <v>120</v>
      </c>
      <c r="C174" s="131" t="s">
        <v>129</v>
      </c>
      <c r="E174" s="50">
        <f ca="1">SUMIF($A$130:$A$190,SUBSTITUTE($A174,"&gt;&gt;",""),E$130:E$190)</f>
        <v>9.3597222222222234E-2</v>
      </c>
      <c r="F174" s="79">
        <f ca="1">E174*37.6</f>
        <v>3.519255555555556</v>
      </c>
      <c r="H174" s="50">
        <f ca="1">SUMIF($A$130:$A$190,SUBSTITUTE($A174,"&gt;&gt;",""),H$130:H$190)</f>
        <v>4.2118750000000003E-2</v>
      </c>
      <c r="I174" s="79">
        <f ca="1">H174*37.6</f>
        <v>1.5836650000000001</v>
      </c>
      <c r="K174" s="50">
        <f ca="1">SUMIF($A$130:$A$190,SUBSTITUTE($A174,"&gt;&gt;",""),K$130:K$190)</f>
        <v>1.579453125E-2</v>
      </c>
      <c r="L174" s="79">
        <f ca="1">K174*37.6</f>
        <v>0.59387437500000007</v>
      </c>
      <c r="N174" s="50">
        <f ca="1">SUMIF($A$130:$A$190,SUBSTITUTE($A174,"&gt;&gt;",""),N$130:N$190)</f>
        <v>6.4798076923076927E-3</v>
      </c>
      <c r="O174" s="79">
        <f ca="1">N174*37.6</f>
        <v>0.24364076923076924</v>
      </c>
      <c r="R174" s="50">
        <f ca="1">SUMIF($A$130:$A$190,SUBSTITUTE($A174,"&gt;&gt;",""),R$130:R$190)</f>
        <v>0</v>
      </c>
      <c r="S174" s="79">
        <f ca="1">R174*37.6</f>
        <v>0</v>
      </c>
      <c r="T174" s="47"/>
      <c r="U174" s="571"/>
      <c r="V174" s="571"/>
      <c r="X174" s="40">
        <f ca="1">SUMPRODUCT(C174:W174,C$2:W$2)*20</f>
        <v>5.3912000000000004</v>
      </c>
      <c r="Y174" s="39">
        <f ca="1">X174/X$101</f>
        <v>1.2243725485720945E-2</v>
      </c>
    </row>
    <row r="175" spans="1:25" hidden="1" outlineLevel="1">
      <c r="A175" s="181" t="str">
        <f ca="1">SUBSTITUTE(OFFSET(A175,-1,0),"&gt;&gt;","")</f>
        <v>Coach (Xxxx)</v>
      </c>
      <c r="B175" s="547"/>
      <c r="C175" s="547"/>
      <c r="F175" s="54" t="s">
        <v>114</v>
      </c>
      <c r="H175" s="30"/>
      <c r="I175" s="54" t="s">
        <v>114</v>
      </c>
      <c r="K175" s="30"/>
      <c r="L175" s="54" t="s">
        <v>114</v>
      </c>
      <c r="N175" s="30"/>
      <c r="O175" s="54" t="s">
        <v>114</v>
      </c>
      <c r="S175" s="54" t="s">
        <v>114</v>
      </c>
      <c r="T175" s="18"/>
      <c r="U175" s="571"/>
      <c r="V175" s="571"/>
      <c r="Y175" s="39">
        <f ca="1">X175/X$101</f>
        <v>0</v>
      </c>
    </row>
    <row r="176" spans="1:25" hidden="1" outlineLevel="1">
      <c r="A176" s="181" t="str">
        <f ca="1">SUBSTITUTE(OFFSET(A176,-1,0),"&gt;&gt;","")</f>
        <v>Coach (Xxxx)</v>
      </c>
      <c r="B176" s="76" t="s">
        <v>113</v>
      </c>
      <c r="C176" s="27" t="str">
        <f ca="1">A:A</f>
        <v>Coach (Xxxx)</v>
      </c>
      <c r="D176" s="138"/>
      <c r="E176" s="139">
        <f ca="1">IF(ISNUMBER(F176),F176,SUMIF($B$1:$B$128,$B176,E$1:E$128)-SUMIF($B$130:$B$190,$B176,F$130:F$190))</f>
        <v>9.3597222222222234E-2</v>
      </c>
      <c r="F176" s="53"/>
      <c r="G176" s="138"/>
      <c r="H176" s="139">
        <f ca="1">IF(ISNUMBER(I176),I176,SUMIF($B$1:$B$128,$B176,H$1:H$128)-SUMIF($B$130:$B$190,$B176,I$130:I$190))</f>
        <v>4.2118750000000003E-2</v>
      </c>
      <c r="I176" s="53"/>
      <c r="J176" s="138"/>
      <c r="K176" s="139">
        <f ca="1">IF(ISNUMBER(L176),L176,SUMIF($B$1:$B$128,$B176,K$1:K$128)-SUMIF($B$130:$B$190,$B176,L$130:L$190))</f>
        <v>1.579453125E-2</v>
      </c>
      <c r="L176" s="53"/>
      <c r="M176" s="138"/>
      <c r="N176" s="139">
        <f ca="1">IF(ISNUMBER(O176),O176,SUMIF($B$1:$B$128,$B176,N$1:N$128)-SUMIF($B$130:$B$190,$B176,O$130:O$190))</f>
        <v>6.4798076923076927E-3</v>
      </c>
      <c r="O176" s="53"/>
      <c r="Q176" s="138"/>
      <c r="R176" s="139">
        <f ca="1">IF(ISNUMBER(S176),S176,SUMIF($B$1:$B$128,$B176,R$1:R$128)-SUMIF($B$130:$B$190,$B176,S$130:S$190))</f>
        <v>0</v>
      </c>
      <c r="S176" s="53"/>
      <c r="T176" s="18"/>
      <c r="U176" s="571"/>
      <c r="V176" s="571"/>
      <c r="Y176" s="39">
        <f ca="1">X176/X$101</f>
        <v>0</v>
      </c>
    </row>
    <row r="177" spans="1:25" hidden="1" outlineLevel="1">
      <c r="A177" s="181" t="str">
        <f ca="1">SUBSTITUTE(OFFSET(A177,-1,0),"&gt;&gt;","")</f>
        <v>Coach (Xxxx)</v>
      </c>
      <c r="B177" s="76"/>
      <c r="C177" s="27" t="str">
        <f ca="1">A:A</f>
        <v>Coach (Xxxx)</v>
      </c>
      <c r="D177" s="138"/>
      <c r="E177" s="139">
        <f ca="1">IF(ISNUMBER(F177),F177,SUMIF($B$1:$B$128,$B177,E$1:E$128)-SUMIF($B$130:$B$190,$B177,F$130:F$190))</f>
        <v>0</v>
      </c>
      <c r="F177" s="53"/>
      <c r="G177" s="138"/>
      <c r="H177" s="139">
        <f ca="1">IF(ISNUMBER(I177),I177,SUMIF($B$1:$B$128,$B177,H$1:H$128)-SUMIF($B$130:$B$190,$B177,I$130:I$190))</f>
        <v>0</v>
      </c>
      <c r="I177" s="53"/>
      <c r="J177" s="138"/>
      <c r="K177" s="139">
        <f ca="1">IF(ISNUMBER(L177),L177,SUMIF($B$1:$B$128,$B177,K$1:K$128)-SUMIF($B$130:$B$190,$B177,L$130:L$190))</f>
        <v>0</v>
      </c>
      <c r="L177" s="53"/>
      <c r="M177" s="138"/>
      <c r="N177" s="139">
        <f ca="1">IF(ISNUMBER(O177),O177,SUMIF($B$1:$B$128,$B177,N$1:N$128)-SUMIF($B$130:$B$190,$B177,O$130:O$190))</f>
        <v>0</v>
      </c>
      <c r="O177" s="53"/>
      <c r="Q177" s="138"/>
      <c r="R177" s="139">
        <f ca="1">IF(ISNUMBER(S177),S177,SUMIF($B$1:$B$128,$B177,R$1:R$128)-SUMIF($B$130:$B$190,$B177,S$130:S$190))</f>
        <v>0</v>
      </c>
      <c r="S177" s="53"/>
      <c r="T177" s="18"/>
      <c r="U177" s="571"/>
      <c r="V177" s="571"/>
      <c r="Y177" s="39">
        <f ca="1">X177/X$101</f>
        <v>0</v>
      </c>
    </row>
    <row r="178" spans="1:25" hidden="1" outlineLevel="1">
      <c r="A178" s="181" t="str">
        <f ca="1">SUBSTITUTE(OFFSET(A178,-1,0),"&gt;&gt;","")</f>
        <v>Coach (Xxxx)</v>
      </c>
      <c r="B178" s="76"/>
      <c r="C178" s="27" t="str">
        <f ca="1">A:A</f>
        <v>Coach (Xxxx)</v>
      </c>
      <c r="D178" s="138"/>
      <c r="E178" s="139">
        <f ca="1">IF(ISNUMBER(F178),F178,SUMIF($B$1:$B$128,$B178,E$1:E$128)-SUMIF($B$130:$B$190,$B178,F$130:F$190))</f>
        <v>0</v>
      </c>
      <c r="F178" s="53"/>
      <c r="G178" s="138"/>
      <c r="H178" s="139">
        <f ca="1">IF(ISNUMBER(I178),I178,SUMIF($B$1:$B$128,$B178,H$1:H$128)-SUMIF($B$130:$B$190,$B178,I$130:I$190))</f>
        <v>0</v>
      </c>
      <c r="I178" s="53"/>
      <c r="J178" s="138"/>
      <c r="K178" s="139">
        <f ca="1">IF(ISNUMBER(L178),L178,SUMIF($B$1:$B$128,$B178,K$1:K$128)-SUMIF($B$130:$B$190,$B178,L$130:L$190))</f>
        <v>0</v>
      </c>
      <c r="L178" s="53"/>
      <c r="M178" s="138"/>
      <c r="N178" s="139">
        <f ca="1">IF(ISNUMBER(O178),O178,SUMIF($B$1:$B$128,$B178,N$1:N$128)-SUMIF($B$130:$B$190,$B178,O$130:O$190))</f>
        <v>0</v>
      </c>
      <c r="O178" s="53"/>
      <c r="Q178" s="138"/>
      <c r="R178" s="139">
        <f ca="1">IF(ISNUMBER(S178),S178,SUMIF($B$1:$B$128,$B178,R$1:R$128)-SUMIF($B$130:$B$190,$B178,S$130:S$190))</f>
        <v>0</v>
      </c>
      <c r="S178" s="53"/>
      <c r="T178" s="52"/>
      <c r="U178" s="571"/>
      <c r="V178" s="571"/>
      <c r="Y178" s="39">
        <f ca="1">X178/X$101</f>
        <v>0</v>
      </c>
    </row>
    <row r="179" spans="1:25" ht="6" customHeight="1" thickBot="1">
      <c r="B179" s="51" t="s">
        <v>101</v>
      </c>
      <c r="S179" s="19"/>
      <c r="T179" s="19"/>
      <c r="U179" s="19"/>
      <c r="V179" s="19"/>
    </row>
    <row r="180" spans="1:25" ht="20.25" customHeight="1" collapsed="1" thickBot="1">
      <c r="A180" s="180" t="str">
        <f>B180&amp;"&gt;&gt;"</f>
        <v>B. FORESTIER&gt;&gt;</v>
      </c>
      <c r="B180" s="74" t="s">
        <v>145</v>
      </c>
      <c r="C180" s="131" t="s">
        <v>130</v>
      </c>
      <c r="E180" s="50">
        <f ca="1">SUMIF($A$130:$A$190,SUBSTITUTE($A180,"&gt;&gt;",""),E$130:E$190)</f>
        <v>2.6321166666666663E-2</v>
      </c>
      <c r="F180" s="79">
        <f ca="1">E180*37.6</f>
        <v>0.98967586666666651</v>
      </c>
      <c r="H180" s="50">
        <f ca="1">SUMIF($A$130:$A$190,SUBSTITUTE($A180,"&gt;&gt;",""),H$130:H$190)</f>
        <v>0.68</v>
      </c>
      <c r="I180" s="79">
        <f ca="1">H180*37.6</f>
        <v>25.568000000000001</v>
      </c>
      <c r="K180" s="50">
        <f ca="1">SUMIF($A$130:$A$190,SUBSTITUTE($A180,"&gt;&gt;",""),K$130:K$190)</f>
        <v>1</v>
      </c>
      <c r="L180" s="79">
        <f ca="1">K180*37.6</f>
        <v>37.6</v>
      </c>
      <c r="N180" s="50">
        <f ca="1">SUMIF($A$130:$A$190,SUBSTITUTE($A180,"&gt;&gt;",""),N$130:N$190)</f>
        <v>1</v>
      </c>
      <c r="O180" s="79">
        <f ca="1">N180*37.6</f>
        <v>37.6</v>
      </c>
      <c r="R180" s="50">
        <f ca="1">SUMIF($A$130:$A$190,SUBSTITUTE($A180,"&gt;&gt;",""),R$130:R$190)</f>
        <v>4.2250000000000003E-2</v>
      </c>
      <c r="S180" s="79">
        <f ca="1">R180*37.6</f>
        <v>1.5886000000000002</v>
      </c>
      <c r="T180" s="47"/>
      <c r="U180" s="571"/>
      <c r="V180" s="571"/>
      <c r="X180" s="40">
        <f ca="1">SUMPRODUCT(C180:W180,C$2:W$2)*20</f>
        <v>124.74004960000001</v>
      </c>
      <c r="Y180" s="39">
        <f ca="1">X180/X$101</f>
        <v>0.28329183194420809</v>
      </c>
    </row>
    <row r="181" spans="1:25" hidden="1" outlineLevel="1">
      <c r="A181" s="181" t="str">
        <f ca="1">SUBSTITUTE(OFFSET(A181,-1,0),"&gt;&gt;","")</f>
        <v>B. FORESTIER</v>
      </c>
      <c r="B181" s="547" t="s">
        <v>124</v>
      </c>
      <c r="C181" s="547"/>
      <c r="E181" s="30"/>
      <c r="F181" s="54" t="s">
        <v>114</v>
      </c>
      <c r="H181" s="30"/>
      <c r="I181" s="54" t="s">
        <v>114</v>
      </c>
      <c r="K181" s="30"/>
      <c r="L181" s="54" t="s">
        <v>114</v>
      </c>
      <c r="N181" s="30"/>
      <c r="O181" s="54" t="s">
        <v>114</v>
      </c>
      <c r="S181" s="54" t="s">
        <v>114</v>
      </c>
      <c r="T181" s="18"/>
      <c r="U181" s="571"/>
      <c r="V181" s="571"/>
      <c r="Y181" s="39">
        <f ca="1">X181/X$101</f>
        <v>0</v>
      </c>
    </row>
    <row r="182" spans="1:25" hidden="1" outlineLevel="1">
      <c r="A182" s="181" t="str">
        <f ca="1">SUBSTITUTE(OFFSET(A182,-1,0),"&gt;&gt;","")</f>
        <v>B. FORESTIER</v>
      </c>
      <c r="B182" s="76" t="s">
        <v>100</v>
      </c>
      <c r="C182" s="27" t="str">
        <f ca="1">A:A</f>
        <v>B. FORESTIER</v>
      </c>
      <c r="D182" s="138" t="s">
        <v>159</v>
      </c>
      <c r="E182" s="139">
        <f ca="1">IF(ISNUMBER(F182),F182,SUMIF($B$1:$B$128,$B182,E$1:E$128)-SUMIF($B$130:$B$190,$B182,F$130:F$190))</f>
        <v>2.6321166666666663E-2</v>
      </c>
      <c r="F182" s="53"/>
      <c r="G182" s="138" t="s">
        <v>159</v>
      </c>
      <c r="H182" s="139">
        <f>IF(ISNUMBER(I182),I182,SUMIF($B$1:$B$128,$B182,H$1:H$128)-SUMIF($B$130:$B$190,$B182,I$130:I$190))</f>
        <v>0.68</v>
      </c>
      <c r="I182" s="53">
        <v>0.68</v>
      </c>
      <c r="J182" s="138" t="s">
        <v>159</v>
      </c>
      <c r="K182" s="139">
        <f>IF(ISNUMBER(L182),L182,SUMIF($B$1:$B$128,$B182,K$1:K$128)-SUMIF($B$130:$B$190,$B182,L$130:L$190))</f>
        <v>1</v>
      </c>
      <c r="L182" s="53">
        <v>1</v>
      </c>
      <c r="M182" s="138" t="s">
        <v>159</v>
      </c>
      <c r="N182" s="139">
        <f>IF(ISNUMBER(O182),O182,SUMIF($B$1:$B$128,$B182,N$1:N$128)-SUMIF($B$130:$B$190,$B182,O$130:O$190))</f>
        <v>1</v>
      </c>
      <c r="O182" s="53">
        <v>1</v>
      </c>
      <c r="Q182" s="138" t="s">
        <v>159</v>
      </c>
      <c r="R182" s="139">
        <f ca="1">IF(ISNUMBER(S182),S182,SUMIF($B$1:$B$128,$B182,R$1:R$128)-SUMIF($B$130:$B$190,$B182,S$130:S$190))</f>
        <v>3.9E-2</v>
      </c>
      <c r="S182" s="53"/>
      <c r="T182" s="18"/>
      <c r="U182" s="571"/>
      <c r="V182" s="571"/>
      <c r="Y182" s="39">
        <f ca="1">X182/X$101</f>
        <v>0</v>
      </c>
    </row>
    <row r="183" spans="1:25" hidden="1" outlineLevel="1">
      <c r="A183" s="181" t="str">
        <f ca="1">SUBSTITUTE(OFFSET(A183,-1,0),"&gt;&gt;","")</f>
        <v>B. FORESTIER</v>
      </c>
      <c r="B183" s="76" t="s">
        <v>105</v>
      </c>
      <c r="C183" s="27" t="str">
        <f ca="1">A:A</f>
        <v>B. FORESTIER</v>
      </c>
      <c r="D183" s="138"/>
      <c r="E183" s="139">
        <f>IF(ISNUMBER(F183),F183,SUMIF($B$1:$B$128,$B183,E$1:E$128)-SUMIF($B$130:$B$190,$B183,F$130:F$190))</f>
        <v>0</v>
      </c>
      <c r="F183" s="53">
        <v>0</v>
      </c>
      <c r="G183" s="138"/>
      <c r="H183" s="139">
        <f>IF(ISNUMBER(I183),I183,SUMIF($B$1:$B$128,$B183,H$1:H$128)-SUMIF($B$130:$B$190,$B183,I$130:I$190))</f>
        <v>0</v>
      </c>
      <c r="I183" s="53">
        <v>0</v>
      </c>
      <c r="J183" s="138"/>
      <c r="K183" s="139">
        <f>IF(ISNUMBER(L183),L183,SUMIF($B$1:$B$128,$B183,K$1:K$128)-SUMIF($B$130:$B$190,$B183,L$130:L$190))</f>
        <v>0</v>
      </c>
      <c r="L183" s="53">
        <v>0</v>
      </c>
      <c r="M183" s="138"/>
      <c r="N183" s="139">
        <f>IF(ISNUMBER(O183),O183,SUMIF($B$1:$B$128,$B183,N$1:N$128)-SUMIF($B$130:$B$190,$B183,O$130:O$190))</f>
        <v>0</v>
      </c>
      <c r="O183" s="53">
        <v>0</v>
      </c>
      <c r="Q183" s="138" t="s">
        <v>159</v>
      </c>
      <c r="R183" s="139">
        <f ca="1">IF(ISNUMBER(S183),S183,SUMIF($B$1:$B$128,$B183,R$1:R$128)-SUMIF($B$130:$B$190,$B183,S$130:S$190))</f>
        <v>3.2499999999999999E-3</v>
      </c>
      <c r="S183" s="53"/>
      <c r="T183" s="48"/>
      <c r="U183" s="571"/>
      <c r="V183" s="571"/>
      <c r="Y183" s="39">
        <f ca="1">X183/X$101</f>
        <v>0</v>
      </c>
    </row>
    <row r="184" spans="1:25" ht="6" customHeight="1" thickBot="1">
      <c r="B184" s="51" t="s">
        <v>101</v>
      </c>
      <c r="S184" s="19"/>
      <c r="T184" s="19"/>
      <c r="U184" s="19"/>
      <c r="V184" s="19"/>
    </row>
    <row r="185" spans="1:25" ht="20.25" customHeight="1" collapsed="1" thickBot="1">
      <c r="A185" s="180" t="str">
        <f>B185&amp;"&gt;&gt;"</f>
        <v>Autres CRI/CRIC&gt;&gt;</v>
      </c>
      <c r="B185" s="74" t="s">
        <v>146</v>
      </c>
      <c r="C185" s="131" t="s">
        <v>130</v>
      </c>
      <c r="E185" s="50">
        <f ca="1">SUMIF($A$130:$A$190,SUBSTITUTE($A185,"&gt;&gt;",""),E$130:E$190)</f>
        <v>0</v>
      </c>
      <c r="F185" s="79">
        <f ca="1">E185*37.6</f>
        <v>0</v>
      </c>
      <c r="H185" s="50">
        <f ca="1">SUMIF($A$130:$A$190,SUBSTITUTE($A185,"&gt;&gt;",""),H$130:H$190)</f>
        <v>-0.22874870833333338</v>
      </c>
      <c r="I185" s="79">
        <f ca="1">H185*37.6</f>
        <v>-8.6009514333333357</v>
      </c>
      <c r="K185" s="50">
        <f ca="1">SUMIF($A$130:$A$190,SUBSTITUTE($A185,"&gt;&gt;",""),K$130:K$190)</f>
        <v>0.85918684374999987</v>
      </c>
      <c r="L185" s="79">
        <f ca="1">K185*37.6</f>
        <v>32.305425324999995</v>
      </c>
      <c r="N185" s="50">
        <f ca="1">SUMIF($A$130:$A$190,SUBSTITUTE($A185,"&gt;&gt;",""),N$130:N$190)</f>
        <v>-0.58773157692307698</v>
      </c>
      <c r="O185" s="79">
        <f ca="1">N185*37.6</f>
        <v>-22.098707292307694</v>
      </c>
      <c r="R185" s="50">
        <f ca="1">SUMIF($A$130:$A$190,SUBSTITUTE($A185,"&gt;&gt;",""),R$130:R$190)</f>
        <v>1.2999999999999999E-3</v>
      </c>
      <c r="S185" s="79">
        <f ca="1">R185*37.6</f>
        <v>4.888E-2</v>
      </c>
      <c r="T185" s="47"/>
      <c r="U185" s="571"/>
      <c r="V185" s="571"/>
      <c r="X185" s="40">
        <f ca="1">SUMPRODUCT(C185:W185,C$2:W$2)*20</f>
        <v>10.91278239999999</v>
      </c>
      <c r="Y185" s="39">
        <f ca="1">X185/X$101</f>
        <v>2.4783556905884935E-2</v>
      </c>
    </row>
    <row r="186" spans="1:25" hidden="1" outlineLevel="1">
      <c r="A186" s="181" t="str">
        <f ca="1">SUBSTITUTE(OFFSET(A186,-1,0),"&gt;&gt;","")</f>
        <v>Autres CRI/CRIC</v>
      </c>
      <c r="B186" s="547" t="s">
        <v>123</v>
      </c>
      <c r="C186" s="547"/>
      <c r="F186" s="54" t="s">
        <v>114</v>
      </c>
      <c r="H186" s="30"/>
      <c r="I186" s="54" t="s">
        <v>114</v>
      </c>
      <c r="K186" s="30"/>
      <c r="L186" s="54" t="s">
        <v>114</v>
      </c>
      <c r="N186" s="30"/>
      <c r="O186" s="54" t="s">
        <v>114</v>
      </c>
      <c r="S186" s="54" t="s">
        <v>114</v>
      </c>
      <c r="T186" s="18"/>
      <c r="U186" s="571"/>
      <c r="V186" s="571"/>
      <c r="Y186" s="39">
        <f ca="1">X186/X$101</f>
        <v>0</v>
      </c>
    </row>
    <row r="187" spans="1:25" hidden="1" outlineLevel="1">
      <c r="A187" s="181" t="str">
        <f ca="1">SUBSTITUTE(OFFSET(A187,-1,0),"&gt;&gt;","")</f>
        <v>Autres CRI/CRIC</v>
      </c>
      <c r="B187" s="76" t="s">
        <v>100</v>
      </c>
      <c r="C187" s="27" t="str">
        <f ca="1">A:A</f>
        <v>Autres CRI/CRIC</v>
      </c>
      <c r="D187" s="138"/>
      <c r="E187" s="139">
        <f>IF(ISNUMBER(F187),F187,SUMIF($B$1:$B$128,$B187,E$1:E$128)-SUMIF($B$130:$B$190,$B187,F$130:F$190))</f>
        <v>0</v>
      </c>
      <c r="F187" s="53">
        <v>0</v>
      </c>
      <c r="G187" s="138"/>
      <c r="H187" s="139">
        <f ca="1">IF(ISNUMBER(I187),I187,SUMIF($B$1:$B$128,$B187,H$1:H$128)-SUMIF($B$130:$B$190,$B187,I$130:I$190))</f>
        <v>-0.22874870833333338</v>
      </c>
      <c r="I187" s="53"/>
      <c r="J187" s="138"/>
      <c r="K187" s="139">
        <f ca="1">IF(ISNUMBER(L187),L187,SUMIF($B$1:$B$128,$B187,K$1:K$128)-SUMIF($B$130:$B$190,$B187,L$130:L$190))</f>
        <v>0.85918684374999987</v>
      </c>
      <c r="L187" s="53"/>
      <c r="M187" s="138"/>
      <c r="N187" s="139">
        <f ca="1">IF(ISNUMBER(O187),O187,SUMIF($B$1:$B$128,$B187,N$1:N$128)-SUMIF($B$130:$B$190,$B187,O$130:O$190))</f>
        <v>-0.58773157692307698</v>
      </c>
      <c r="O187" s="53"/>
      <c r="Q187" s="138"/>
      <c r="R187" s="139">
        <f>IF(ISNUMBER(S187),S187,SUMIF($B$1:$B$128,$B187,R$1:R$128)-SUMIF($B$130:$B$190,$B187,S$130:S$190))</f>
        <v>0</v>
      </c>
      <c r="S187" s="53">
        <v>0</v>
      </c>
      <c r="T187" s="18"/>
      <c r="U187" s="571"/>
      <c r="V187" s="571"/>
      <c r="Y187" s="39">
        <f ca="1">X187/X$101</f>
        <v>0</v>
      </c>
    </row>
    <row r="188" spans="1:25" hidden="1" outlineLevel="1">
      <c r="A188" s="181" t="str">
        <f ca="1">SUBSTITUTE(OFFSET(A188,-1,0),"&gt;&gt;","")</f>
        <v>Autres CRI/CRIC</v>
      </c>
      <c r="B188" s="76" t="s">
        <v>108</v>
      </c>
      <c r="C188" s="27" t="str">
        <f ca="1">A:A</f>
        <v>Autres CRI/CRIC</v>
      </c>
      <c r="D188" s="138"/>
      <c r="E188" s="139">
        <f>IF(ISNUMBER(F188),F188,SUMIF($B$1:$B$128,$B188,E$1:E$128)-SUMIF($B$130:$B$190,$B188,F$130:F$190))</f>
        <v>0</v>
      </c>
      <c r="F188" s="53">
        <v>0</v>
      </c>
      <c r="G188" s="138"/>
      <c r="H188" s="139">
        <f>IF(ISNUMBER(I188),I188,SUMIF($B$1:$B$128,$B188,H$1:H$128)-SUMIF($B$130:$B$190,$B188,I$130:I$190))</f>
        <v>0</v>
      </c>
      <c r="I188" s="53">
        <v>0</v>
      </c>
      <c r="J188" s="138"/>
      <c r="K188" s="139">
        <f>IF(ISNUMBER(L188),L188,SUMIF($B$1:$B$128,$B188,K$1:K$128)-SUMIF($B$130:$B$190,$B188,L$130:L$190))</f>
        <v>0</v>
      </c>
      <c r="L188" s="53">
        <v>0</v>
      </c>
      <c r="M188" s="138"/>
      <c r="N188" s="139">
        <f>IF(ISNUMBER(O188),O188,SUMIF($B$1:$B$128,$B188,N$1:N$128)-SUMIF($B$130:$B$190,$B188,O$130:O$190))</f>
        <v>0</v>
      </c>
      <c r="O188" s="53">
        <v>0</v>
      </c>
      <c r="Q188" s="138"/>
      <c r="R188" s="139">
        <f ca="1">IF(ISNUMBER(S188),S188,SUMIF($B$1:$B$128,$B188,R$1:R$128)-SUMIF($B$130:$B$190,$B188,S$130:S$190))</f>
        <v>1.2999999999999999E-3</v>
      </c>
      <c r="S188" s="53"/>
      <c r="T188" s="18"/>
      <c r="U188" s="57"/>
      <c r="V188" s="57"/>
      <c r="Y188" s="39">
        <f ca="1">X188/X$101</f>
        <v>0</v>
      </c>
    </row>
    <row r="189" spans="1:25" ht="6" customHeight="1">
      <c r="B189" s="51" t="s">
        <v>101</v>
      </c>
      <c r="S189" s="19"/>
      <c r="T189" s="19"/>
      <c r="U189" s="19"/>
      <c r="V189" s="19"/>
      <c r="W189" s="19"/>
    </row>
    <row r="190" spans="1:25" ht="5.25" customHeight="1">
      <c r="B190" s="49"/>
      <c r="C190" s="49"/>
      <c r="D190" s="137"/>
      <c r="E190" s="49"/>
      <c r="F190" s="49"/>
      <c r="G190" s="49"/>
      <c r="H190" s="49"/>
      <c r="I190" s="49"/>
      <c r="J190" s="49"/>
      <c r="K190" s="49"/>
      <c r="L190" s="49"/>
      <c r="M190" s="49"/>
      <c r="N190" s="49"/>
      <c r="O190" s="49"/>
      <c r="P190" s="49"/>
      <c r="Q190" s="49"/>
      <c r="R190" s="49"/>
      <c r="S190" s="49"/>
      <c r="T190" s="49"/>
      <c r="U190" s="49"/>
      <c r="V190" s="49"/>
      <c r="W190" s="49"/>
      <c r="X190" s="49"/>
      <c r="Y190" s="49"/>
    </row>
    <row r="191" spans="1:25">
      <c r="E191" s="60">
        <v>1</v>
      </c>
      <c r="F191" s="61" t="str">
        <f t="shared" ref="F191:F196" ca="1" si="28">IF(ISERROR(VLOOKUP(E191,A113:C128,2,0)),"---",VLOOKUP(E191,A113:C128,2,0))</f>
        <v>---</v>
      </c>
      <c r="G191" s="70"/>
      <c r="H191" s="70"/>
      <c r="I191" s="62"/>
      <c r="O191" s="19"/>
      <c r="P191" s="19"/>
      <c r="S191" s="19"/>
    </row>
    <row r="192" spans="1:25">
      <c r="E192" s="63">
        <v>2</v>
      </c>
      <c r="F192" s="64" t="str">
        <f t="shared" ca="1" si="28"/>
        <v>---</v>
      </c>
      <c r="G192" s="71"/>
      <c r="H192" s="71"/>
      <c r="I192" s="65"/>
      <c r="O192" s="19"/>
      <c r="P192" s="19"/>
      <c r="S192" s="19"/>
    </row>
    <row r="193" spans="5:19">
      <c r="E193" s="63">
        <v>3</v>
      </c>
      <c r="F193" s="64" t="str">
        <f t="shared" ca="1" si="28"/>
        <v>---</v>
      </c>
      <c r="G193" s="71"/>
      <c r="H193" s="71"/>
      <c r="I193" s="65"/>
      <c r="O193" s="19"/>
      <c r="P193" s="19"/>
      <c r="S193" s="19"/>
    </row>
    <row r="194" spans="5:19">
      <c r="E194" s="63">
        <v>4</v>
      </c>
      <c r="F194" s="64" t="str">
        <f t="shared" ca="1" si="28"/>
        <v>---</v>
      </c>
      <c r="G194" s="71"/>
      <c r="H194" s="71"/>
      <c r="I194" s="65"/>
      <c r="O194" s="19"/>
      <c r="P194" s="19"/>
      <c r="S194" s="19"/>
    </row>
    <row r="195" spans="5:19">
      <c r="E195" s="63">
        <v>5</v>
      </c>
      <c r="F195" s="64" t="str">
        <f t="shared" ca="1" si="28"/>
        <v>---</v>
      </c>
      <c r="G195" s="71"/>
      <c r="H195" s="71"/>
      <c r="I195" s="65"/>
      <c r="O195" s="19"/>
      <c r="P195" s="19"/>
      <c r="S195" s="19"/>
    </row>
    <row r="196" spans="5:19">
      <c r="E196" s="63">
        <v>6</v>
      </c>
      <c r="F196" s="64" t="str">
        <f t="shared" ca="1" si="28"/>
        <v>---</v>
      </c>
      <c r="G196" s="71"/>
      <c r="H196" s="71"/>
      <c r="I196" s="65"/>
      <c r="O196" s="19"/>
      <c r="P196" s="19"/>
      <c r="S196" s="19"/>
    </row>
    <row r="197" spans="5:19">
      <c r="E197" s="63">
        <v>7</v>
      </c>
      <c r="F197" s="64" t="str">
        <f ca="1">IF(ISERROR(VLOOKUP(E197,A119:C135,2,0)),"---",VLOOKUP(E197,A119:C135,2,0))</f>
        <v>---</v>
      </c>
      <c r="G197" s="71"/>
      <c r="H197" s="71"/>
      <c r="I197" s="65"/>
      <c r="O197" s="19"/>
      <c r="P197" s="19"/>
      <c r="S197" s="19"/>
    </row>
    <row r="198" spans="5:19">
      <c r="E198" s="63">
        <v>8</v>
      </c>
      <c r="F198" s="64" t="str">
        <f t="shared" ref="F198:F205" ca="1" si="29">IF(ISERROR(VLOOKUP(E198,A120:C138,2,0)),"---",VLOOKUP(E198,A120:C138,2,0))</f>
        <v>---</v>
      </c>
      <c r="G198" s="71"/>
      <c r="H198" s="71"/>
      <c r="I198" s="65"/>
      <c r="O198" s="19"/>
      <c r="P198" s="19"/>
      <c r="S198" s="19"/>
    </row>
    <row r="199" spans="5:19">
      <c r="E199" s="63">
        <v>9</v>
      </c>
      <c r="F199" s="64" t="str">
        <f t="shared" ca="1" si="29"/>
        <v>---</v>
      </c>
      <c r="G199" s="71"/>
      <c r="H199" s="71"/>
      <c r="I199" s="65"/>
      <c r="O199" s="19"/>
      <c r="P199" s="19"/>
      <c r="S199" s="19"/>
    </row>
    <row r="200" spans="5:19">
      <c r="E200" s="63">
        <v>10</v>
      </c>
      <c r="F200" s="64" t="str">
        <f t="shared" ca="1" si="29"/>
        <v>---</v>
      </c>
      <c r="G200" s="71"/>
      <c r="H200" s="71"/>
      <c r="I200" s="65"/>
      <c r="O200" s="19"/>
      <c r="P200" s="19"/>
      <c r="S200" s="19"/>
    </row>
    <row r="201" spans="5:19">
      <c r="E201" s="63">
        <v>11</v>
      </c>
      <c r="F201" s="64" t="str">
        <f t="shared" ca="1" si="29"/>
        <v>---</v>
      </c>
      <c r="G201" s="71"/>
      <c r="H201" s="71"/>
      <c r="I201" s="65"/>
      <c r="O201" s="19"/>
      <c r="P201" s="19"/>
      <c r="S201" s="19"/>
    </row>
    <row r="202" spans="5:19">
      <c r="E202" s="63">
        <v>12</v>
      </c>
      <c r="F202" s="64" t="str">
        <f t="shared" ca="1" si="29"/>
        <v>---</v>
      </c>
      <c r="G202" s="71"/>
      <c r="H202" s="71"/>
      <c r="I202" s="65"/>
      <c r="O202" s="19"/>
      <c r="P202" s="19"/>
      <c r="S202" s="19"/>
    </row>
    <row r="203" spans="5:19">
      <c r="E203" s="63">
        <v>13</v>
      </c>
      <c r="F203" s="64" t="str">
        <f t="shared" ca="1" si="29"/>
        <v>---</v>
      </c>
      <c r="G203" s="71"/>
      <c r="H203" s="71"/>
      <c r="I203" s="65"/>
      <c r="O203" s="19"/>
      <c r="P203" s="19"/>
      <c r="S203" s="19"/>
    </row>
    <row r="204" spans="5:19">
      <c r="E204" s="63">
        <v>14</v>
      </c>
      <c r="F204" s="64" t="str">
        <f t="shared" ca="1" si="29"/>
        <v>---</v>
      </c>
      <c r="G204" s="71"/>
      <c r="H204" s="71"/>
      <c r="I204" s="65"/>
      <c r="O204" s="19"/>
      <c r="P204" s="19"/>
      <c r="S204" s="19"/>
    </row>
    <row r="205" spans="5:19">
      <c r="E205" s="66">
        <v>15</v>
      </c>
      <c r="F205" s="67" t="str">
        <f t="shared" ca="1" si="29"/>
        <v>---</v>
      </c>
      <c r="G205" s="72"/>
      <c r="H205" s="72"/>
      <c r="I205" s="68"/>
      <c r="O205" s="19"/>
      <c r="P205" s="19"/>
      <c r="S205" s="19"/>
    </row>
  </sheetData>
  <autoFilter ref="B131:B205"/>
  <customSheetViews>
    <customSheetView guid="{98F7EBC4-E110-4841-A2DB-2D2637E925A0}" scale="90" showGridLines="0" fitToPage="1" showAutoFilter="1" hiddenRows="1" hiddenColumns="1">
      <pane xSplit="3" ySplit="3" topLeftCell="D4" activePane="bottomRight" state="frozen"/>
      <selection pane="bottomRight" activeCell="B16" sqref="B16"/>
      <pageMargins left="0.56999999999999995" right="0.22" top="0.8" bottom="0.64" header="0.4921259845" footer="0.39"/>
      <pageSetup paperSize="9" scale="61" fitToHeight="0" orientation="portrait" r:id="rId1"/>
      <headerFooter alignWithMargins="0">
        <oddHeader>&amp;L&amp;"Arial,Gras"Gapgemini Sud&amp;C&amp;"Arial,Gras"Répartition sur
Types d'activités / Rôles / Macro-Phases / Equipiers&amp;R&amp;"Arial,Gras"Estimation Top-Down - avant-vente</oddHeader>
        <oddFooter>&amp;L&amp;8&amp;F
&amp;D - &amp;T&amp;CInterne Capgemini
&amp;8Tous droits réservés&amp;R&amp;"Arial,Gras"Page &amp;P / &amp;N</oddFooter>
      </headerFooter>
      <autoFilter ref="B131:B205"/>
    </customSheetView>
  </customSheetViews>
  <mergeCells count="176">
    <mergeCell ref="Z2:Z3"/>
    <mergeCell ref="U131:V135"/>
    <mergeCell ref="U63:V66"/>
    <mergeCell ref="R102:S102"/>
    <mergeCell ref="Q42:R42"/>
    <mergeCell ref="U16:V19"/>
    <mergeCell ref="U20:V23"/>
    <mergeCell ref="U67:V70"/>
    <mergeCell ref="U71:V84"/>
    <mergeCell ref="U42:V47"/>
    <mergeCell ref="U48:V53"/>
    <mergeCell ref="U34:V37"/>
    <mergeCell ref="U38:V41"/>
    <mergeCell ref="Q4:R4"/>
    <mergeCell ref="Q8:R8"/>
    <mergeCell ref="Q12:R12"/>
    <mergeCell ref="Q16:R16"/>
    <mergeCell ref="Q20:R20"/>
    <mergeCell ref="Q24:R24"/>
    <mergeCell ref="Q29:R29"/>
    <mergeCell ref="Q34:R34"/>
    <mergeCell ref="Q38:R38"/>
    <mergeCell ref="Q85:R85"/>
    <mergeCell ref="Q48:R48"/>
    <mergeCell ref="U185:V187"/>
    <mergeCell ref="U144:V146"/>
    <mergeCell ref="U139:V142"/>
    <mergeCell ref="U180:V183"/>
    <mergeCell ref="U174:V178"/>
    <mergeCell ref="U149:V152"/>
    <mergeCell ref="U168:V172"/>
    <mergeCell ref="U155:V158"/>
    <mergeCell ref="U163:V166"/>
    <mergeCell ref="U85:V99"/>
    <mergeCell ref="B48:C48"/>
    <mergeCell ref="B67:C67"/>
    <mergeCell ref="B71:C71"/>
    <mergeCell ref="U54:V58"/>
    <mergeCell ref="U59:V62"/>
    <mergeCell ref="B116:C116"/>
    <mergeCell ref="B54:C54"/>
    <mergeCell ref="B102:C102"/>
    <mergeCell ref="B114:C114"/>
    <mergeCell ref="B59:C59"/>
    <mergeCell ref="B63:C63"/>
    <mergeCell ref="B115:C115"/>
    <mergeCell ref="D48:E48"/>
    <mergeCell ref="D54:E54"/>
    <mergeCell ref="M113:O113"/>
    <mergeCell ref="Q113:S113"/>
    <mergeCell ref="M85:N85"/>
    <mergeCell ref="Q71:R71"/>
    <mergeCell ref="G85:H85"/>
    <mergeCell ref="J71:K71"/>
    <mergeCell ref="J85:K85"/>
    <mergeCell ref="M71:N71"/>
    <mergeCell ref="Q54:R54"/>
    <mergeCell ref="B12:C12"/>
    <mergeCell ref="B16:C16"/>
    <mergeCell ref="D38:E38"/>
    <mergeCell ref="D42:E42"/>
    <mergeCell ref="D34:E34"/>
    <mergeCell ref="D4:E4"/>
    <mergeCell ref="B117:C117"/>
    <mergeCell ref="B118:C118"/>
    <mergeCell ref="E104:S104"/>
    <mergeCell ref="E102:F102"/>
    <mergeCell ref="N102:O102"/>
    <mergeCell ref="D113:F113"/>
    <mergeCell ref="G113:I113"/>
    <mergeCell ref="J113:L113"/>
    <mergeCell ref="D59:E59"/>
    <mergeCell ref="D63:E63"/>
    <mergeCell ref="D71:E71"/>
    <mergeCell ref="D85:E85"/>
    <mergeCell ref="D67:E67"/>
    <mergeCell ref="H102:I102"/>
    <mergeCell ref="K102:L102"/>
    <mergeCell ref="G63:H63"/>
    <mergeCell ref="G67:H67"/>
    <mergeCell ref="G71:H71"/>
    <mergeCell ref="D3:F3"/>
    <mergeCell ref="G3:I3"/>
    <mergeCell ref="U24:V28"/>
    <mergeCell ref="U29:V33"/>
    <mergeCell ref="U4:V7"/>
    <mergeCell ref="U8:V11"/>
    <mergeCell ref="U12:V15"/>
    <mergeCell ref="D20:E20"/>
    <mergeCell ref="D24:E24"/>
    <mergeCell ref="D29:E29"/>
    <mergeCell ref="D8:E8"/>
    <mergeCell ref="D12:E12"/>
    <mergeCell ref="D16:E16"/>
    <mergeCell ref="J4:K4"/>
    <mergeCell ref="B132:C132"/>
    <mergeCell ref="B123:C123"/>
    <mergeCell ref="B119:C119"/>
    <mergeCell ref="B120:C120"/>
    <mergeCell ref="B121:C121"/>
    <mergeCell ref="B122:C122"/>
    <mergeCell ref="B1:C1"/>
    <mergeCell ref="B113:C113"/>
    <mergeCell ref="B130:C130"/>
    <mergeCell ref="B3:C3"/>
    <mergeCell ref="B127:C127"/>
    <mergeCell ref="B124:C124"/>
    <mergeCell ref="B125:C125"/>
    <mergeCell ref="B126:C126"/>
    <mergeCell ref="B85:C85"/>
    <mergeCell ref="B101:C101"/>
    <mergeCell ref="B20:C20"/>
    <mergeCell ref="B24:C24"/>
    <mergeCell ref="B29:C29"/>
    <mergeCell ref="B34:C34"/>
    <mergeCell ref="B38:C38"/>
    <mergeCell ref="B42:C42"/>
    <mergeCell ref="B4:C4"/>
    <mergeCell ref="B8:C8"/>
    <mergeCell ref="B186:C186"/>
    <mergeCell ref="B164:C164"/>
    <mergeCell ref="B169:C169"/>
    <mergeCell ref="B175:C175"/>
    <mergeCell ref="B181:C181"/>
    <mergeCell ref="B140:C140"/>
    <mergeCell ref="B145:C145"/>
    <mergeCell ref="B150:C150"/>
    <mergeCell ref="B156:C156"/>
    <mergeCell ref="J48:K48"/>
    <mergeCell ref="J54:K54"/>
    <mergeCell ref="J59:K59"/>
    <mergeCell ref="G4:H4"/>
    <mergeCell ref="G8:H8"/>
    <mergeCell ref="G12:H12"/>
    <mergeCell ref="G16:H16"/>
    <mergeCell ref="G20:H20"/>
    <mergeCell ref="G24:H24"/>
    <mergeCell ref="G29:H29"/>
    <mergeCell ref="G34:H34"/>
    <mergeCell ref="G59:H59"/>
    <mergeCell ref="G38:H38"/>
    <mergeCell ref="G42:H42"/>
    <mergeCell ref="G48:H48"/>
    <mergeCell ref="G54:H54"/>
    <mergeCell ref="J8:K8"/>
    <mergeCell ref="J12:K12"/>
    <mergeCell ref="J16:K16"/>
    <mergeCell ref="J20:K20"/>
    <mergeCell ref="J24:K24"/>
    <mergeCell ref="J29:K29"/>
    <mergeCell ref="J34:K34"/>
    <mergeCell ref="J38:K38"/>
    <mergeCell ref="J42:K42"/>
    <mergeCell ref="Q59:R59"/>
    <mergeCell ref="Q63:R63"/>
    <mergeCell ref="J3:L3"/>
    <mergeCell ref="M3:O3"/>
    <mergeCell ref="Q3:S3"/>
    <mergeCell ref="Q67:R67"/>
    <mergeCell ref="M59:N59"/>
    <mergeCell ref="M63:N63"/>
    <mergeCell ref="M67:N67"/>
    <mergeCell ref="M20:N20"/>
    <mergeCell ref="M24:N24"/>
    <mergeCell ref="M29:N29"/>
    <mergeCell ref="M4:N4"/>
    <mergeCell ref="M8:N8"/>
    <mergeCell ref="M12:N12"/>
    <mergeCell ref="M16:N16"/>
    <mergeCell ref="J63:K63"/>
    <mergeCell ref="J67:K67"/>
    <mergeCell ref="M38:N38"/>
    <mergeCell ref="M42:N42"/>
    <mergeCell ref="M48:N48"/>
    <mergeCell ref="M54:N54"/>
    <mergeCell ref="M34:N34"/>
  </mergeCells>
  <phoneticPr fontId="3" type="noConversion"/>
  <conditionalFormatting sqref="B114 B116:B127">
    <cfRule type="expression" dxfId="35" priority="1" stopIfTrue="1">
      <formula>A114=0</formula>
    </cfRule>
  </conditionalFormatting>
  <conditionalFormatting sqref="N114:N127 E114:E127 H114:H127 R114:R127 K114:K127">
    <cfRule type="expression" dxfId="34" priority="2" stopIfTrue="1">
      <formula>SUMIF($B$130:$B$190,$B114,E$130:E$190)&lt;&gt;E114</formula>
    </cfRule>
    <cfRule type="cellIs" dxfId="33" priority="3" stopIfTrue="1" operator="greaterThan">
      <formula>1</formula>
    </cfRule>
    <cfRule type="cellIs" dxfId="32" priority="4" stopIfTrue="1" operator="equal">
      <formula>0</formula>
    </cfRule>
  </conditionalFormatting>
  <conditionalFormatting sqref="S133:S137 L133:L137 O133:O137 F141:F142 S146:S147 S151:S153 S157:S161 S165:S166 S170:S172 S176:S178 F182:F183 I182:I183 L182:L183 O182:O183 F133:F137 I133:I137 S182:S183 I141:I142 L141:L142 O141:O142 S141:S142 F146:F147 I146:I147 L146:L147 O146:O147 F151:F153 I151:I153 L151:L153 O151:O153 F157:F161 I157:I161 L157:L161 O157:O161 F165:F166 I165:I166 L165:L166 O165:O166 F170:F172 I170:I172 L170:L172 O170:O172 F176:F178 I176:I178 L176:L178 O176:O178 I187:I188 L187:L188 O187:O188 S187:S188 F187:F188">
    <cfRule type="expression" dxfId="31" priority="5" stopIfTrue="1">
      <formula>(E133&lt;&gt;0)*(COUNTIF($B$130:$B$190,$B133)&lt;&gt;1)*(SUMIF($B$130:$B$190,$B133,E$130:E$190)=(COUNTIF($B$130:$B$190,$B133)*E133))</formula>
    </cfRule>
    <cfRule type="expression" dxfId="30" priority="6" stopIfTrue="1">
      <formula>E133&gt;0</formula>
    </cfRule>
  </conditionalFormatting>
  <conditionalFormatting sqref="B115:C115">
    <cfRule type="expression" dxfId="29" priority="7" stopIfTrue="1">
      <formula>$A115=0</formula>
    </cfRule>
  </conditionalFormatting>
  <conditionalFormatting sqref="X163 X180 S163 F155 L155 I155 O163 S155 F168 L168 I168 X168 O155 X155 S168 F180 L180 I180 S180 F185 L185 I185 O180 O168 X185 S185 F174 L174 I174 O185 X174 S174 F149 L149 I149 O174 S149 F144 L144 I144 O149 X149 S144 F139 L139 I139 O144 S139 F131 N101:O101 L131 O139 X139 S131 X144 I131 X24 X20 O131 K102 N102 H102 X16 O114:O127 X8 L114:L127 X12 X114:X127 E101:E102 R101:R102 S101 X131 X4 I114:I127 H101:I101 X48 F163 I163 X54 X59 X67 X63 S114:S127 L36:L37 X71 X101 F101 X42 X38 L44:L47 X34 X29 Q16 F69:F70 X85 D20 L73:L85 L69:L70 K101:L101 L163 F20:G20 I31:I33 F114:F127 I36:I37 I56:I58 L65:L67 I50:I53 I20:J20 I69:I70 I61:I62 O73:O85 L18:L19 I26:I28 I40:I41 F6:F7 I6:I7 L20:M20 S10:S12 F8:G8 L22:L23 L87:L99 F18:F19 L14:L15 F22:F23 L24:M24 S73:S85 L29:M29 F26:F28 L42:M42 L34:M34 F31:F33 L38:M38 F40:F41 L48:M48 F44:F47 L54:M54 F50:F53 L59:M59 F56:F58 I65:I67 L63:M63 F61:F62 Q85 L71:M71 O65:O67 S65:S67 I73:I85 F65:F67 O87:O99 S87:S99 I87:I99 F87:F99 F14:F15 I8:J8 L4:M4 F73:F85 D85 G85 J85 M85 O69:O71 S69:S71 Q71 D71 F71:G71 I71:J71 L61:L62 O61:O63 S61:S63 Q59 D63 F63:G63 I63:J63 L56:L58 O56:O59 S56:S59 Q54 D59 F59:G59 I59:J59 L50:L53 O50:O54 S50:S54 Q48 D54 F54:G54 I54:J54 I44:I47 O44:O48 S44:S48 Q42 D48 F48:G48 I48:J48 L40:L41 O40:O42 S40:S42 Q38 D42 F42:G42 I42:J42 F36:F37 O36:O38 S36:S38 Q34 D38 F38:G38 I38:J38 L31:L33 O31:O34 S31:S34 Q29 D34 F34:G34 I34:J34 L26:L28 O26:O29 S26:S29 Q24 D29 F29:G29 I29:J29 I22:I23 O22:O24 S22:S24 Q20 D24 F24:G24 I24:J24 I18:I19 O18:O20 S18:S20 O4 S4 Q4 D4 F4:G4 I4:J4 L6:L7 L8:M8 O6:O8 S6:S8 I16:J16 D8 Q63 I14:I15 L16:M16 O14:O16 S14:S16 Q8 D16 F16:G16 L10:L12 I10:I12 O10:O12 F10:F12">
    <cfRule type="cellIs" dxfId="28" priority="8" stopIfTrue="1" operator="equal">
      <formula>0</formula>
    </cfRule>
  </conditionalFormatting>
  <conditionalFormatting sqref="H163 K163 N163 R163 E163 H155 K155 N155 R155 E155 H168 K168 N168 R168 E168 H180 K180 N180 R180 E180 H185 K185 N185 R185 E185 H174 K174 N174 R174 E174 H149 K149 N149 R149 E149 H144 K144 N144 R144 E144 H139 K139 N139 R139 E139 H131 K131 N131 R131 E131">
    <cfRule type="cellIs" dxfId="27" priority="9" stopIfTrue="1" operator="equal">
      <formula>0</formula>
    </cfRule>
    <cfRule type="cellIs" dxfId="26" priority="10" stopIfTrue="1" operator="greaterThanOrEqual">
      <formula>1</formula>
    </cfRule>
  </conditionalFormatting>
  <conditionalFormatting sqref="E182:E183 E133:E137 H133:H137 K133:K137 N133:N137 R133:R137 R146:R147 R157:R161 R165:R166 R170:R172 R176:R178 H182:H183 K182:K183 N182:N183 R182:R183 E141:E142 R151:R153 H141:H142 K141:K142 N141:N142 R141:R142 E146:E147 H146:H147 K146:K147 N146:N147 E151:E153 H151:H153 K151:K153 N151:N153 E157:E161 H157:H161 K157:K161 N157:N161 E165:E166 H165:H166 K165:K166 N165:N166 E170:E172 H170:H172 K170:K172 N170:N172 E176:E178 H176:H178 K176:K178 N176:N178 H187:H188 K187:K188 N187:N188 R187:R188 E187:E188">
    <cfRule type="cellIs" dxfId="25" priority="11" stopIfTrue="1" operator="equal">
      <formula>0</formula>
    </cfRule>
    <cfRule type="cellIs" dxfId="24" priority="12" stopIfTrue="1" operator="greaterThanOrEqual">
      <formula>1</formula>
    </cfRule>
    <cfRule type="cellIs" dxfId="23" priority="13" stopIfTrue="1" operator="lessThan">
      <formula>0</formula>
    </cfRule>
  </conditionalFormatting>
  <conditionalFormatting sqref="W4 W101 W16 W20 W24 W29 W34 W38 W42 W48 W54 W59 W63 W67 W71 W8:W12">
    <cfRule type="cellIs" dxfId="22" priority="14" stopIfTrue="1" operator="notEqual">
      <formula>1</formula>
    </cfRule>
  </conditionalFormatting>
  <conditionalFormatting sqref="E129 R129 H129 K129 N129">
    <cfRule type="cellIs" dxfId="21" priority="15" stopIfTrue="1" operator="equal">
      <formula>0</formula>
    </cfRule>
    <cfRule type="cellIs" dxfId="20" priority="16" stopIfTrue="1" operator="greaterThanOrEqual">
      <formula>1</formula>
    </cfRule>
  </conditionalFormatting>
  <conditionalFormatting sqref="B86 B55 B60 B64 B68 B72 B49 B5 B9 B13 B17 B21 B25 B30 B35 B39 B43">
    <cfRule type="expression" dxfId="19" priority="17" stopIfTrue="1">
      <formula>B5&lt;&gt;100</formula>
    </cfRule>
  </conditionalFormatting>
  <conditionalFormatting sqref="W1">
    <cfRule type="cellIs" dxfId="18" priority="18" stopIfTrue="1" operator="notEqual">
      <formula>1</formula>
    </cfRule>
  </conditionalFormatting>
  <conditionalFormatting sqref="Q133:Q137 D182:D183 G182:G183 D133:D137 G133:G137 J182:J183 J133:J137 M182:M183 Q176:Q178 M133:M137 Q182:Q183 D141:D142 Q146:Q147 J151:J153 Q157:Q161 Q165:Q166 Q170:Q172 G141:G142 M157:M161 J141:J142 Q141:Q142 D146:D147 G146:G147 J146:J147 M146:M147 D151:D153 M141:M142 M151:M153 G151:G153 D157:D161 G157:G161 J157:J161 D165:D166 G165:G166 Q151:Q153 J165:J166 D170:D172 G170:G172 J170:J172 M170:M172 D176:D178 G176:G178 J176:J178 M176:M178 M165:M166 D187:D188 G187:G188 J187:J188 M187:M188 Q187:Q188">
    <cfRule type="expression" dxfId="17" priority="19" stopIfTrue="1">
      <formula>D133="R"</formula>
    </cfRule>
  </conditionalFormatting>
  <dataValidations xWindow="272" yWindow="393" count="3">
    <dataValidation type="list" errorStyle="warning" allowBlank="1" showInputMessage="1" showErrorMessage="1" sqref="B146:B147 B133:B137 B170:B172 B182:B183 B157:B161 B65:B66 B69:B70 B56:B58 B73:B84 B50:B53 B6:B7 B44:B47 B31:B33 B40:B41 B36:B37 B26:B28 B10:B11 B22:B23 B14:B15 B18:B19 B61:B62 B87:B99 B141:B142 B176:B178 B165:B166 B151:B153 B187:B188">
      <formula1>$F$191:$F$205</formula1>
    </dataValidation>
    <dataValidation type="list" allowBlank="1" showInputMessage="1" showErrorMessage="1" sqref="D133:D137 Q187:Q188 M157:M161 J146:J147 M151:M153 G157:G161 Q151:Q153 J170:J172 J176:J178 J182:J183 J133:J137 D141:D142 D146:D147 D151:D153 M165:M166 D165:D166 D170:D172 D176:D178 D182:D183 J187:J188 D187:D188 G141:G142 G146:G147 M141:M142 D157:D161 G165:G166 G170:G172 G176:G178 G182:G183 G133:G137 G187:G188 J141:J142 M146:M147 G151:G153 J157:J161 J165:J166 M170:M172 M176:M178 M182:M183 M133:M137 M187:M188 Q141:Q142 Q146:Q147 J151:J153 Q157:Q161 Q165:Q166 Q170:Q172 Q176:Q178 Q182:Q183 Q133:Q137">
      <formula1>" ,R, "</formula1>
    </dataValidation>
    <dataValidation type="custom" errorStyle="warning" allowBlank="1" showInputMessage="1" showErrorMessage="1" errorTitle="Cellule calculée" error="Annulez" promptTitle="Cellule calculée" prompt="Ne pas effacer" sqref="A4:C4 A8:C8 A12:C12 A16:C16 A20:C20 A24:C24 A29:C29 A34:C34 A38:C38 A42:C42 A48:C48 A54:C54 A59:C59 A63:C63 A67:C67 A71:C71 A85:C85 E2 H2 K2 N2 R2 W2 A185:A188 C187:C188 I4:I8 L4:L8 E104:S104 O4:O8 I10:I85 S87:S99 W101:Z101 H101:I102 K101:L102 N101:O102 R101:S102 F4:F8 N114:O127 X114:Z127 E114:F127 H129 H114:I127 K129 R114:S127 N129 X4:Z85 R129 H131:I131 K131:L131 N131:O131 R131:S131 H139:I139 K139:L139 N139:O139 R139:S139 X131:Y131 X139:Y139 X144:Y144 X149:Y149 X155:Y155 X163:Y163 X168:Y168 X180:Y180 X174:Y174 H185:I185 H180:I180 H174:I174 H168:I168 H163:I163 H155:I155 H149:I149 H144:I144 K144:L144 K149:L149 K155:L155 K163:L163 K168:L168 K174:L174 K180:L180 K185:L185 N144:O144 N149:O149 N155:O155 N163:O163 N168:O168 N174:O174 N180:O180 N185:O185 R144:S144 R149:S149 R155:S155 R163:S163 R168:S168 R174:S174 R180:S180 R185:S185 X185:Y185 C133:C137 C141:C142 C146:C147 C151:C153 C157:C161 C165:C166 C170:C172 C176:C178 C182:C183 F12:F85 S4:S85 I87:I99 L87:L99 O87:O99 K114:L127 A5:A7 A9:A11 A13:A15 A17:A19 A21:A23 A25:A28 A30:A33 A35:A37 A39:A41 A43:A47 A49:A53 A55:A58 A60:A62 A64:A66 A68:A70 A72:A84 A86:A99 A114:A127 A131:A137 A139:A142 A144:A147 A149:A153 A155:A161 A163:A166 A168:A172 A174:A178 A180:A183 O10:O85 L10:L85 W4:W71">
      <formula1>LEFT(A2,1)="="</formula1>
    </dataValidation>
  </dataValidations>
  <hyperlinks>
    <hyperlink ref="B1:C1" location="NomProjet" display="NomProjet"/>
  </hyperlinks>
  <pageMargins left="0.56999999999999995" right="0.22" top="0.8" bottom="0.64" header="0.4921259845" footer="0.39"/>
  <pageSetup paperSize="9" scale="61" fitToHeight="0" orientation="portrait" r:id="rId2"/>
  <headerFooter alignWithMargins="0">
    <oddHeader>&amp;L&amp;"Arial,Gras"Gapgemini Sud&amp;C&amp;"Arial,Gras"Répartition sur
Types d'activités / Rôles / Macro-Phases / Equipiers&amp;R&amp;"Arial,Gras"Estimation Top-Down - avant-vente</oddHeader>
    <oddFooter>&amp;L&amp;8&amp;F
&amp;D - &amp;T&amp;CInterne Capgemini
&amp;8Tous droits réservés&amp;R&amp;"Arial,Gras"Page &amp;P / &amp;N</oddFooter>
  </headerFooter>
  <drawing r:id="rId3"/>
  <legacyDrawing r:id="rId4"/>
</worksheet>
</file>

<file path=xl/worksheets/sheet3.xml><?xml version="1.0" encoding="utf-8"?>
<worksheet xmlns="http://schemas.openxmlformats.org/spreadsheetml/2006/main" xmlns:r="http://schemas.openxmlformats.org/officeDocument/2006/relationships">
  <sheetPr codeName="Feuil11" enableFormatConditionsCalculation="0">
    <tabColor indexed="27"/>
    <pageSetUpPr fitToPage="1"/>
  </sheetPr>
  <dimension ref="A1:T49"/>
  <sheetViews>
    <sheetView showGridLines="0" zoomScale="85" workbookViewId="0">
      <pane xSplit="6" ySplit="6" topLeftCell="G7" activePane="bottomRight" state="frozen"/>
      <selection activeCell="AE28" sqref="AE28"/>
      <selection pane="topRight" activeCell="AE28" sqref="AE28"/>
      <selection pane="bottomLeft" activeCell="AE28" sqref="AE28"/>
      <selection pane="bottomRight" activeCell="AE28" sqref="AE28"/>
    </sheetView>
  </sheetViews>
  <sheetFormatPr defaultColWidth="11.42578125" defaultRowHeight="12.75"/>
  <cols>
    <col min="1" max="1" width="34.5703125" style="1" hidden="1" customWidth="1"/>
    <col min="2" max="2" width="9.140625" style="29" hidden="1" customWidth="1"/>
    <col min="3" max="3" width="5.85546875" style="1" hidden="1" customWidth="1"/>
    <col min="4" max="4" width="2.7109375" style="103" customWidth="1"/>
    <col min="5" max="5" width="54.42578125" style="19" customWidth="1"/>
    <col min="6" max="6" width="1" style="29" hidden="1" customWidth="1"/>
    <col min="7" max="7" width="9.85546875" style="19" customWidth="1"/>
    <col min="8" max="8" width="9" style="19" customWidth="1"/>
    <col min="9" max="9" width="12.42578125" style="19" customWidth="1"/>
    <col min="10" max="10" width="1.140625" style="1" customWidth="1"/>
    <col min="11" max="11" width="11" style="19" bestFit="1" customWidth="1"/>
    <col min="12" max="13" width="11" style="19" customWidth="1"/>
    <col min="14" max="14" width="12.7109375" style="19" customWidth="1"/>
    <col min="15" max="15" width="10.5703125" style="19" customWidth="1"/>
    <col min="16" max="16" width="1.7109375" style="1" customWidth="1"/>
    <col min="17" max="17" width="8.5703125" style="1" customWidth="1"/>
    <col min="18" max="19" width="7.5703125" style="1" customWidth="1"/>
    <col min="20" max="20" width="8.5703125" style="1" customWidth="1"/>
    <col min="21" max="16384" width="11.42578125" style="1"/>
  </cols>
  <sheetData>
    <row r="1" spans="1:20" s="93" customFormat="1" ht="23.25" customHeight="1">
      <c r="B1" s="229"/>
      <c r="D1" s="94"/>
      <c r="E1" s="574" t="s">
        <v>26</v>
      </c>
      <c r="F1" s="574"/>
      <c r="G1" s="574"/>
      <c r="H1" s="575" t="s">
        <v>186</v>
      </c>
      <c r="I1" s="576"/>
      <c r="J1" s="577"/>
      <c r="K1" s="230" t="s">
        <v>147</v>
      </c>
      <c r="L1" s="231" t="s">
        <v>148</v>
      </c>
      <c r="M1" s="95" t="s">
        <v>149</v>
      </c>
      <c r="N1" s="95" t="s">
        <v>150</v>
      </c>
      <c r="O1" s="232" t="s">
        <v>151</v>
      </c>
      <c r="Q1" s="232" t="s">
        <v>24</v>
      </c>
    </row>
    <row r="2" spans="1:20" s="93" customFormat="1" ht="14.25" customHeight="1">
      <c r="B2" s="229"/>
      <c r="D2" s="94"/>
      <c r="E2" s="574"/>
      <c r="F2" s="574"/>
      <c r="G2" s="574"/>
      <c r="H2" s="575" t="s">
        <v>187</v>
      </c>
      <c r="I2" s="576"/>
      <c r="J2" s="577"/>
      <c r="K2" s="233">
        <v>0.75</v>
      </c>
      <c r="L2" s="234">
        <v>0.5</v>
      </c>
      <c r="M2" s="220">
        <v>1</v>
      </c>
      <c r="N2" s="220">
        <v>3</v>
      </c>
      <c r="O2" s="235">
        <v>0.5</v>
      </c>
      <c r="Q2" s="260">
        <f>SUM(L2:O2)</f>
        <v>5</v>
      </c>
    </row>
    <row r="3" spans="1:20" s="93" customFormat="1" ht="4.5" customHeight="1">
      <c r="B3" s="229"/>
      <c r="D3" s="94"/>
      <c r="E3" s="96"/>
      <c r="F3" s="96"/>
      <c r="G3" s="96"/>
      <c r="I3" s="97"/>
      <c r="J3" s="97"/>
    </row>
    <row r="4" spans="1:20" s="93" customFormat="1" ht="13.5" customHeight="1" thickBot="1">
      <c r="B4" s="229"/>
      <c r="D4" s="94"/>
      <c r="E4" s="585" t="s">
        <v>180</v>
      </c>
      <c r="F4" s="96"/>
      <c r="G4" s="96"/>
      <c r="I4" s="592" t="s">
        <v>188</v>
      </c>
      <c r="J4" s="593"/>
      <c r="K4" s="236">
        <f ca="1">K6/8/20/K2*5</f>
        <v>0</v>
      </c>
      <c r="L4" s="237">
        <f ca="1">IF(L2,L6/8/20/L2,0)*5</f>
        <v>0</v>
      </c>
      <c r="M4" s="222">
        <f ca="1">IF(M2,M6/8/20/M2,0)*5</f>
        <v>0</v>
      </c>
      <c r="N4" s="222">
        <f ca="1">IF(N2,N6/8/20/N2,0)*5</f>
        <v>0</v>
      </c>
      <c r="O4" s="238">
        <f ca="1">IF(O2,O6/8/20/O2,0)*5</f>
        <v>0</v>
      </c>
    </row>
    <row r="5" spans="1:20" s="93" customFormat="1" ht="17.25" customHeight="1" thickBot="1">
      <c r="B5" s="229"/>
      <c r="D5" s="94"/>
      <c r="E5" s="586"/>
      <c r="F5" s="98"/>
      <c r="G5" s="98"/>
      <c r="I5" s="587" t="s">
        <v>27</v>
      </c>
      <c r="J5" s="588"/>
      <c r="K5" s="221">
        <f ca="1">K6/8</f>
        <v>0</v>
      </c>
      <c r="L5" s="589">
        <f ca="1">SUM(L6:O6)/8</f>
        <v>0</v>
      </c>
      <c r="M5" s="590"/>
      <c r="N5" s="590"/>
      <c r="O5" s="591"/>
    </row>
    <row r="6" spans="1:20" s="93" customFormat="1" ht="21" customHeight="1" thickBot="1">
      <c r="B6" s="229"/>
      <c r="D6" s="94"/>
      <c r="E6" s="99" t="s">
        <v>152</v>
      </c>
      <c r="F6" s="100" t="s">
        <v>153</v>
      </c>
      <c r="G6" s="188" t="s">
        <v>154</v>
      </c>
      <c r="H6" s="189" t="s">
        <v>155</v>
      </c>
      <c r="I6" s="101" t="s">
        <v>156</v>
      </c>
      <c r="J6" s="1"/>
      <c r="K6" s="102">
        <f t="array" aca="1" ref="K6" ca="1">SUM(IF(OFFSET($C6,1,0):$C$48=1,OFFSET(K6,1,0):K$48,0))</f>
        <v>0</v>
      </c>
      <c r="L6" s="102">
        <f t="array" aca="1" ref="L6" ca="1">SUM(IF(OFFSET($C6,1,0):$C$48=1,OFFSET(L6,1,0):L$48,0))</f>
        <v>0</v>
      </c>
      <c r="M6" s="102">
        <f t="array" aca="1" ref="M6" ca="1">SUM(IF(OFFSET($C6,1,0):$C$48=1,OFFSET(M6,1,0):M$48,0))</f>
        <v>0</v>
      </c>
      <c r="N6" s="102">
        <f t="array" aca="1" ref="N6" ca="1">SUM(IF(OFFSET($C6,1,0):$C$48=1,OFFSET(N6,1,0):N$48,0))</f>
        <v>0</v>
      </c>
      <c r="O6" s="102">
        <f t="array" aca="1" ref="O6" ca="1">SUM(IF(OFFSET($C6,1,0):$C$48=1,OFFSET(O6,1,0):O$48,0))</f>
        <v>0</v>
      </c>
    </row>
    <row r="7" spans="1:20" ht="8.25" customHeight="1" thickBot="1">
      <c r="E7" s="85"/>
      <c r="F7" s="85"/>
      <c r="G7" s="93"/>
      <c r="H7" s="93"/>
      <c r="I7" s="93"/>
      <c r="K7" s="104"/>
      <c r="L7" s="105"/>
      <c r="M7" s="105"/>
      <c r="N7" s="105"/>
      <c r="O7" s="105"/>
      <c r="Q7" s="93"/>
      <c r="R7" s="93"/>
    </row>
    <row r="8" spans="1:20" ht="23.25" customHeight="1" thickTop="1" thickBot="1">
      <c r="A8" s="106" t="str">
        <f>E8&amp;"&gt;&gt;&gt;"</f>
        <v>Phase amont - analyse opportunités de sous-traitance&gt;&gt;&gt;</v>
      </c>
      <c r="B8" s="159" t="str">
        <f>IF(LEFT(E8,5)="durée","durée","")&amp;A8</f>
        <v>Phase amont - analyse opportunités de sous-traitance&gt;&gt;&gt;</v>
      </c>
      <c r="C8" s="107">
        <f>(RIGHT(A8,3)="&gt;&gt;&gt;")*1</f>
        <v>1</v>
      </c>
      <c r="D8" s="214"/>
      <c r="E8" s="582" t="s">
        <v>189</v>
      </c>
      <c r="F8" s="582"/>
      <c r="G8" s="582"/>
      <c r="H8" s="583"/>
      <c r="I8" s="111">
        <f ca="1">SUMIF(A:A,SUBSTITUTE(A8,"&gt;&gt;&gt;",""),I:I)</f>
        <v>0</v>
      </c>
      <c r="K8" s="112">
        <f t="array" aca="1" ref="K8" ca="1">SUM(IF(OFFSET($A8,1,0):$A$48=SUBSTITUTE($A8,"&gt;&gt;&gt;",""),OFFSET($I8,1,0):$I$48*OFFSET(K8,1,0):K$48,0))</f>
        <v>0</v>
      </c>
      <c r="L8" s="112">
        <f t="array" aca="1" ref="L8" ca="1">SUM(IF(OFFSET($A8,1,0):$A$48=SUBSTITUTE($A8,"&gt;&gt;&gt;",""),OFFSET($I8,1,0):$I$48*OFFSET(L8,1,0):L$48,0))</f>
        <v>0</v>
      </c>
      <c r="M8" s="112">
        <f t="array" aca="1" ref="M8" ca="1">SUM(IF(OFFSET($A8,1,0):$A$48=SUBSTITUTE($A8,"&gt;&gt;&gt;",""),OFFSET($I8,1,0):$I$48*OFFSET(M8,1,0):M$48,0))</f>
        <v>0</v>
      </c>
      <c r="N8" s="112">
        <f t="array" aca="1" ref="N8" ca="1">SUM(IF(OFFSET($A8,1,0):$A$48=SUBSTITUTE($A8,"&gt;&gt;&gt;",""),OFFSET($I8,1,0):$I$48*OFFSET(N8,1,0):N$48,0))</f>
        <v>0</v>
      </c>
      <c r="O8" s="112">
        <f t="array" aca="1" ref="O8" ca="1">SUM(IF(OFFSET($A8,1,0):$A$48=SUBSTITUTE($A8,"&gt;&gt;&gt;",""),OFFSET($I8,1,0):$I$48*OFFSET(O8,1,0):O$48,0))</f>
        <v>0</v>
      </c>
      <c r="Q8" s="93"/>
      <c r="R8" s="93"/>
    </row>
    <row r="9" spans="1:20" ht="101.25" customHeight="1" thickTop="1">
      <c r="A9" s="113" t="str">
        <f ca="1">SUBSTITUTE(OFFSET(A9,-1,0),"&gt;&gt;&gt;","")</f>
        <v>Phase amont - analyse opportunités de sous-traitance</v>
      </c>
      <c r="B9" s="159" t="str">
        <f ca="1">IF(LEFT(E9,5)="durée","durée","")&amp;A9</f>
        <v>Phase amont - analyse opportunités de sous-traitance</v>
      </c>
      <c r="C9" s="107">
        <f ca="1">(RIGHT(A9,3)="&gt;&gt;&gt;")*1</f>
        <v>0</v>
      </c>
      <c r="D9" s="108">
        <f>ROW(D9)-ROW(D$6)-1</f>
        <v>2</v>
      </c>
      <c r="E9" s="239" t="s">
        <v>23</v>
      </c>
      <c r="F9" s="85"/>
      <c r="G9" s="240"/>
      <c r="H9" s="195"/>
      <c r="I9" s="149">
        <f>G9*H9</f>
        <v>0</v>
      </c>
      <c r="K9" s="217">
        <v>1</v>
      </c>
      <c r="L9" s="116"/>
      <c r="M9" s="116"/>
      <c r="N9" s="116"/>
      <c r="O9" s="116"/>
      <c r="Q9" s="93"/>
      <c r="R9" s="93"/>
    </row>
    <row r="10" spans="1:20" ht="6" customHeight="1" thickBot="1">
      <c r="A10" s="113"/>
      <c r="B10" s="159"/>
      <c r="C10" s="107"/>
      <c r="D10" s="108"/>
      <c r="E10" s="108"/>
      <c r="F10" s="108"/>
      <c r="G10" s="108"/>
      <c r="H10" s="108"/>
      <c r="I10" s="108"/>
      <c r="J10" s="108"/>
      <c r="K10" s="108"/>
      <c r="L10" s="108"/>
      <c r="M10" s="108"/>
      <c r="N10" s="108"/>
      <c r="O10" s="108"/>
      <c r="P10" s="108"/>
      <c r="Q10" s="108"/>
      <c r="R10" s="108"/>
    </row>
    <row r="11" spans="1:20" ht="21" thickTop="1" thickBot="1">
      <c r="A11" s="106" t="str">
        <f>E11&amp;"&gt;&gt;&gt;"</f>
        <v>Partenaire XXX_1&gt;&gt;&gt;</v>
      </c>
      <c r="B11" s="159" t="str">
        <f t="shared" ref="B11:B29" si="0">IF(LEFT(E11,5)="durée","durée","")&amp;A11</f>
        <v>Partenaire XXX_1&gt;&gt;&gt;</v>
      </c>
      <c r="C11" s="107">
        <f t="shared" ref="C11:C29" si="1">(RIGHT(A11,3)="&gt;&gt;&gt;")*1</f>
        <v>1</v>
      </c>
      <c r="D11" s="215"/>
      <c r="E11" s="210" t="s">
        <v>25</v>
      </c>
      <c r="F11" s="109"/>
      <c r="G11" s="153"/>
      <c r="H11" s="154" t="s">
        <v>165</v>
      </c>
      <c r="I11" s="144">
        <f ca="1">MAX(I12,I15)</f>
        <v>0</v>
      </c>
      <c r="K11" s="144">
        <f ca="1">MAX(K12,K15)</f>
        <v>0</v>
      </c>
      <c r="L11" s="144">
        <f ca="1">MAX(L12,L15)</f>
        <v>0</v>
      </c>
      <c r="M11" s="144">
        <f ca="1">MAX(M12,M15)</f>
        <v>0</v>
      </c>
      <c r="N11" s="144">
        <f ca="1">MAX(N12,N15)</f>
        <v>0</v>
      </c>
      <c r="O11" s="144">
        <f ca="1">MAX(O12,O15)</f>
        <v>0</v>
      </c>
    </row>
    <row r="12" spans="1:20" ht="21.75" customHeight="1" thickBot="1">
      <c r="A12" s="113" t="str">
        <f t="shared" ref="A12:A29" ca="1" si="2">SUBSTITUTE(OFFSET(A12,-1,0),"&gt;&gt;&gt;","")</f>
        <v>Partenaire XXX_1</v>
      </c>
      <c r="B12" s="159" t="str">
        <f t="shared" ca="1" si="0"/>
        <v>Partenaire XXX_1</v>
      </c>
      <c r="C12" s="107">
        <f t="shared" ca="1" si="1"/>
        <v>0</v>
      </c>
      <c r="D12" s="196">
        <f t="shared" ref="D12:D29" si="3">ROW(D12)-ROW(D$6)-1</f>
        <v>5</v>
      </c>
      <c r="E12" s="580" t="s">
        <v>166</v>
      </c>
      <c r="F12" s="580"/>
      <c r="G12" s="580"/>
      <c r="H12" s="581"/>
      <c r="I12" s="198">
        <f>SUM(J12:O12)</f>
        <v>0</v>
      </c>
      <c r="K12" s="199">
        <f>K13*$I13</f>
        <v>0</v>
      </c>
      <c r="L12" s="200">
        <f>L13*$I13</f>
        <v>0</v>
      </c>
      <c r="M12" s="200">
        <f>M13*$I13</f>
        <v>0</v>
      </c>
      <c r="N12" s="200">
        <f>N13*$I13</f>
        <v>0</v>
      </c>
      <c r="O12" s="200">
        <f>O13*$I13</f>
        <v>0</v>
      </c>
      <c r="Q12" s="613" t="s">
        <v>167</v>
      </c>
      <c r="R12" s="614"/>
      <c r="S12" s="614"/>
      <c r="T12" s="615"/>
    </row>
    <row r="13" spans="1:20" ht="38.25">
      <c r="A13" s="113" t="str">
        <f t="shared" ca="1" si="2"/>
        <v>Partenaire XXX_1</v>
      </c>
      <c r="B13" s="159" t="str">
        <f t="shared" ca="1" si="0"/>
        <v>Partenaire XXX_1</v>
      </c>
      <c r="C13" s="107">
        <f t="shared" ca="1" si="1"/>
        <v>0</v>
      </c>
      <c r="D13" s="196">
        <f t="shared" si="3"/>
        <v>6</v>
      </c>
      <c r="E13" s="241" t="s">
        <v>190</v>
      </c>
      <c r="F13" s="156"/>
      <c r="G13" s="190"/>
      <c r="H13" s="584">
        <f>HLOOKUP(G14,Q13:T14,2,0)</f>
        <v>0.08</v>
      </c>
      <c r="I13" s="612">
        <f>G13*H13*8</f>
        <v>0</v>
      </c>
      <c r="J13" s="86"/>
      <c r="K13" s="618">
        <v>0.2</v>
      </c>
      <c r="L13" s="616">
        <v>0.2</v>
      </c>
      <c r="M13" s="616">
        <v>0.2</v>
      </c>
      <c r="N13" s="616">
        <v>0.2</v>
      </c>
      <c r="O13" s="616">
        <v>0.2</v>
      </c>
      <c r="Q13" s="157" t="s">
        <v>163</v>
      </c>
      <c r="R13" s="157" t="s">
        <v>161</v>
      </c>
      <c r="S13" s="157" t="s">
        <v>162</v>
      </c>
      <c r="T13" s="157" t="s">
        <v>32</v>
      </c>
    </row>
    <row r="14" spans="1:20" ht="39" thickBot="1">
      <c r="A14" s="113" t="str">
        <f t="shared" ca="1" si="2"/>
        <v>Partenaire XXX_1</v>
      </c>
      <c r="B14" s="159" t="str">
        <f t="shared" ca="1" si="0"/>
        <v>Partenaire XXX_1</v>
      </c>
      <c r="C14" s="107">
        <f t="shared" ca="1" si="1"/>
        <v>0</v>
      </c>
      <c r="D14" s="196">
        <f t="shared" si="3"/>
        <v>7</v>
      </c>
      <c r="E14" s="242" t="s">
        <v>0</v>
      </c>
      <c r="F14" s="156"/>
      <c r="G14" s="191" t="s">
        <v>32</v>
      </c>
      <c r="H14" s="584"/>
      <c r="I14" s="612"/>
      <c r="J14" s="86"/>
      <c r="K14" s="619"/>
      <c r="L14" s="617"/>
      <c r="M14" s="617"/>
      <c r="N14" s="617"/>
      <c r="O14" s="617"/>
      <c r="Q14" s="158">
        <v>0.2</v>
      </c>
      <c r="R14" s="158">
        <v>0.15</v>
      </c>
      <c r="S14" s="158">
        <v>0.1</v>
      </c>
      <c r="T14" s="158">
        <v>0.08</v>
      </c>
    </row>
    <row r="15" spans="1:20" ht="21.75" customHeight="1" thickBot="1">
      <c r="A15" s="113" t="str">
        <f t="shared" ca="1" si="2"/>
        <v>Partenaire XXX_1</v>
      </c>
      <c r="B15" s="159" t="str">
        <f t="shared" ca="1" si="0"/>
        <v>Partenaire XXX_1</v>
      </c>
      <c r="C15" s="107">
        <f t="shared" ca="1" si="1"/>
        <v>0</v>
      </c>
      <c r="D15" s="213">
        <f t="shared" si="3"/>
        <v>8</v>
      </c>
      <c r="E15" s="578" t="s">
        <v>168</v>
      </c>
      <c r="F15" s="579"/>
      <c r="G15" s="579"/>
      <c r="H15" s="216" t="e">
        <f ca="1">I15/G13/8</f>
        <v>#DIV/0!</v>
      </c>
      <c r="I15" s="211">
        <f ca="1">SUMIF(OFFSET(A15,1,0):A$48,A15,OFFSET(I15,1,0):I$48)</f>
        <v>0</v>
      </c>
      <c r="K15" s="212">
        <f t="array" aca="1" ref="K15" ca="1">SUM(IF($A16:$A$48=$A15,$I16:$I$48*K16:K$48,0))</f>
        <v>0</v>
      </c>
      <c r="L15" s="212">
        <f t="array" aca="1" ref="L15" ca="1">SUM(IF(OFFSET($A15,1,0):$A$48=SUBSTITUTE($A15,"&gt;&gt;&gt;",""),OFFSET($I15,1,0):$I$48*OFFSET(L15,1,0):L$48,0))</f>
        <v>0</v>
      </c>
      <c r="M15" s="212">
        <f t="array" aca="1" ref="M15" ca="1">SUM(IF(OFFSET($A15,1,0):$A$48=SUBSTITUTE($A15,"&gt;&gt;&gt;",""),OFFSET($I15,1,0):$I$48*OFFSET(M15,1,0):M$48,0))</f>
        <v>0</v>
      </c>
      <c r="N15" s="212">
        <f t="array" aca="1" ref="N15" ca="1">SUM(IF(OFFSET($A15,1,0):$A$48=SUBSTITUTE($A15,"&gt;&gt;&gt;",""),OFFSET($I15,1,0):$I$48*OFFSET(N15,1,0):N$48,0))</f>
        <v>0</v>
      </c>
      <c r="O15" s="212">
        <f t="array" aca="1" ref="O15" ca="1">SUM(IF(OFFSET($A15,1,0):$A$48=SUBSTITUTE($A15,"&gt;&gt;&gt;",""),OFFSET($I15,1,0):$I$48*OFFSET(O15,1,0):O$48,0))</f>
        <v>0</v>
      </c>
    </row>
    <row r="16" spans="1:20" ht="25.5">
      <c r="A16" s="113" t="str">
        <f t="shared" ca="1" si="2"/>
        <v>Partenaire XXX_1</v>
      </c>
      <c r="B16" s="159" t="str">
        <f t="shared" ca="1" si="0"/>
        <v>Partenaire XXX_1</v>
      </c>
      <c r="C16" s="107">
        <f t="shared" ca="1" si="1"/>
        <v>0</v>
      </c>
      <c r="D16" s="213">
        <f t="shared" si="3"/>
        <v>9</v>
      </c>
      <c r="E16" s="243" t="s">
        <v>1</v>
      </c>
      <c r="F16" s="85"/>
      <c r="G16" s="192"/>
      <c r="H16" s="194"/>
      <c r="I16" s="148">
        <f>H16</f>
        <v>0</v>
      </c>
      <c r="K16" s="219">
        <v>1</v>
      </c>
      <c r="L16" s="603"/>
      <c r="M16" s="604"/>
      <c r="N16" s="604"/>
      <c r="O16" s="605"/>
    </row>
    <row r="17" spans="1:18" ht="25.5">
      <c r="A17" s="113" t="str">
        <f t="shared" ca="1" si="2"/>
        <v>Partenaire XXX_1</v>
      </c>
      <c r="B17" s="159" t="str">
        <f t="shared" ca="1" si="0"/>
        <v>Partenaire XXX_1</v>
      </c>
      <c r="C17" s="107">
        <f t="shared" ca="1" si="1"/>
        <v>0</v>
      </c>
      <c r="D17" s="213">
        <f t="shared" si="3"/>
        <v>10</v>
      </c>
      <c r="E17" s="244" t="s">
        <v>2</v>
      </c>
      <c r="F17" s="85"/>
      <c r="G17" s="193"/>
      <c r="H17" s="195"/>
      <c r="I17" s="145">
        <f>H17</f>
        <v>0</v>
      </c>
      <c r="K17" s="219">
        <v>1</v>
      </c>
      <c r="L17" s="606"/>
      <c r="M17" s="607"/>
      <c r="N17" s="607"/>
      <c r="O17" s="608"/>
    </row>
    <row r="18" spans="1:18" ht="38.25">
      <c r="A18" s="113" t="str">
        <f t="shared" ca="1" si="2"/>
        <v>Partenaire XXX_1</v>
      </c>
      <c r="B18" s="159" t="str">
        <f t="shared" ca="1" si="0"/>
        <v>Partenaire XXX_1</v>
      </c>
      <c r="C18" s="107">
        <f t="shared" ca="1" si="1"/>
        <v>0</v>
      </c>
      <c r="D18" s="213">
        <f t="shared" si="3"/>
        <v>11</v>
      </c>
      <c r="E18" s="244" t="s">
        <v>3</v>
      </c>
      <c r="F18" s="85"/>
      <c r="G18" s="193"/>
      <c r="H18" s="195"/>
      <c r="I18" s="145">
        <f>H18</f>
        <v>0</v>
      </c>
      <c r="K18" s="219">
        <v>1</v>
      </c>
      <c r="L18" s="606"/>
      <c r="M18" s="607"/>
      <c r="N18" s="607"/>
      <c r="O18" s="608"/>
    </row>
    <row r="19" spans="1:18" ht="63.75">
      <c r="A19" s="113" t="str">
        <f t="shared" ca="1" si="2"/>
        <v>Partenaire XXX_1</v>
      </c>
      <c r="B19" s="159" t="str">
        <f t="shared" ca="1" si="0"/>
        <v>Partenaire XXX_1</v>
      </c>
      <c r="C19" s="107">
        <f t="shared" ca="1" si="1"/>
        <v>0</v>
      </c>
      <c r="D19" s="213">
        <f t="shared" si="3"/>
        <v>12</v>
      </c>
      <c r="E19" s="245" t="s">
        <v>11</v>
      </c>
      <c r="F19" s="85"/>
      <c r="G19" s="246"/>
      <c r="H19" s="195"/>
      <c r="I19" s="147">
        <f>G19*H19</f>
        <v>0</v>
      </c>
      <c r="K19" s="219">
        <v>1</v>
      </c>
      <c r="L19" s="606"/>
      <c r="M19" s="607"/>
      <c r="N19" s="607"/>
      <c r="O19" s="608"/>
    </row>
    <row r="20" spans="1:18" ht="64.5" thickBot="1">
      <c r="A20" s="113" t="str">
        <f t="shared" ca="1" si="2"/>
        <v>Partenaire XXX_1</v>
      </c>
      <c r="B20" s="159" t="str">
        <f t="shared" ca="1" si="0"/>
        <v>Partenaire XXX_1</v>
      </c>
      <c r="C20" s="107">
        <f t="shared" ca="1" si="1"/>
        <v>0</v>
      </c>
      <c r="D20" s="213">
        <f t="shared" si="3"/>
        <v>13</v>
      </c>
      <c r="E20" s="247" t="s">
        <v>12</v>
      </c>
      <c r="F20" s="85"/>
      <c r="G20" s="246"/>
      <c r="H20" s="195"/>
      <c r="I20" s="147">
        <f>G20*H20</f>
        <v>0</v>
      </c>
      <c r="K20" s="219">
        <v>1</v>
      </c>
      <c r="L20" s="609"/>
      <c r="M20" s="610"/>
      <c r="N20" s="610"/>
      <c r="O20" s="611"/>
    </row>
    <row r="21" spans="1:18" ht="38.25">
      <c r="A21" s="113" t="str">
        <f t="shared" ca="1" si="2"/>
        <v>Partenaire XXX_1</v>
      </c>
      <c r="B21" s="159" t="str">
        <f t="shared" ca="1" si="0"/>
        <v>duréePartenaire XXX_1</v>
      </c>
      <c r="C21" s="107">
        <f t="shared" ca="1" si="1"/>
        <v>0</v>
      </c>
      <c r="D21" s="213">
        <f t="shared" si="3"/>
        <v>14</v>
      </c>
      <c r="E21" s="248" t="s">
        <v>4</v>
      </c>
      <c r="F21" s="85"/>
      <c r="G21" s="249">
        <f>SUM(L2:O2)</f>
        <v>5</v>
      </c>
      <c r="H21" s="114"/>
      <c r="I21" s="114"/>
      <c r="K21" s="594"/>
      <c r="L21" s="595"/>
      <c r="M21" s="595"/>
      <c r="N21" s="595"/>
      <c r="O21" s="596"/>
    </row>
    <row r="22" spans="1:18" ht="51">
      <c r="A22" s="113" t="str">
        <f t="shared" ca="1" si="2"/>
        <v>Partenaire XXX_1</v>
      </c>
      <c r="B22" s="159" t="str">
        <f t="shared" ca="1" si="0"/>
        <v>Partenaire XXX_1</v>
      </c>
      <c r="C22" s="107">
        <f t="shared" ca="1" si="1"/>
        <v>0</v>
      </c>
      <c r="D22" s="213">
        <f t="shared" si="3"/>
        <v>15</v>
      </c>
      <c r="E22" s="250" t="s">
        <v>5</v>
      </c>
      <c r="F22" s="85"/>
      <c r="G22" s="114"/>
      <c r="H22" s="195"/>
      <c r="I22" s="145">
        <f>H22</f>
        <v>0</v>
      </c>
      <c r="K22" s="150"/>
      <c r="L22" s="160">
        <v>1</v>
      </c>
      <c r="M22" s="160"/>
      <c r="N22" s="160"/>
      <c r="O22" s="160"/>
    </row>
    <row r="23" spans="1:18" ht="38.25">
      <c r="A23" s="113" t="str">
        <f t="shared" ca="1" si="2"/>
        <v>Partenaire XXX_1</v>
      </c>
      <c r="B23" s="159" t="str">
        <f t="shared" ca="1" si="0"/>
        <v>Partenaire XXX_1</v>
      </c>
      <c r="C23" s="107">
        <f t="shared" ca="1" si="1"/>
        <v>0</v>
      </c>
      <c r="D23" s="213">
        <f t="shared" si="3"/>
        <v>16</v>
      </c>
      <c r="E23" s="250" t="s">
        <v>6</v>
      </c>
      <c r="F23" s="85"/>
      <c r="G23" s="114"/>
      <c r="H23" s="195"/>
      <c r="I23" s="145">
        <f>H23</f>
        <v>0</v>
      </c>
      <c r="K23" s="150"/>
      <c r="L23" s="160">
        <v>0.3</v>
      </c>
      <c r="M23" s="160">
        <v>0.2</v>
      </c>
      <c r="N23" s="160">
        <v>0.2</v>
      </c>
      <c r="O23" s="160">
        <v>0.3</v>
      </c>
    </row>
    <row r="24" spans="1:18" ht="76.5">
      <c r="A24" s="113" t="str">
        <f t="shared" ca="1" si="2"/>
        <v>Partenaire XXX_1</v>
      </c>
      <c r="B24" s="159" t="str">
        <f t="shared" ca="1" si="0"/>
        <v>Partenaire XXX_1</v>
      </c>
      <c r="C24" s="107">
        <f t="shared" ca="1" si="1"/>
        <v>0</v>
      </c>
      <c r="D24" s="213">
        <f t="shared" si="3"/>
        <v>17</v>
      </c>
      <c r="E24" s="251" t="s">
        <v>13</v>
      </c>
      <c r="F24" s="85"/>
      <c r="G24" s="252"/>
      <c r="H24" s="194"/>
      <c r="I24" s="146">
        <f ca="1">SUMIF(B:B,"durée"&amp;A24,G:G)*G24*H24</f>
        <v>0</v>
      </c>
      <c r="K24" s="150"/>
      <c r="L24" s="253">
        <f>L$2/SUM($L$2:$O$2)</f>
        <v>0.1</v>
      </c>
      <c r="M24" s="253">
        <f>M$2/SUM($L$2:$O$2)</f>
        <v>0.2</v>
      </c>
      <c r="N24" s="253">
        <f>N$2/SUM($L$2:$O$2)</f>
        <v>0.6</v>
      </c>
      <c r="O24" s="253">
        <f>O$2/SUM($L$2:$O$2)</f>
        <v>0.1</v>
      </c>
    </row>
    <row r="25" spans="1:18" ht="51">
      <c r="A25" s="113" t="str">
        <f t="shared" ca="1" si="2"/>
        <v>Partenaire XXX_1</v>
      </c>
      <c r="B25" s="159" t="str">
        <f t="shared" ca="1" si="0"/>
        <v>Partenaire XXX_1</v>
      </c>
      <c r="C25" s="107">
        <f t="shared" ca="1" si="1"/>
        <v>0</v>
      </c>
      <c r="D25" s="213">
        <f t="shared" si="3"/>
        <v>18</v>
      </c>
      <c r="E25" s="251" t="s">
        <v>14</v>
      </c>
      <c r="F25" s="85"/>
      <c r="G25" s="240"/>
      <c r="H25" s="195"/>
      <c r="I25" s="147">
        <f>G25*H25</f>
        <v>0</v>
      </c>
      <c r="K25" s="150"/>
      <c r="L25" s="160"/>
      <c r="M25" s="160">
        <v>0.3</v>
      </c>
      <c r="N25" s="160">
        <v>0.4</v>
      </c>
      <c r="O25" s="160">
        <v>0.3</v>
      </c>
    </row>
    <row r="26" spans="1:18" ht="38.25">
      <c r="A26" s="113" t="str">
        <f t="shared" ca="1" si="2"/>
        <v>Partenaire XXX_1</v>
      </c>
      <c r="B26" s="159" t="str">
        <f t="shared" ca="1" si="0"/>
        <v>Partenaire XXX_1</v>
      </c>
      <c r="C26" s="107">
        <f t="shared" ca="1" si="1"/>
        <v>0</v>
      </c>
      <c r="D26" s="213">
        <f t="shared" si="3"/>
        <v>19</v>
      </c>
      <c r="E26" s="251" t="s">
        <v>15</v>
      </c>
      <c r="F26" s="85"/>
      <c r="G26" s="240"/>
      <c r="H26" s="195"/>
      <c r="I26" s="147">
        <f>G26*H26</f>
        <v>0</v>
      </c>
      <c r="K26" s="150"/>
      <c r="L26" s="160"/>
      <c r="M26" s="160"/>
      <c r="N26" s="160">
        <v>0.2</v>
      </c>
      <c r="O26" s="160">
        <v>0.8</v>
      </c>
    </row>
    <row r="27" spans="1:18" ht="63.75">
      <c r="A27" s="113" t="str">
        <f t="shared" ca="1" si="2"/>
        <v>Partenaire XXX_1</v>
      </c>
      <c r="B27" s="159" t="str">
        <f t="shared" ca="1" si="0"/>
        <v>Partenaire XXX_1</v>
      </c>
      <c r="C27" s="107">
        <f t="shared" ca="1" si="1"/>
        <v>0</v>
      </c>
      <c r="D27" s="213">
        <f t="shared" si="3"/>
        <v>20</v>
      </c>
      <c r="E27" s="251" t="s">
        <v>16</v>
      </c>
      <c r="F27" s="85"/>
      <c r="G27" s="252"/>
      <c r="H27" s="195"/>
      <c r="I27" s="146">
        <f ca="1">SUMIF(B:B,"durée"&amp;A27,G:G)*G27*H27</f>
        <v>0</v>
      </c>
      <c r="K27" s="150"/>
      <c r="L27" s="253">
        <f>L$2/SUM($L$2:$O$2)</f>
        <v>0.1</v>
      </c>
      <c r="M27" s="253">
        <f>M$2/SUM($L$2:$O$2)</f>
        <v>0.2</v>
      </c>
      <c r="N27" s="253">
        <f>N$2/SUM($L$2:$O$2)</f>
        <v>0.6</v>
      </c>
      <c r="O27" s="253">
        <f>O$2/SUM($L$2:$O$2)</f>
        <v>0.1</v>
      </c>
    </row>
    <row r="28" spans="1:18" ht="38.25">
      <c r="A28" s="113" t="str">
        <f t="shared" ca="1" si="2"/>
        <v>Partenaire XXX_1</v>
      </c>
      <c r="B28" s="159" t="str">
        <f t="shared" ca="1" si="0"/>
        <v>Partenaire XXX_1</v>
      </c>
      <c r="C28" s="107">
        <f t="shared" ca="1" si="1"/>
        <v>0</v>
      </c>
      <c r="D28" s="213">
        <f t="shared" si="3"/>
        <v>21</v>
      </c>
      <c r="E28" s="250" t="s">
        <v>7</v>
      </c>
      <c r="F28" s="85"/>
      <c r="G28" s="114"/>
      <c r="H28" s="195"/>
      <c r="I28" s="145">
        <f>H28</f>
        <v>0</v>
      </c>
      <c r="K28" s="150"/>
      <c r="L28" s="160"/>
      <c r="M28" s="160"/>
      <c r="N28" s="160"/>
      <c r="O28" s="160">
        <v>1</v>
      </c>
    </row>
    <row r="29" spans="1:18" ht="51.75" thickBot="1">
      <c r="A29" s="113" t="str">
        <f t="shared" ca="1" si="2"/>
        <v>Partenaire XXX_1</v>
      </c>
      <c r="B29" s="159" t="str">
        <f t="shared" ca="1" si="0"/>
        <v>Partenaire XXX_1</v>
      </c>
      <c r="C29" s="107">
        <f t="shared" ca="1" si="1"/>
        <v>0</v>
      </c>
      <c r="D29" s="213">
        <f t="shared" si="3"/>
        <v>22</v>
      </c>
      <c r="E29" s="254" t="s">
        <v>8</v>
      </c>
      <c r="F29" s="85"/>
      <c r="G29" s="203"/>
      <c r="H29" s="204"/>
      <c r="I29" s="205">
        <f>H29</f>
        <v>0</v>
      </c>
      <c r="K29" s="206"/>
      <c r="L29" s="207"/>
      <c r="M29" s="207"/>
      <c r="N29" s="207">
        <v>0.25</v>
      </c>
      <c r="O29" s="207">
        <v>0.75</v>
      </c>
    </row>
    <row r="30" spans="1:18" ht="6" customHeight="1" thickBot="1">
      <c r="A30" s="113"/>
      <c r="B30" s="159"/>
      <c r="C30" s="107"/>
      <c r="D30" s="208"/>
      <c r="E30" s="209"/>
      <c r="F30" s="209"/>
      <c r="G30" s="209"/>
      <c r="H30" s="209"/>
      <c r="I30" s="209"/>
      <c r="J30" s="209"/>
      <c r="K30" s="209"/>
      <c r="L30" s="209"/>
      <c r="M30" s="209"/>
      <c r="N30" s="209"/>
      <c r="O30" s="209"/>
      <c r="P30" s="108"/>
      <c r="Q30" s="108"/>
      <c r="R30" s="108"/>
    </row>
    <row r="31" spans="1:18" ht="18" customHeight="1" thickTop="1" thickBot="1">
      <c r="A31" s="106" t="str">
        <f>E31&amp;"&gt;&gt;&gt;"</f>
        <v>Fournisseurs 1&gt;&gt;&gt;</v>
      </c>
      <c r="B31" s="159" t="str">
        <f t="shared" ref="B31:B47" si="4">IF(LEFT(E31,5)="durée","durée","")&amp;A31</f>
        <v>Fournisseurs 1&gt;&gt;&gt;</v>
      </c>
      <c r="C31" s="107">
        <f t="shared" ref="C31:C47" si="5">(RIGHT(A31,3)="&gt;&gt;&gt;")*1</f>
        <v>1</v>
      </c>
      <c r="D31" s="108">
        <f t="shared" ref="D31:D47" si="6">ROW(D31)-ROW(D$6)-1</f>
        <v>24</v>
      </c>
      <c r="E31" s="210" t="s">
        <v>164</v>
      </c>
      <c r="F31" s="109"/>
      <c r="G31" s="110"/>
      <c r="H31" s="110"/>
      <c r="I31" s="111">
        <f ca="1">MAX(I32,I38)</f>
        <v>0</v>
      </c>
      <c r="K31" s="161">
        <f ca="1">MAX(K32,K38)</f>
        <v>0</v>
      </c>
      <c r="L31" s="161">
        <f ca="1">MAX(L32,L38)</f>
        <v>0</v>
      </c>
      <c r="M31" s="161">
        <f ca="1">MAX(M32,M38)</f>
        <v>0</v>
      </c>
      <c r="N31" s="161">
        <f ca="1">MAX(N32,N38)</f>
        <v>0</v>
      </c>
      <c r="O31" s="161">
        <f ca="1">MAX(O32,O38)</f>
        <v>0</v>
      </c>
    </row>
    <row r="32" spans="1:18" ht="21.75" customHeight="1" thickTop="1" thickBot="1">
      <c r="A32" s="113" t="str">
        <f t="shared" ref="A32:A47" ca="1" si="7">SUBSTITUTE(OFFSET(A32,-1,0),"&gt;&gt;&gt;","")</f>
        <v>Fournisseurs 1</v>
      </c>
      <c r="B32" s="159" t="str">
        <f t="shared" ca="1" si="4"/>
        <v>Fournisseurs 1</v>
      </c>
      <c r="C32" s="107">
        <f t="shared" ca="1" si="5"/>
        <v>0</v>
      </c>
      <c r="D32" s="196">
        <f t="shared" si="6"/>
        <v>25</v>
      </c>
      <c r="E32" s="580" t="s">
        <v>166</v>
      </c>
      <c r="F32" s="580"/>
      <c r="G32" s="580"/>
      <c r="H32" s="581"/>
      <c r="I32" s="223">
        <f>SUM(J32:O32)</f>
        <v>0</v>
      </c>
      <c r="J32" s="155"/>
      <c r="K32" s="197">
        <f>SUMPRODUCT($I33:$I37,K33:K37)</f>
        <v>0</v>
      </c>
      <c r="L32" s="197">
        <f>SUMPRODUCT($I33:$I37,L33:L37)</f>
        <v>0</v>
      </c>
      <c r="M32" s="197">
        <f>SUMPRODUCT($I33:$I37,M33:M37)</f>
        <v>0</v>
      </c>
      <c r="N32" s="197">
        <f>SUMPRODUCT($I33:$I37,N33:N37)</f>
        <v>0</v>
      </c>
      <c r="O32" s="197">
        <f>SUMPRODUCT($I33:$I37,O33:O37)</f>
        <v>0</v>
      </c>
    </row>
    <row r="33" spans="1:15" ht="46.5" customHeight="1">
      <c r="A33" s="113" t="str">
        <f t="shared" ca="1" si="7"/>
        <v>Fournisseurs 1</v>
      </c>
      <c r="B33" s="159" t="str">
        <f t="shared" ca="1" si="4"/>
        <v>Fournisseurs 1</v>
      </c>
      <c r="C33" s="107">
        <f t="shared" ca="1" si="5"/>
        <v>0</v>
      </c>
      <c r="D33" s="196">
        <f t="shared" si="6"/>
        <v>26</v>
      </c>
      <c r="E33" s="224" t="s">
        <v>28</v>
      </c>
      <c r="F33" s="156"/>
      <c r="G33" s="114"/>
      <c r="H33" s="170"/>
      <c r="I33" s="201">
        <f>H33</f>
        <v>0</v>
      </c>
      <c r="J33" s="86"/>
      <c r="K33" s="218">
        <v>0.2</v>
      </c>
      <c r="L33" s="202">
        <v>0.15</v>
      </c>
      <c r="M33" s="202">
        <v>0.25</v>
      </c>
      <c r="N33" s="202">
        <v>0.3</v>
      </c>
      <c r="O33" s="202">
        <v>0.1</v>
      </c>
    </row>
    <row r="34" spans="1:15" ht="19.5" customHeight="1">
      <c r="A34" s="113" t="str">
        <f t="shared" ca="1" si="7"/>
        <v>Fournisseurs 1</v>
      </c>
      <c r="B34" s="159" t="str">
        <f t="shared" ca="1" si="4"/>
        <v>Fournisseurs 1</v>
      </c>
      <c r="C34" s="107">
        <f t="shared" ca="1" si="5"/>
        <v>0</v>
      </c>
      <c r="D34" s="196">
        <f t="shared" si="6"/>
        <v>27</v>
      </c>
      <c r="E34" s="224" t="s">
        <v>29</v>
      </c>
      <c r="F34" s="156"/>
      <c r="G34" s="114"/>
      <c r="H34" s="170"/>
      <c r="I34" s="171">
        <f>H34</f>
        <v>0</v>
      </c>
      <c r="J34" s="155"/>
      <c r="K34" s="173"/>
      <c r="L34" s="172"/>
      <c r="M34" s="172"/>
      <c r="N34" s="172"/>
      <c r="O34" s="202">
        <v>1</v>
      </c>
    </row>
    <row r="35" spans="1:15" ht="19.5" customHeight="1">
      <c r="A35" s="113" t="str">
        <f t="shared" ca="1" si="7"/>
        <v>Fournisseurs 1</v>
      </c>
      <c r="B35" s="159" t="str">
        <f t="shared" ca="1" si="4"/>
        <v>Fournisseurs 1</v>
      </c>
      <c r="C35" s="107">
        <f t="shared" ca="1" si="5"/>
        <v>0</v>
      </c>
      <c r="D35" s="196">
        <f t="shared" si="6"/>
        <v>28</v>
      </c>
      <c r="E35" s="224" t="s">
        <v>30</v>
      </c>
      <c r="F35" s="156"/>
      <c r="G35" s="114"/>
      <c r="H35" s="170"/>
      <c r="I35" s="171">
        <f>H35</f>
        <v>0</v>
      </c>
      <c r="J35" s="155"/>
      <c r="K35" s="173"/>
      <c r="L35" s="172"/>
      <c r="M35" s="172"/>
      <c r="N35" s="172"/>
      <c r="O35" s="202">
        <v>1</v>
      </c>
    </row>
    <row r="36" spans="1:15" ht="19.5" customHeight="1" thickBot="1">
      <c r="A36" s="113" t="str">
        <f t="shared" ca="1" si="7"/>
        <v>Fournisseurs 1</v>
      </c>
      <c r="B36" s="159" t="str">
        <f t="shared" ca="1" si="4"/>
        <v>Fournisseurs 1</v>
      </c>
      <c r="C36" s="107">
        <f t="shared" ca="1" si="5"/>
        <v>0</v>
      </c>
      <c r="D36" s="196">
        <f t="shared" si="6"/>
        <v>29</v>
      </c>
      <c r="E36" s="224" t="s">
        <v>31</v>
      </c>
      <c r="F36" s="156"/>
      <c r="G36" s="114"/>
      <c r="H36" s="170"/>
      <c r="I36" s="171">
        <f>H36</f>
        <v>0</v>
      </c>
      <c r="J36" s="155"/>
      <c r="K36" s="173"/>
      <c r="L36" s="172"/>
      <c r="M36" s="172"/>
      <c r="N36" s="172"/>
      <c r="O36" s="202">
        <v>1</v>
      </c>
    </row>
    <row r="37" spans="1:15" ht="4.5" hidden="1" customHeight="1">
      <c r="A37" s="113" t="str">
        <f t="shared" ca="1" si="7"/>
        <v>Fournisseurs 1</v>
      </c>
      <c r="B37" s="159" t="str">
        <f t="shared" ca="1" si="4"/>
        <v>Fournisseurs 1</v>
      </c>
      <c r="C37" s="107">
        <f t="shared" ca="1" si="5"/>
        <v>0</v>
      </c>
      <c r="D37" s="108">
        <f t="shared" si="6"/>
        <v>30</v>
      </c>
      <c r="E37" s="166" t="s">
        <v>169</v>
      </c>
      <c r="F37" s="166"/>
      <c r="G37" s="166"/>
      <c r="H37" s="166"/>
      <c r="I37" s="167"/>
      <c r="J37" s="155"/>
      <c r="K37" s="168"/>
      <c r="L37" s="168"/>
      <c r="M37" s="168"/>
      <c r="N37" s="168"/>
      <c r="O37" s="169"/>
    </row>
    <row r="38" spans="1:15" ht="21.75" customHeight="1" thickBot="1">
      <c r="A38" s="213" t="str">
        <f t="shared" ca="1" si="7"/>
        <v>Fournisseurs 1</v>
      </c>
      <c r="B38" s="255" t="str">
        <f t="shared" ca="1" si="4"/>
        <v>Fournisseurs 1</v>
      </c>
      <c r="C38" s="213">
        <f t="shared" ca="1" si="5"/>
        <v>0</v>
      </c>
      <c r="D38" s="213">
        <f t="shared" si="6"/>
        <v>31</v>
      </c>
      <c r="E38" s="578" t="s">
        <v>168</v>
      </c>
      <c r="F38" s="579"/>
      <c r="G38" s="579"/>
      <c r="H38" s="225"/>
      <c r="I38" s="226">
        <f ca="1">SUMIF(OFFSET(A38,1,0):A$48,A38,OFFSET(I38,1,0):I$48)</f>
        <v>0</v>
      </c>
      <c r="K38" s="227">
        <f t="array" aca="1" ref="K38" ca="1">SUM(IF(OFFSET($A38,1,0):$A$48=SUBSTITUTE($A38,"&gt;&gt;&gt;",""),OFFSET($I38,1,0):$I$48*OFFSET(K38,1,0):K$48,0))</f>
        <v>0</v>
      </c>
      <c r="L38" s="227">
        <f t="array" aca="1" ref="L38" ca="1">SUM(IF(OFFSET($A38,1,0):$A$48=SUBSTITUTE($A38,"&gt;&gt;&gt;",""),OFFSET($I38,1,0):$I$48*OFFSET(L38,1,0):L$48,0))</f>
        <v>0</v>
      </c>
      <c r="M38" s="227">
        <f t="array" aca="1" ref="M38" ca="1">SUM(IF(OFFSET($A38,1,0):$A$48=SUBSTITUTE($A38,"&gt;&gt;&gt;",""),OFFSET($I38,1,0):$I$48*OFFSET(M38,1,0):M$48,0))</f>
        <v>0</v>
      </c>
      <c r="N38" s="227">
        <f t="array" aca="1" ref="N38" ca="1">SUM(IF(OFFSET($A38,1,0):$A$48=SUBSTITUTE($A38,"&gt;&gt;&gt;",""),OFFSET($I38,1,0):$I$48*OFFSET(N38,1,0):N$48,0))</f>
        <v>0</v>
      </c>
      <c r="O38" s="227">
        <f t="array" aca="1" ref="O38" ca="1">SUM(IF(OFFSET($A38,1,0):$A$48=SUBSTITUTE($A38,"&gt;&gt;&gt;",""),OFFSET($I38,1,0):$I$48*OFFSET(O38,1,0):O$48,0))</f>
        <v>0</v>
      </c>
    </row>
    <row r="39" spans="1:15" ht="25.5">
      <c r="A39" s="213" t="str">
        <f t="shared" ca="1" si="7"/>
        <v>Fournisseurs 1</v>
      </c>
      <c r="B39" s="255" t="str">
        <f t="shared" ca="1" si="4"/>
        <v>Fournisseurs 1</v>
      </c>
      <c r="C39" s="213">
        <f t="shared" ca="1" si="5"/>
        <v>0</v>
      </c>
      <c r="D39" s="213">
        <f t="shared" si="6"/>
        <v>32</v>
      </c>
      <c r="E39" s="244" t="s">
        <v>9</v>
      </c>
      <c r="F39" s="85"/>
      <c r="G39" s="114"/>
      <c r="H39" s="115"/>
      <c r="I39" s="151">
        <f>H39</f>
        <v>0</v>
      </c>
      <c r="K39" s="217">
        <v>1</v>
      </c>
      <c r="L39" s="597"/>
      <c r="M39" s="598"/>
      <c r="N39" s="598"/>
      <c r="O39" s="599"/>
    </row>
    <row r="40" spans="1:15" ht="39" thickBot="1">
      <c r="A40" s="213" t="str">
        <f t="shared" ca="1" si="7"/>
        <v>Fournisseurs 1</v>
      </c>
      <c r="B40" s="255" t="str">
        <f t="shared" ca="1" si="4"/>
        <v>Fournisseurs 1</v>
      </c>
      <c r="C40" s="213">
        <f t="shared" ca="1" si="5"/>
        <v>0</v>
      </c>
      <c r="D40" s="213">
        <f t="shared" si="6"/>
        <v>33</v>
      </c>
      <c r="E40" s="256" t="s">
        <v>10</v>
      </c>
      <c r="F40" s="85"/>
      <c r="G40" s="114"/>
      <c r="H40" s="115"/>
      <c r="I40" s="151">
        <f>H40</f>
        <v>0</v>
      </c>
      <c r="K40" s="217">
        <v>1</v>
      </c>
      <c r="L40" s="600"/>
      <c r="M40" s="601"/>
      <c r="N40" s="601"/>
      <c r="O40" s="602"/>
    </row>
    <row r="41" spans="1:15" ht="63.75">
      <c r="A41" s="213" t="str">
        <f t="shared" ca="1" si="7"/>
        <v>Fournisseurs 1</v>
      </c>
      <c r="B41" s="255" t="str">
        <f t="shared" ca="1" si="4"/>
        <v>Fournisseurs 1</v>
      </c>
      <c r="C41" s="213">
        <f t="shared" ca="1" si="5"/>
        <v>0</v>
      </c>
      <c r="D41" s="213">
        <f t="shared" si="6"/>
        <v>34</v>
      </c>
      <c r="E41" s="257" t="s">
        <v>17</v>
      </c>
      <c r="F41" s="85"/>
      <c r="G41" s="240"/>
      <c r="H41" s="115"/>
      <c r="I41" s="152">
        <f>G41*H41</f>
        <v>0</v>
      </c>
      <c r="K41" s="150"/>
      <c r="L41" s="160"/>
      <c r="M41" s="160">
        <v>0.2</v>
      </c>
      <c r="N41" s="160">
        <v>0.4</v>
      </c>
      <c r="O41" s="160">
        <v>0.4</v>
      </c>
    </row>
    <row r="42" spans="1:15" ht="25.5">
      <c r="A42" s="213" t="str">
        <f t="shared" ca="1" si="7"/>
        <v>Fournisseurs 1</v>
      </c>
      <c r="B42" s="255" t="str">
        <f t="shared" ca="1" si="4"/>
        <v>Fournisseurs 1</v>
      </c>
      <c r="C42" s="213">
        <f t="shared" ca="1" si="5"/>
        <v>0</v>
      </c>
      <c r="D42" s="213">
        <f t="shared" si="6"/>
        <v>35</v>
      </c>
      <c r="E42" s="258" t="s">
        <v>170</v>
      </c>
      <c r="F42" s="85"/>
      <c r="G42" s="114"/>
      <c r="H42" s="115"/>
      <c r="I42" s="151">
        <f>H42</f>
        <v>0</v>
      </c>
      <c r="K42" s="150"/>
      <c r="L42" s="160">
        <v>0.25</v>
      </c>
      <c r="M42" s="160">
        <v>0.25</v>
      </c>
      <c r="N42" s="160">
        <v>0.25</v>
      </c>
      <c r="O42" s="160">
        <v>0.25</v>
      </c>
    </row>
    <row r="43" spans="1:15" ht="51">
      <c r="A43" s="213" t="str">
        <f t="shared" ca="1" si="7"/>
        <v>Fournisseurs 1</v>
      </c>
      <c r="B43" s="255" t="str">
        <f t="shared" ca="1" si="4"/>
        <v>Fournisseurs 1</v>
      </c>
      <c r="C43" s="213">
        <f t="shared" ca="1" si="5"/>
        <v>0</v>
      </c>
      <c r="D43" s="213">
        <f t="shared" si="6"/>
        <v>36</v>
      </c>
      <c r="E43" s="257" t="s">
        <v>18</v>
      </c>
      <c r="F43" s="85"/>
      <c r="G43" s="240"/>
      <c r="H43" s="115"/>
      <c r="I43" s="152">
        <f>G43*H43</f>
        <v>0</v>
      </c>
      <c r="K43" s="150"/>
      <c r="L43" s="160">
        <v>0.25</v>
      </c>
      <c r="M43" s="160">
        <v>0.25</v>
      </c>
      <c r="N43" s="160">
        <v>0.25</v>
      </c>
      <c r="O43" s="160">
        <v>0.25</v>
      </c>
    </row>
    <row r="44" spans="1:15" ht="51">
      <c r="A44" s="213" t="str">
        <f t="shared" ca="1" si="7"/>
        <v>Fournisseurs 1</v>
      </c>
      <c r="B44" s="255" t="str">
        <f t="shared" ca="1" si="4"/>
        <v>Fournisseurs 1</v>
      </c>
      <c r="C44" s="213">
        <f t="shared" ca="1" si="5"/>
        <v>0</v>
      </c>
      <c r="D44" s="213">
        <f t="shared" si="6"/>
        <v>37</v>
      </c>
      <c r="E44" s="259" t="s">
        <v>19</v>
      </c>
      <c r="F44" s="156"/>
      <c r="G44" s="240"/>
      <c r="H44" s="115"/>
      <c r="I44" s="147">
        <f>G44*H44</f>
        <v>0</v>
      </c>
      <c r="J44" s="155"/>
      <c r="K44" s="150"/>
      <c r="L44" s="160"/>
      <c r="M44" s="160"/>
      <c r="N44" s="160"/>
      <c r="O44" s="160">
        <v>1</v>
      </c>
    </row>
    <row r="45" spans="1:15" ht="51">
      <c r="A45" s="213" t="str">
        <f t="shared" ca="1" si="7"/>
        <v>Fournisseurs 1</v>
      </c>
      <c r="B45" s="255" t="str">
        <f t="shared" ca="1" si="4"/>
        <v>Fournisseurs 1</v>
      </c>
      <c r="C45" s="213">
        <f t="shared" ca="1" si="5"/>
        <v>0</v>
      </c>
      <c r="D45" s="213">
        <f t="shared" si="6"/>
        <v>38</v>
      </c>
      <c r="E45" s="259" t="s">
        <v>20</v>
      </c>
      <c r="F45" s="156"/>
      <c r="G45" s="240"/>
      <c r="H45" s="115"/>
      <c r="I45" s="147">
        <f>G45*H45</f>
        <v>0</v>
      </c>
      <c r="J45" s="155"/>
      <c r="K45" s="150"/>
      <c r="L45" s="160"/>
      <c r="M45" s="160"/>
      <c r="N45" s="160"/>
      <c r="O45" s="160">
        <v>1</v>
      </c>
    </row>
    <row r="46" spans="1:15" ht="63.75">
      <c r="A46" s="213" t="str">
        <f t="shared" ca="1" si="7"/>
        <v>Fournisseurs 1</v>
      </c>
      <c r="B46" s="255" t="str">
        <f t="shared" ca="1" si="4"/>
        <v>Fournisseurs 1</v>
      </c>
      <c r="C46" s="213">
        <f t="shared" ca="1" si="5"/>
        <v>0</v>
      </c>
      <c r="D46" s="213">
        <f t="shared" si="6"/>
        <v>39</v>
      </c>
      <c r="E46" s="259" t="s">
        <v>21</v>
      </c>
      <c r="F46" s="156"/>
      <c r="G46" s="240"/>
      <c r="H46" s="115"/>
      <c r="I46" s="147">
        <f>G46*H46</f>
        <v>0</v>
      </c>
      <c r="J46" s="155"/>
      <c r="K46" s="150"/>
      <c r="L46" s="160"/>
      <c r="M46" s="160"/>
      <c r="N46" s="160"/>
      <c r="O46" s="160">
        <v>1</v>
      </c>
    </row>
    <row r="47" spans="1:15" ht="57" customHeight="1">
      <c r="A47" s="213" t="str">
        <f t="shared" ca="1" si="7"/>
        <v>Fournisseurs 1</v>
      </c>
      <c r="B47" s="255" t="str">
        <f t="shared" ca="1" si="4"/>
        <v>Fournisseurs 1</v>
      </c>
      <c r="C47" s="213">
        <f t="shared" ca="1" si="5"/>
        <v>0</v>
      </c>
      <c r="D47" s="213">
        <f t="shared" si="6"/>
        <v>40</v>
      </c>
      <c r="E47" s="259" t="s">
        <v>22</v>
      </c>
      <c r="F47" s="156"/>
      <c r="G47" s="240"/>
      <c r="H47" s="115"/>
      <c r="I47" s="147">
        <f>G47*H47</f>
        <v>0</v>
      </c>
      <c r="J47" s="155"/>
      <c r="K47" s="150"/>
      <c r="L47" s="160"/>
      <c r="M47" s="160"/>
      <c r="N47" s="160"/>
      <c r="O47" s="160">
        <v>1</v>
      </c>
    </row>
    <row r="48" spans="1:15" s="119" customFormat="1" ht="5.25" customHeight="1">
      <c r="B48" s="118"/>
      <c r="D48" s="103"/>
      <c r="E48" s="117"/>
      <c r="F48" s="118"/>
      <c r="G48" s="117"/>
      <c r="H48" s="117"/>
      <c r="I48" s="117"/>
      <c r="K48" s="117"/>
      <c r="L48" s="117"/>
      <c r="M48" s="117"/>
      <c r="N48" s="117"/>
      <c r="O48" s="117"/>
    </row>
    <row r="49" spans="5:16">
      <c r="E49" s="120" t="s">
        <v>157</v>
      </c>
      <c r="I49" s="120" t="s">
        <v>157</v>
      </c>
      <c r="P49" s="120" t="s">
        <v>158</v>
      </c>
    </row>
  </sheetData>
  <customSheetViews>
    <customSheetView guid="{98F7EBC4-E110-4841-A2DB-2D2637E925A0}" scale="85" showGridLines="0" fitToPage="1" hiddenRows="1" hiddenColumns="1">
      <pane xSplit="5" ySplit="6" topLeftCell="G7" activePane="bottomRight" state="frozen"/>
      <selection pane="bottomRight" activeCell="B16" sqref="B16"/>
      <pageMargins left="0.78740157480314965" right="0.42" top="0.67" bottom="0.55118110236220474" header="0.31496062992125984" footer="0.27559055118110237"/>
      <printOptions horizontalCentered="1"/>
      <pageSetup paperSize="9" scale="74" fitToHeight="0" orientation="landscape" r:id="rId1"/>
      <headerFooter alignWithMargins="0">
        <oddHeader>&amp;L&amp;"Arial,Gras"Capgemini Sud&amp;C&amp;"Arial,Gras"&amp;11Estimation des charges
de gestions des partenaires&amp;R&amp;"Arial,Gras"Avant-vente</oddHeader>
        <oddFooter>&amp;L&amp;8&amp;F - &amp;D - &amp;T&amp;CInterne Capgemini
&amp;8Tous droits réservés&amp;R&amp;"Arial,Gras"&amp;9Page &amp;P / &amp;N</oddFooter>
      </headerFooter>
    </customSheetView>
  </customSheetViews>
  <mergeCells count="23">
    <mergeCell ref="Q12:T12"/>
    <mergeCell ref="M13:M14"/>
    <mergeCell ref="N13:N14"/>
    <mergeCell ref="O13:O14"/>
    <mergeCell ref="K13:K14"/>
    <mergeCell ref="L13:L14"/>
    <mergeCell ref="L5:O5"/>
    <mergeCell ref="I4:J4"/>
    <mergeCell ref="K21:O21"/>
    <mergeCell ref="L39:O40"/>
    <mergeCell ref="L16:O20"/>
    <mergeCell ref="I13:I14"/>
    <mergeCell ref="E1:G2"/>
    <mergeCell ref="H1:J1"/>
    <mergeCell ref="E38:G38"/>
    <mergeCell ref="E12:H12"/>
    <mergeCell ref="E8:H8"/>
    <mergeCell ref="E15:G15"/>
    <mergeCell ref="E32:H32"/>
    <mergeCell ref="H13:H14"/>
    <mergeCell ref="H2:J2"/>
    <mergeCell ref="E4:E5"/>
    <mergeCell ref="I5:J5"/>
  </mergeCells>
  <phoneticPr fontId="0" type="noConversion"/>
  <conditionalFormatting sqref="L41:O47 L34:N36 L22:O29">
    <cfRule type="expression" dxfId="16" priority="1" stopIfTrue="1">
      <formula>SUM($L22:$O22)&lt;&gt;100%</formula>
    </cfRule>
    <cfRule type="expression" dxfId="15" priority="2" stopIfTrue="1">
      <formula>L22</formula>
    </cfRule>
  </conditionalFormatting>
  <conditionalFormatting sqref="E31:E36 E11:E29 E38:E47 E8:E9">
    <cfRule type="expression" dxfId="14" priority="3" stopIfTrue="1">
      <formula>A8=""</formula>
    </cfRule>
  </conditionalFormatting>
  <conditionalFormatting sqref="Q13:T13">
    <cfRule type="expression" dxfId="13" priority="4" stopIfTrue="1">
      <formula>$G14=Q13</formula>
    </cfRule>
  </conditionalFormatting>
  <conditionalFormatting sqref="Q14:T14">
    <cfRule type="expression" dxfId="12" priority="5" stopIfTrue="1">
      <formula>Q14=$H13</formula>
    </cfRule>
  </conditionalFormatting>
  <conditionalFormatting sqref="G19:H20 G24:H27 G9:H9 G41:H41 G43:H47">
    <cfRule type="expression" dxfId="11" priority="6" stopIfTrue="1">
      <formula>AND(OR($H9&lt;&gt;"",$G9&lt;&gt;""),$H9*$G9=0)*(G9="")</formula>
    </cfRule>
  </conditionalFormatting>
  <conditionalFormatting sqref="K13:O14 K33:O33 O34:O36">
    <cfRule type="expression" dxfId="10" priority="7" stopIfTrue="1">
      <formula>SUM($K13:$O13)&lt;&gt;100%</formula>
    </cfRule>
    <cfRule type="expression" dxfId="9" priority="8" stopIfTrue="1">
      <formula>K13</formula>
    </cfRule>
  </conditionalFormatting>
  <conditionalFormatting sqref="K39:O40 L21:O21 K9:O9 K7:O7 K41:K47 K16:K29 K34:K36">
    <cfRule type="expression" dxfId="8" priority="9" stopIfTrue="1">
      <formula>K7</formula>
    </cfRule>
  </conditionalFormatting>
  <conditionalFormatting sqref="G28:H29 F37 G21:H23 G33:H37 G16:H18">
    <cfRule type="expression" dxfId="7" priority="10" stopIfTrue="1">
      <formula>AND(F16&lt;&gt;"",NOT(ISNUMBER(F16)))</formula>
    </cfRule>
  </conditionalFormatting>
  <conditionalFormatting sqref="K15">
    <cfRule type="cellIs" dxfId="6" priority="11" stopIfTrue="1" operator="notBetween">
      <formula>#REF!*0.95</formula>
      <formula>#REF!*1.05</formula>
    </cfRule>
  </conditionalFormatting>
  <conditionalFormatting sqref="L15:O15 K38:O38">
    <cfRule type="cellIs" dxfId="5" priority="12" stopIfTrue="1" operator="notBetween">
      <formula>#REF!*0.95</formula>
      <formula>#REF!*1.05</formula>
    </cfRule>
  </conditionalFormatting>
  <conditionalFormatting sqref="K2">
    <cfRule type="expression" dxfId="4" priority="13" stopIfTrue="1">
      <formula>"K2="""""</formula>
    </cfRule>
  </conditionalFormatting>
  <conditionalFormatting sqref="H13:H14">
    <cfRule type="expression" dxfId="3" priority="14" stopIfTrue="1">
      <formula>OR(ABS(H13-H15)&gt;5%,H13=0)</formula>
    </cfRule>
  </conditionalFormatting>
  <conditionalFormatting sqref="H15">
    <cfRule type="expression" dxfId="2" priority="15" stopIfTrue="1">
      <formula>OR(ABS(H13-H15)&gt;5%,H15=0)</formula>
    </cfRule>
  </conditionalFormatting>
  <dataValidations count="2">
    <dataValidation type="list" showInputMessage="1" showErrorMessage="1" sqref="G14">
      <formula1>$Q$13:$T$13</formula1>
    </dataValidation>
    <dataValidation type="custom" errorStyle="warning" allowBlank="1" showInputMessage="1" showErrorMessage="1" errorTitle="Cellule calculée" error="Annulez" promptTitle="Cellule calculée" prompt="Ne pas effacer" sqref="K4:O6 K11:O12 K38:O38 I38:I47 J32:N32 K31:O31 I31:I36 I22:I29 I16:I20 K15:O15 H13:I15 I11:I12 K8:O8 I8:I9 G21">
      <formula1>LEFT(G4,1)="="</formula1>
    </dataValidation>
  </dataValidations>
  <printOptions horizontalCentered="1"/>
  <pageMargins left="0.78740157480314965" right="0.42" top="0.67" bottom="0.55118110236220474" header="0.31496062992125984" footer="0.27559055118110237"/>
  <pageSetup paperSize="9" scale="74" fitToHeight="0" orientation="landscape" r:id="rId2"/>
  <headerFooter alignWithMargins="0">
    <oddHeader>&amp;L&amp;"Arial,Gras"Capgemini Sud&amp;C&amp;"Arial,Gras"&amp;11Estimation des charges
de gestions des partenaires&amp;R&amp;"Arial,Gras"Avant-vente</oddHeader>
    <oddFooter>&amp;L&amp;8&amp;F - &amp;D - &amp;T&amp;CInterne Capgemini
&amp;8Tous droits réservés&amp;R&amp;"Arial,Gras"&amp;9Page &amp;P / &amp;N</oddFooter>
  </headerFooter>
  <drawing r:id="rId3"/>
  <legacyDrawing r:id="rId4"/>
</worksheet>
</file>

<file path=xl/worksheets/sheet4.xml><?xml version="1.0" encoding="utf-8"?>
<worksheet xmlns="http://schemas.openxmlformats.org/spreadsheetml/2006/main" xmlns:r="http://schemas.openxmlformats.org/officeDocument/2006/relationships">
  <sheetPr codeName="Feuil4" enableFormatConditionsCalculation="0">
    <tabColor indexed="44"/>
  </sheetPr>
  <dimension ref="A1:G12"/>
  <sheetViews>
    <sheetView showGridLines="0" zoomScale="95" workbookViewId="0">
      <selection activeCell="D16" sqref="D16"/>
    </sheetView>
  </sheetViews>
  <sheetFormatPr defaultColWidth="11.42578125" defaultRowHeight="12.75"/>
  <cols>
    <col min="1" max="1" width="34.85546875" customWidth="1"/>
    <col min="2" max="6" width="21.42578125" customWidth="1"/>
    <col min="7" max="7" width="8.140625" customWidth="1"/>
  </cols>
  <sheetData>
    <row r="1" spans="1:7" ht="20.25" customHeight="1" thickBot="1">
      <c r="A1" s="16" t="s">
        <v>82</v>
      </c>
    </row>
    <row r="2" spans="1:7" ht="33.75" customHeight="1">
      <c r="A2" s="15" t="s">
        <v>35</v>
      </c>
      <c r="B2" s="9" t="s">
        <v>76</v>
      </c>
      <c r="C2" s="5"/>
      <c r="E2" s="5" t="s">
        <v>85</v>
      </c>
      <c r="F2" s="5"/>
      <c r="G2" s="4"/>
    </row>
    <row r="3" spans="1:7" ht="33.75" customHeight="1">
      <c r="A3" s="14" t="s">
        <v>44</v>
      </c>
      <c r="B3" s="10" t="s">
        <v>76</v>
      </c>
      <c r="C3" s="5"/>
      <c r="D3" s="623" t="s">
        <v>86</v>
      </c>
      <c r="E3" s="623"/>
      <c r="F3" s="623"/>
      <c r="G3" s="4"/>
    </row>
    <row r="4" spans="1:7" ht="33.75" customHeight="1">
      <c r="A4" s="14" t="s">
        <v>36</v>
      </c>
      <c r="B4" s="11" t="s">
        <v>75</v>
      </c>
      <c r="C4" s="8" t="s">
        <v>79</v>
      </c>
      <c r="D4" s="5"/>
      <c r="E4" s="5"/>
      <c r="F4" s="5"/>
      <c r="G4" s="4"/>
    </row>
    <row r="5" spans="1:7" ht="33.75" customHeight="1">
      <c r="A5" s="14" t="s">
        <v>37</v>
      </c>
      <c r="B5" s="10" t="s">
        <v>77</v>
      </c>
      <c r="C5" s="8" t="s">
        <v>79</v>
      </c>
      <c r="D5" s="8" t="s">
        <v>84</v>
      </c>
      <c r="E5" s="5"/>
      <c r="F5" s="5"/>
      <c r="G5" s="4"/>
    </row>
    <row r="6" spans="1:7" ht="33.75" customHeight="1">
      <c r="A6" s="14" t="s">
        <v>38</v>
      </c>
      <c r="B6" s="10" t="s">
        <v>78</v>
      </c>
      <c r="C6" s="8" t="s">
        <v>79</v>
      </c>
      <c r="D6" s="6" t="s">
        <v>75</v>
      </c>
      <c r="E6" s="5"/>
      <c r="F6" s="5"/>
      <c r="G6" s="4"/>
    </row>
    <row r="7" spans="1:7" ht="33.75" customHeight="1">
      <c r="A7" s="14" t="s">
        <v>39</v>
      </c>
      <c r="B7" s="10" t="s">
        <v>77</v>
      </c>
      <c r="C7" s="6" t="s">
        <v>75</v>
      </c>
      <c r="D7" s="6" t="s">
        <v>75</v>
      </c>
      <c r="E7" s="5"/>
      <c r="F7" s="5"/>
      <c r="G7" s="4"/>
    </row>
    <row r="8" spans="1:7" ht="33.75" customHeight="1">
      <c r="A8" s="14" t="s">
        <v>81</v>
      </c>
      <c r="B8" s="10" t="s">
        <v>77</v>
      </c>
      <c r="C8" s="6" t="s">
        <v>75</v>
      </c>
      <c r="D8" s="6" t="s">
        <v>75</v>
      </c>
      <c r="E8" s="7" t="s">
        <v>77</v>
      </c>
      <c r="F8" s="5"/>
      <c r="G8" s="4"/>
    </row>
    <row r="9" spans="1:7" ht="33.75" customHeight="1">
      <c r="A9" s="14" t="s">
        <v>66</v>
      </c>
      <c r="B9" s="10" t="s">
        <v>77</v>
      </c>
      <c r="C9" s="6" t="s">
        <v>75</v>
      </c>
      <c r="D9" s="6" t="s">
        <v>75</v>
      </c>
      <c r="E9" s="7" t="s">
        <v>77</v>
      </c>
      <c r="F9" s="7" t="s">
        <v>77</v>
      </c>
      <c r="G9" s="4"/>
    </row>
    <row r="10" spans="1:7" ht="33.75" customHeight="1">
      <c r="A10" s="14" t="s">
        <v>41</v>
      </c>
      <c r="B10" s="10" t="s">
        <v>77</v>
      </c>
      <c r="C10" s="6" t="s">
        <v>75</v>
      </c>
      <c r="D10" s="6" t="s">
        <v>75</v>
      </c>
      <c r="E10" s="6" t="s">
        <v>75</v>
      </c>
      <c r="F10" s="6" t="s">
        <v>75</v>
      </c>
      <c r="G10" s="4"/>
    </row>
    <row r="11" spans="1:7" ht="45" customHeight="1" thickBot="1">
      <c r="B11" s="17" t="s">
        <v>34</v>
      </c>
      <c r="C11" s="17" t="s">
        <v>44</v>
      </c>
      <c r="D11" s="17" t="s">
        <v>36</v>
      </c>
      <c r="E11" s="17" t="s">
        <v>39</v>
      </c>
      <c r="F11" s="17" t="s">
        <v>81</v>
      </c>
      <c r="G11" s="4"/>
    </row>
    <row r="12" spans="1:7" ht="18" customHeight="1" thickBot="1">
      <c r="B12" s="620" t="s">
        <v>83</v>
      </c>
      <c r="C12" s="621"/>
      <c r="D12" s="621"/>
      <c r="E12" s="621"/>
      <c r="F12" s="622"/>
    </row>
  </sheetData>
  <customSheetViews>
    <customSheetView guid="{98F7EBC4-E110-4841-A2DB-2D2637E925A0}" scale="95" showGridLines="0" state="hidden">
      <selection activeCell="D16" sqref="D16"/>
      <pageMargins left="0.78740157499999996" right="0.78740157499999996" top="0.984251969" bottom="0.984251969" header="0.4921259845" footer="0.4921259845"/>
      <headerFooter alignWithMargins="0"/>
    </customSheetView>
  </customSheetViews>
  <mergeCells count="2">
    <mergeCell ref="B12:F12"/>
    <mergeCell ref="D3:F3"/>
  </mergeCells>
  <phoneticPr fontId="3" type="noConversion"/>
  <conditionalFormatting sqref="B2:C10 E2:F2 D4:F10">
    <cfRule type="cellIs" dxfId="1" priority="1" stopIfTrue="1" operator="equal">
      <formula>"i"</formula>
    </cfRule>
  </conditionalFormatting>
  <dataValidations xWindow="43" yWindow="507" count="1">
    <dataValidation type="custom" errorStyle="warning" showInputMessage="1" showErrorMessage="1" errorTitle="Liste prédéfinie" error="Annuler" promptTitle="Liste prédéfinie" prompt="Ne pas modifier sans coordination avec les coachs et l'EPG" sqref="B11:F11 A2:A10">
      <formula1>LEFT(A2,1)="="</formula1>
    </dataValidation>
  </dataValidations>
  <pageMargins left="0.78740157499999996" right="0.78740157499999996" top="0.984251969" bottom="0.984251969" header="0.4921259845" footer="0.4921259845"/>
  <headerFooter alignWithMargins="0"/>
  <legacyDrawing r:id="rId1"/>
</worksheet>
</file>

<file path=xl/worksheets/sheet5.xml><?xml version="1.0" encoding="utf-8"?>
<worksheet xmlns="http://schemas.openxmlformats.org/spreadsheetml/2006/main" xmlns:r="http://schemas.openxmlformats.org/officeDocument/2006/relationships">
  <sheetPr codeName="Feuil5" enableFormatConditionsCalculation="0">
    <tabColor indexed="44"/>
  </sheetPr>
  <dimension ref="A1:N13"/>
  <sheetViews>
    <sheetView showGridLines="0" zoomScale="75" workbookViewId="0">
      <selection activeCell="A13" sqref="A13"/>
    </sheetView>
  </sheetViews>
  <sheetFormatPr defaultColWidth="11.42578125" defaultRowHeight="12.75"/>
  <cols>
    <col min="1" max="1" width="32.42578125" customWidth="1"/>
    <col min="2" max="13" width="12.5703125" customWidth="1"/>
    <col min="14" max="14" width="8.140625" customWidth="1"/>
  </cols>
  <sheetData>
    <row r="1" spans="1:14" ht="30" customHeight="1">
      <c r="A1" s="3" t="s">
        <v>35</v>
      </c>
      <c r="B1" s="9" t="s">
        <v>76</v>
      </c>
      <c r="C1" s="5"/>
      <c r="D1" s="5"/>
      <c r="E1" s="5"/>
      <c r="F1" s="5"/>
      <c r="G1" s="5"/>
      <c r="H1" s="5"/>
      <c r="I1" s="5"/>
      <c r="J1" s="5"/>
      <c r="K1" s="5"/>
      <c r="L1" s="5"/>
      <c r="M1" s="5"/>
      <c r="N1" s="4"/>
    </row>
    <row r="2" spans="1:14" ht="30" customHeight="1">
      <c r="A2" s="3" t="s">
        <v>44</v>
      </c>
      <c r="B2" s="10" t="s">
        <v>77</v>
      </c>
      <c r="C2" s="6" t="s">
        <v>75</v>
      </c>
      <c r="D2" s="5"/>
      <c r="E2" s="5"/>
      <c r="F2" s="5"/>
      <c r="G2" s="5"/>
      <c r="H2" s="5"/>
      <c r="I2" s="5"/>
      <c r="J2" s="5"/>
      <c r="K2" s="5"/>
      <c r="L2" s="5"/>
      <c r="M2" s="5"/>
      <c r="N2" s="4"/>
    </row>
    <row r="3" spans="1:14" ht="30" customHeight="1">
      <c r="A3" s="3" t="s">
        <v>36</v>
      </c>
      <c r="B3" s="11" t="s">
        <v>75</v>
      </c>
      <c r="C3" s="6" t="s">
        <v>75</v>
      </c>
      <c r="D3" s="8" t="s">
        <v>79</v>
      </c>
      <c r="E3" s="5"/>
      <c r="F3" s="5"/>
      <c r="G3" s="5"/>
      <c r="H3" s="5"/>
      <c r="I3" s="5"/>
      <c r="J3" s="5"/>
      <c r="K3" s="5"/>
      <c r="L3" s="5"/>
      <c r="M3" s="5"/>
      <c r="N3" s="4"/>
    </row>
    <row r="4" spans="1:14" ht="30" customHeight="1">
      <c r="A4" s="3" t="s">
        <v>37</v>
      </c>
      <c r="B4" s="10" t="s">
        <v>77</v>
      </c>
      <c r="C4" s="6" t="s">
        <v>75</v>
      </c>
      <c r="D4" s="8" t="s">
        <v>79</v>
      </c>
      <c r="E4" s="8" t="s">
        <v>79</v>
      </c>
      <c r="F4" s="5"/>
      <c r="G4" s="5"/>
      <c r="H4" s="5"/>
      <c r="I4" s="5"/>
      <c r="J4" s="5"/>
      <c r="K4" s="5"/>
      <c r="L4" s="5"/>
      <c r="M4" s="5"/>
      <c r="N4" s="4"/>
    </row>
    <row r="5" spans="1:14" ht="30" customHeight="1">
      <c r="A5" s="3" t="s">
        <v>38</v>
      </c>
      <c r="B5" s="10" t="s">
        <v>78</v>
      </c>
      <c r="C5" s="6" t="s">
        <v>75</v>
      </c>
      <c r="D5" s="8" t="s">
        <v>79</v>
      </c>
      <c r="E5" s="8" t="s">
        <v>79</v>
      </c>
      <c r="F5" s="6" t="s">
        <v>75</v>
      </c>
      <c r="G5" s="5"/>
      <c r="H5" s="5"/>
      <c r="I5" s="5"/>
      <c r="J5" s="5"/>
      <c r="K5" s="5"/>
      <c r="L5" s="5"/>
      <c r="M5" s="5"/>
      <c r="N5" s="4"/>
    </row>
    <row r="6" spans="1:14" ht="30" customHeight="1">
      <c r="A6" s="3" t="s">
        <v>39</v>
      </c>
      <c r="B6" s="10" t="s">
        <v>77</v>
      </c>
      <c r="C6" s="6" t="s">
        <v>75</v>
      </c>
      <c r="D6" s="6" t="s">
        <v>75</v>
      </c>
      <c r="E6" s="6" t="s">
        <v>75</v>
      </c>
      <c r="F6" s="6" t="s">
        <v>75</v>
      </c>
      <c r="G6" s="6" t="s">
        <v>75</v>
      </c>
      <c r="H6" s="5"/>
      <c r="I6" s="5"/>
      <c r="J6" s="5"/>
      <c r="K6" s="5"/>
      <c r="L6" s="5"/>
      <c r="M6" s="5"/>
      <c r="N6" s="4"/>
    </row>
    <row r="7" spans="1:14" ht="30" customHeight="1">
      <c r="A7" s="12" t="s">
        <v>40</v>
      </c>
      <c r="B7" s="11" t="s">
        <v>75</v>
      </c>
      <c r="C7" s="6" t="s">
        <v>75</v>
      </c>
      <c r="D7" s="6" t="s">
        <v>75</v>
      </c>
      <c r="E7" s="6" t="s">
        <v>75</v>
      </c>
      <c r="F7" s="6" t="s">
        <v>75</v>
      </c>
      <c r="G7" s="6" t="s">
        <v>75</v>
      </c>
      <c r="H7" s="6" t="s">
        <v>75</v>
      </c>
      <c r="I7" s="5"/>
      <c r="J7" s="5"/>
      <c r="K7" s="5"/>
      <c r="L7" s="5"/>
      <c r="M7" s="5"/>
      <c r="N7" s="4"/>
    </row>
    <row r="8" spans="1:14" ht="30" customHeight="1">
      <c r="A8" s="12" t="s">
        <v>74</v>
      </c>
      <c r="B8" s="11" t="s">
        <v>75</v>
      </c>
      <c r="C8" s="6" t="s">
        <v>75</v>
      </c>
      <c r="D8" s="6" t="s">
        <v>75</v>
      </c>
      <c r="E8" s="6" t="s">
        <v>75</v>
      </c>
      <c r="F8" s="6" t="s">
        <v>75</v>
      </c>
      <c r="G8" s="6" t="s">
        <v>75</v>
      </c>
      <c r="H8" s="6" t="s">
        <v>75</v>
      </c>
      <c r="I8" s="6" t="s">
        <v>75</v>
      </c>
      <c r="J8" s="5"/>
      <c r="K8" s="5"/>
      <c r="L8" s="5"/>
      <c r="M8" s="5"/>
      <c r="N8" s="4"/>
    </row>
    <row r="9" spans="1:14" ht="30" customHeight="1">
      <c r="A9" s="3" t="s">
        <v>65</v>
      </c>
      <c r="B9" s="10" t="s">
        <v>77</v>
      </c>
      <c r="C9" s="6" t="s">
        <v>75</v>
      </c>
      <c r="D9" s="6" t="s">
        <v>75</v>
      </c>
      <c r="E9" s="6" t="s">
        <v>75</v>
      </c>
      <c r="F9" s="6" t="s">
        <v>75</v>
      </c>
      <c r="G9" s="6" t="s">
        <v>75</v>
      </c>
      <c r="H9" s="7" t="s">
        <v>77</v>
      </c>
      <c r="I9" s="6" t="s">
        <v>75</v>
      </c>
      <c r="J9" s="6" t="s">
        <v>75</v>
      </c>
      <c r="K9" s="5"/>
      <c r="L9" s="5"/>
      <c r="M9" s="5"/>
      <c r="N9" s="4"/>
    </row>
    <row r="10" spans="1:14" ht="30" customHeight="1">
      <c r="A10" s="3" t="s">
        <v>66</v>
      </c>
      <c r="B10" s="10" t="s">
        <v>77</v>
      </c>
      <c r="C10" s="6" t="s">
        <v>75</v>
      </c>
      <c r="D10" s="6" t="s">
        <v>75</v>
      </c>
      <c r="E10" s="6" t="s">
        <v>75</v>
      </c>
      <c r="F10" s="6" t="s">
        <v>75</v>
      </c>
      <c r="G10" s="6" t="s">
        <v>75</v>
      </c>
      <c r="H10" s="7" t="s">
        <v>77</v>
      </c>
      <c r="I10" s="6" t="s">
        <v>75</v>
      </c>
      <c r="J10" s="6" t="s">
        <v>75</v>
      </c>
      <c r="K10" s="7" t="s">
        <v>77</v>
      </c>
      <c r="L10" s="5"/>
      <c r="M10" s="5"/>
      <c r="N10" s="4"/>
    </row>
    <row r="11" spans="1:14" ht="30" customHeight="1">
      <c r="A11" s="12" t="s">
        <v>42</v>
      </c>
      <c r="B11" s="11" t="s">
        <v>75</v>
      </c>
      <c r="C11" s="6" t="s">
        <v>75</v>
      </c>
      <c r="D11" s="6" t="s">
        <v>75</v>
      </c>
      <c r="E11" s="6" t="s">
        <v>75</v>
      </c>
      <c r="F11" s="6" t="s">
        <v>75</v>
      </c>
      <c r="G11" s="6" t="s">
        <v>75</v>
      </c>
      <c r="H11" s="6" t="s">
        <v>75</v>
      </c>
      <c r="I11" s="6" t="s">
        <v>75</v>
      </c>
      <c r="J11" s="6" t="s">
        <v>75</v>
      </c>
      <c r="K11" s="6" t="s">
        <v>75</v>
      </c>
      <c r="L11" s="6" t="s">
        <v>75</v>
      </c>
      <c r="M11" s="5"/>
      <c r="N11" s="4"/>
    </row>
    <row r="12" spans="1:14" ht="30" customHeight="1">
      <c r="A12" s="3" t="s">
        <v>41</v>
      </c>
      <c r="B12" s="10" t="s">
        <v>77</v>
      </c>
      <c r="C12" s="6" t="s">
        <v>75</v>
      </c>
      <c r="D12" s="6" t="s">
        <v>75</v>
      </c>
      <c r="E12" s="6" t="s">
        <v>75</v>
      </c>
      <c r="F12" s="6" t="s">
        <v>75</v>
      </c>
      <c r="G12" s="6" t="s">
        <v>75</v>
      </c>
      <c r="H12" s="6" t="s">
        <v>75</v>
      </c>
      <c r="I12" s="6" t="s">
        <v>75</v>
      </c>
      <c r="J12" s="6" t="s">
        <v>75</v>
      </c>
      <c r="K12" s="6" t="s">
        <v>75</v>
      </c>
      <c r="L12" s="6" t="s">
        <v>75</v>
      </c>
      <c r="M12" s="6" t="s">
        <v>75</v>
      </c>
      <c r="N12" s="4"/>
    </row>
    <row r="13" spans="1:14" ht="138.75" customHeight="1">
      <c r="B13" s="2" t="s">
        <v>34</v>
      </c>
      <c r="C13" s="13" t="s">
        <v>35</v>
      </c>
      <c r="D13" s="2" t="s">
        <v>44</v>
      </c>
      <c r="E13" s="2" t="s">
        <v>36</v>
      </c>
      <c r="F13" s="13" t="s">
        <v>37</v>
      </c>
      <c r="G13" s="13" t="s">
        <v>38</v>
      </c>
      <c r="H13" s="2" t="s">
        <v>39</v>
      </c>
      <c r="I13" s="13" t="s">
        <v>40</v>
      </c>
      <c r="J13" s="13" t="s">
        <v>74</v>
      </c>
      <c r="K13" s="2" t="s">
        <v>80</v>
      </c>
      <c r="L13" s="13" t="s">
        <v>66</v>
      </c>
      <c r="M13" s="13" t="s">
        <v>42</v>
      </c>
      <c r="N13" s="4"/>
    </row>
  </sheetData>
  <customSheetViews>
    <customSheetView guid="{98F7EBC4-E110-4841-A2DB-2D2637E925A0}" scale="75" showGridLines="0" state="hidden">
      <selection activeCell="A13" sqref="A13"/>
      <pageMargins left="0.78740157499999996" right="0.78740157499999996" top="0.984251969" bottom="0.984251969" header="0.4921259845" footer="0.4921259845"/>
      <headerFooter alignWithMargins="0"/>
    </customSheetView>
  </customSheetViews>
  <phoneticPr fontId="3" type="noConversion"/>
  <conditionalFormatting sqref="B1:M12">
    <cfRule type="cellIs" dxfId="0" priority="1" stopIfTrue="1" operator="equal">
      <formula>"i"</formula>
    </cfRule>
  </conditionalFormatting>
  <dataValidations xWindow="43" yWindow="507" count="1">
    <dataValidation type="custom" errorStyle="warning" showInputMessage="1" showErrorMessage="1" errorTitle="Liste prédéfinie" error="Annuler" promptTitle="Liste prédéfinie" prompt="Ne pas modifier sans coordination avec les coachs et l'EPG" sqref="B13:M13 A1:A12">
      <formula1>LEFT(A1,1)="="</formula1>
    </dataValidation>
  </dataValidations>
  <pageMargins left="0.78740157499999996" right="0.78740157499999996" top="0.984251969" bottom="0.984251969" header="0.4921259845" footer="0.4921259845"/>
  <headerFooter alignWithMargins="0"/>
  <legacyDrawing r:id="rId1"/>
</worksheet>
</file>

<file path=xl/worksheets/sheet6.xml><?xml version="1.0" encoding="utf-8"?>
<worksheet xmlns="http://schemas.openxmlformats.org/spreadsheetml/2006/main" xmlns:r="http://schemas.openxmlformats.org/officeDocument/2006/relationships">
  <sheetPr codeName="Feuil3" enableFormatConditionsCalculation="0">
    <tabColor indexed="55"/>
  </sheetPr>
  <dimension ref="B1:B16"/>
  <sheetViews>
    <sheetView showGridLines="0" workbookViewId="0">
      <selection activeCell="B32" sqref="B32"/>
    </sheetView>
  </sheetViews>
  <sheetFormatPr defaultColWidth="11.42578125" defaultRowHeight="12.75"/>
  <cols>
    <col min="2" max="2" width="32.7109375" customWidth="1"/>
  </cols>
  <sheetData>
    <row r="1" spans="2:2">
      <c r="B1" s="23" t="s">
        <v>110</v>
      </c>
    </row>
    <row r="2" spans="2:2">
      <c r="B2" s="24" t="s">
        <v>97</v>
      </c>
    </row>
    <row r="3" spans="2:2">
      <c r="B3" s="24" t="s">
        <v>102</v>
      </c>
    </row>
    <row r="4" spans="2:2">
      <c r="B4" s="24" t="s">
        <v>96</v>
      </c>
    </row>
    <row r="5" spans="2:2">
      <c r="B5" s="24" t="s">
        <v>98</v>
      </c>
    </row>
    <row r="6" spans="2:2">
      <c r="B6" s="24" t="s">
        <v>103</v>
      </c>
    </row>
    <row r="7" spans="2:2">
      <c r="B7" s="24" t="s">
        <v>104</v>
      </c>
    </row>
    <row r="8" spans="2:2">
      <c r="B8" s="24" t="s">
        <v>105</v>
      </c>
    </row>
    <row r="9" spans="2:2">
      <c r="B9" s="24" t="s">
        <v>99</v>
      </c>
    </row>
    <row r="10" spans="2:2">
      <c r="B10" s="24" t="s">
        <v>100</v>
      </c>
    </row>
    <row r="11" spans="2:2">
      <c r="B11" s="24" t="s">
        <v>106</v>
      </c>
    </row>
    <row r="12" spans="2:2">
      <c r="B12" s="24" t="s">
        <v>107</v>
      </c>
    </row>
    <row r="13" spans="2:2">
      <c r="B13" s="24" t="s">
        <v>108</v>
      </c>
    </row>
    <row r="14" spans="2:2">
      <c r="B14" s="24" t="s">
        <v>109</v>
      </c>
    </row>
    <row r="15" spans="2:2">
      <c r="B15" s="24" t="s">
        <v>113</v>
      </c>
    </row>
    <row r="16" spans="2:2">
      <c r="B16" s="25" t="s">
        <v>101</v>
      </c>
    </row>
  </sheetData>
  <customSheetViews>
    <customSheetView guid="{98F7EBC4-E110-4841-A2DB-2D2637E925A0}" showGridLines="0" state="hidden">
      <selection activeCell="B32" sqref="B32"/>
      <pageMargins left="0.78740157499999996" right="0.78740157499999996" top="0.984251969" bottom="0.984251969" header="0.4921259845" footer="0.4921259845"/>
      <headerFooter alignWithMargins="0"/>
    </customSheetView>
  </customSheetViews>
  <phoneticPr fontId="3"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Facteurs_Activités</vt:lpstr>
      <vt:lpstr>Activités_Phases_Ressources</vt:lpstr>
      <vt:lpstr>Parten.Fourn.</vt:lpstr>
      <vt:lpstr>DépRésum</vt:lpstr>
      <vt:lpstr>DépTous</vt:lpstr>
      <vt:lpstr>Listes</vt:lpstr>
      <vt:lpstr>NomProjet</vt:lpstr>
      <vt:lpstr>Activités_Phases_Ressources!Print_Area</vt:lpstr>
      <vt:lpstr>Facteurs_Activités!Print_Area</vt:lpstr>
      <vt:lpstr>Parten.Fourn.!Print_Area</vt:lpstr>
      <vt:lpstr>Facteurs_Activités!Print_Titles</vt:lpstr>
      <vt:lpstr>Parten.Fourn.!Print_Titles</vt:lpstr>
    </vt:vector>
  </TitlesOfParts>
  <Company>CAPGEMINI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Dumain</dc:creator>
  <cp:lastModifiedBy>HE Yang</cp:lastModifiedBy>
  <cp:lastPrinted>2011-09-02T08:17:20Z</cp:lastPrinted>
  <dcterms:created xsi:type="dcterms:W3CDTF">2005-11-26T21:02:02Z</dcterms:created>
  <dcterms:modified xsi:type="dcterms:W3CDTF">2012-03-14T09:12:11Z</dcterms:modified>
</cp:coreProperties>
</file>