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2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1333" windowHeight="8687" tabRatio="855" activeTab="1"/>
  </bookViews>
  <sheets>
    <sheet name="Trends" sheetId="1" r:id="rId1"/>
    <sheet name="Graphs " sheetId="19" r:id="rId2"/>
    <sheet name="10 Years AFS- Cmbd" sheetId="15" r:id="rId3"/>
    <sheet name="Expenses (AA)" sheetId="18" r:id="rId4"/>
    <sheet name="Revenues (AA)" sheetId="17" r:id="rId5"/>
    <sheet name="10 Years AFS" sheetId="14" r:id="rId6"/>
    <sheet name="FY'07 PL" sheetId="2" r:id="rId7"/>
    <sheet name="FY'08 PL" sheetId="3" r:id="rId8"/>
    <sheet name="FY'09 PL" sheetId="4" r:id="rId9"/>
    <sheet name="FY'10 PL" sheetId="5" r:id="rId10"/>
    <sheet name="FY'11  PL" sheetId="6" r:id="rId11"/>
    <sheet name="FY'12 PL" sheetId="7" r:id="rId12"/>
    <sheet name="FY'13 PL" sheetId="8" r:id="rId13"/>
    <sheet name="FY'14 PL" sheetId="9" r:id="rId14"/>
    <sheet name="FY'15 PL" sheetId="10" r:id="rId15"/>
    <sheet name="FY'16 PL" sheetId="11" r:id="rId16"/>
    <sheet name="FY7 PL" sheetId="12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xlnm.Print_Area" localSheetId="3">'Expenses (AA)'!$A$1:$R$35</definedName>
    <definedName name="_xlnm.Print_Area" localSheetId="6">'FY''07 PL'!$A$1:$M$79</definedName>
    <definedName name="_xlnm.Print_Area" localSheetId="7">'FY''08 PL'!$A$1:$M$76</definedName>
    <definedName name="_xlnm.Print_Area" localSheetId="8">'FY''09 PL'!$A$1:$M$77</definedName>
    <definedName name="_xlnm.Print_Area" localSheetId="9">'FY''10 PL'!$A$1:$M$78</definedName>
    <definedName name="_xlnm.Print_Area" localSheetId="10">'FY''11  PL'!$A$1:$M$77</definedName>
    <definedName name="_xlnm.Print_Area" localSheetId="11">'FY''12 PL'!$A$1:$M$77</definedName>
    <definedName name="_xlnm.Print_Area" localSheetId="12">'FY''13 PL'!$A$1:$M$77</definedName>
    <definedName name="_xlnm.Print_Area" localSheetId="13">'FY''14 PL'!$A$1:$M$77</definedName>
    <definedName name="_xlnm.Print_Area" localSheetId="14">'FY''15 PL'!$A$1:$M$77</definedName>
    <definedName name="_xlnm.Print_Area" localSheetId="15">'FY''16 PL'!$A$1:$M$77</definedName>
    <definedName name="_xlnm.Print_Area" localSheetId="16">'FY7 PL'!$A$1:$M$79</definedName>
    <definedName name="_xlnm.Print_Area" localSheetId="4">'Revenues (AA)'!$A$1:$R$52</definedName>
    <definedName name="_xlnm.Print_Titles" localSheetId="6">'FY''07 PL'!$A:$A</definedName>
    <definedName name="_xlnm.Print_Titles" localSheetId="7">'FY''08 PL'!$A:$A</definedName>
    <definedName name="_xlnm.Print_Titles" localSheetId="8">'FY''09 PL'!$A:$A</definedName>
    <definedName name="_xlnm.Print_Titles" localSheetId="9">'FY''10 PL'!$A:$A</definedName>
    <definedName name="_xlnm.Print_Titles" localSheetId="10">'FY''11  PL'!$A:$A</definedName>
    <definedName name="_xlnm.Print_Titles" localSheetId="11">'FY''12 PL'!$A:$A</definedName>
    <definedName name="_xlnm.Print_Titles" localSheetId="12">'FY''13 PL'!$A:$A</definedName>
    <definedName name="_xlnm.Print_Titles" localSheetId="13">'FY''14 PL'!$A:$A</definedName>
    <definedName name="_xlnm.Print_Titles" localSheetId="14">'FY''15 PL'!$A:$A</definedName>
    <definedName name="_xlnm.Print_Titles" localSheetId="15">'FY''16 PL'!$A:$A</definedName>
    <definedName name="_xlnm.Print_Titles" localSheetId="16">'FY7 PL'!$A:$A</definedName>
    <definedName name="PTY" localSheetId="1">'Graphs '!$B$72:$L$72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'Graphs '!$A$3</definedName>
    <definedName name="solver_typ" localSheetId="1" hidden="1">1</definedName>
    <definedName name="solver_val" localSheetId="1" hidden="1">0</definedName>
    <definedName name="solver_ver" localSheetId="1" hidden="1">3</definedName>
    <definedName name="TE" localSheetId="1">'Graphs '!$B$74:$L$74</definedName>
    <definedName name="TP" localSheetId="1">'Graphs '!$B$75:$L$75</definedName>
    <definedName name="TR" localSheetId="1">'Graphs '!$B$73:$L$73</definedName>
  </definedNames>
  <calcPr calcId="152511"/>
</workbook>
</file>

<file path=xl/calcChain.xml><?xml version="1.0" encoding="utf-8"?>
<calcChain xmlns="http://schemas.openxmlformats.org/spreadsheetml/2006/main">
  <c r="N73" i="17" l="1"/>
  <c r="N74" i="17"/>
  <c r="N75" i="17"/>
  <c r="N76" i="17"/>
  <c r="N77" i="17"/>
  <c r="N78" i="17"/>
  <c r="N79" i="17"/>
  <c r="N80" i="17"/>
  <c r="N81" i="17"/>
  <c r="N72" i="17"/>
  <c r="N83" i="17"/>
  <c r="M55" i="18"/>
  <c r="M56" i="18"/>
  <c r="M57" i="18"/>
  <c r="M54" i="18"/>
  <c r="M59" i="18"/>
  <c r="F68" i="17" l="1"/>
  <c r="Q10" i="1" s="1"/>
  <c r="F67" i="17"/>
  <c r="P10" i="1" s="1"/>
  <c r="F66" i="17"/>
  <c r="O10" i="1" s="1"/>
  <c r="F65" i="17"/>
  <c r="M10" i="1" s="1"/>
  <c r="F64" i="17"/>
  <c r="L10" i="1" s="1"/>
  <c r="F63" i="17"/>
  <c r="F62" i="17"/>
  <c r="J10" i="1" s="1"/>
  <c r="F61" i="17"/>
  <c r="F60" i="17"/>
  <c r="F10" i="1" s="1"/>
  <c r="F59" i="17"/>
  <c r="D10" i="1" s="1"/>
  <c r="F58" i="17"/>
  <c r="C10" i="1" s="1"/>
  <c r="Q30" i="1"/>
  <c r="C30" i="1"/>
  <c r="P30" i="1"/>
  <c r="O30" i="1"/>
  <c r="M30" i="1"/>
  <c r="L30" i="1"/>
  <c r="K30" i="1"/>
  <c r="J30" i="1"/>
  <c r="H30" i="1"/>
  <c r="F30" i="1"/>
  <c r="D30" i="1"/>
  <c r="V31" i="1"/>
  <c r="U31" i="1"/>
  <c r="T31" i="1"/>
  <c r="S31" i="1"/>
  <c r="H31" i="1"/>
  <c r="C18" i="1"/>
  <c r="H14" i="1"/>
  <c r="F14" i="1"/>
  <c r="H10" i="1"/>
  <c r="F44" i="18"/>
  <c r="F43" i="18"/>
  <c r="F42" i="18"/>
  <c r="F41" i="18"/>
  <c r="F40" i="18"/>
  <c r="F39" i="18"/>
  <c r="E44" i="18"/>
  <c r="E43" i="18"/>
  <c r="E42" i="18"/>
  <c r="E41" i="18"/>
  <c r="E40" i="18"/>
  <c r="E39" i="18"/>
  <c r="D44" i="18"/>
  <c r="D43" i="18"/>
  <c r="D42" i="18"/>
  <c r="D41" i="18"/>
  <c r="D40" i="18"/>
  <c r="D39" i="18"/>
  <c r="F43" i="14"/>
  <c r="C44" i="18"/>
  <c r="C43" i="18"/>
  <c r="C42" i="18"/>
  <c r="C41" i="18"/>
  <c r="C40" i="18"/>
  <c r="C39" i="18"/>
  <c r="O68" i="17"/>
  <c r="O67" i="17"/>
  <c r="O66" i="17"/>
  <c r="O65" i="17"/>
  <c r="O64" i="17"/>
  <c r="O63" i="17"/>
  <c r="O62" i="17"/>
  <c r="O61" i="17"/>
  <c r="O60" i="17"/>
  <c r="O59" i="17"/>
  <c r="O58" i="17"/>
  <c r="M68" i="17"/>
  <c r="M67" i="17"/>
  <c r="M66" i="17"/>
  <c r="M65" i="17"/>
  <c r="M64" i="17"/>
  <c r="M63" i="17"/>
  <c r="M62" i="17"/>
  <c r="M61" i="17"/>
  <c r="M60" i="17"/>
  <c r="M59" i="17"/>
  <c r="M58" i="17"/>
  <c r="K64" i="17"/>
  <c r="K63" i="17"/>
  <c r="K62" i="17"/>
  <c r="K61" i="17"/>
  <c r="K60" i="17"/>
  <c r="K59" i="17"/>
  <c r="K58" i="17"/>
  <c r="K68" i="17"/>
  <c r="K67" i="17"/>
  <c r="K66" i="17"/>
  <c r="K65" i="17"/>
  <c r="J63" i="17"/>
  <c r="J62" i="17"/>
  <c r="J61" i="17"/>
  <c r="J60" i="17"/>
  <c r="J59" i="17"/>
  <c r="J58" i="17"/>
  <c r="I63" i="17"/>
  <c r="I62" i="17"/>
  <c r="I61" i="17"/>
  <c r="I60" i="17"/>
  <c r="I59" i="17"/>
  <c r="I58" i="17"/>
  <c r="H59" i="17"/>
  <c r="D14" i="1" s="1"/>
  <c r="H63" i="17"/>
  <c r="K14" i="1" s="1"/>
  <c r="H62" i="17"/>
  <c r="J14" i="1" s="1"/>
  <c r="H61" i="17"/>
  <c r="H60" i="17"/>
  <c r="H58" i="17"/>
  <c r="C14" i="1" s="1"/>
  <c r="G63" i="17"/>
  <c r="G62" i="17"/>
  <c r="G61" i="17"/>
  <c r="G60" i="17"/>
  <c r="G59" i="17"/>
  <c r="G58" i="17"/>
  <c r="E60" i="17"/>
  <c r="D63" i="17"/>
  <c r="E63" i="17" s="1"/>
  <c r="K10" i="1" s="1"/>
  <c r="D62" i="17"/>
  <c r="D61" i="17"/>
  <c r="D60" i="17"/>
  <c r="D59" i="17"/>
  <c r="E59" i="17" s="1"/>
  <c r="D58" i="17"/>
  <c r="C63" i="17"/>
  <c r="C62" i="17"/>
  <c r="E62" i="17" s="1"/>
  <c r="C61" i="17"/>
  <c r="E61" i="17" s="1"/>
  <c r="C60" i="17"/>
  <c r="C59" i="17"/>
  <c r="C58" i="17"/>
  <c r="E58" i="17" s="1"/>
  <c r="C22" i="1" l="1"/>
  <c r="H44" i="18"/>
  <c r="H43" i="18"/>
  <c r="H42" i="18"/>
  <c r="H41" i="18"/>
  <c r="H40" i="18"/>
  <c r="H39" i="18"/>
  <c r="D113" i="19"/>
  <c r="D112" i="19"/>
  <c r="D111" i="19"/>
  <c r="D110" i="19"/>
  <c r="D109" i="19"/>
  <c r="D108" i="19"/>
  <c r="D107" i="19"/>
  <c r="D106" i="19"/>
  <c r="D105" i="19"/>
  <c r="D104" i="19"/>
  <c r="D103" i="19"/>
  <c r="C89" i="19"/>
  <c r="Q18" i="1"/>
  <c r="P18" i="1"/>
  <c r="O18" i="1"/>
  <c r="M18" i="1"/>
  <c r="L18" i="1"/>
  <c r="K18" i="1"/>
  <c r="K22" i="1" s="1"/>
  <c r="J18" i="1"/>
  <c r="J22" i="1" s="1"/>
  <c r="H18" i="1"/>
  <c r="H22" i="1" s="1"/>
  <c r="F18" i="1"/>
  <c r="F22" i="1" s="1"/>
  <c r="D18" i="1"/>
  <c r="D22" i="1" s="1"/>
  <c r="B6" i="19"/>
  <c r="C6" i="19"/>
  <c r="D6" i="19"/>
  <c r="E6" i="19"/>
  <c r="F6" i="19"/>
  <c r="G6" i="19"/>
  <c r="H6" i="19"/>
  <c r="I6" i="19"/>
  <c r="J6" i="19"/>
  <c r="K6" i="19"/>
  <c r="L6" i="19"/>
  <c r="E78" i="19"/>
  <c r="E79" i="19"/>
  <c r="E80" i="19"/>
  <c r="E81" i="19"/>
  <c r="E82" i="19"/>
  <c r="E83" i="19"/>
  <c r="E84" i="19"/>
  <c r="E85" i="19"/>
  <c r="E86" i="19"/>
  <c r="E87" i="19"/>
  <c r="E88" i="19"/>
  <c r="D89" i="19"/>
  <c r="D114" i="19" l="1"/>
  <c r="D115" i="19" s="1"/>
  <c r="C90" i="19"/>
  <c r="E89" i="19"/>
  <c r="E90" i="19" s="1"/>
  <c r="D90" i="19"/>
  <c r="D91" i="19" s="1"/>
  <c r="E91" i="19" l="1"/>
  <c r="E92" i="19" s="1"/>
  <c r="C91" i="19"/>
  <c r="C92" i="19" s="1"/>
  <c r="C93" i="19" s="1"/>
  <c r="D116" i="19"/>
  <c r="D117" i="19" s="1"/>
  <c r="D118" i="19" s="1"/>
  <c r="D92" i="19"/>
  <c r="E93" i="19" l="1"/>
  <c r="C94" i="19"/>
  <c r="C95" i="19" s="1"/>
  <c r="D93" i="19"/>
  <c r="D119" i="19"/>
  <c r="C96" i="19" l="1"/>
  <c r="C97" i="19" s="1"/>
  <c r="D94" i="19"/>
  <c r="E94" i="19" s="1"/>
  <c r="D120" i="19"/>
  <c r="D121" i="19" s="1"/>
  <c r="D95" i="19" l="1"/>
  <c r="E95" i="19" s="1"/>
  <c r="D122" i="19"/>
  <c r="D123" i="19" s="1"/>
  <c r="C98" i="19"/>
  <c r="D96" i="19" l="1"/>
  <c r="H45" i="18"/>
  <c r="H46" i="18"/>
  <c r="H47" i="18"/>
  <c r="H48" i="18"/>
  <c r="H49" i="18"/>
  <c r="E64" i="17"/>
  <c r="H64" i="17"/>
  <c r="L14" i="1" s="1"/>
  <c r="L22" i="1" s="1"/>
  <c r="E65" i="17"/>
  <c r="H65" i="17"/>
  <c r="M14" i="1" s="1"/>
  <c r="M22" i="1" s="1"/>
  <c r="E66" i="17"/>
  <c r="H66" i="17"/>
  <c r="O14" i="1" s="1"/>
  <c r="O22" i="1" s="1"/>
  <c r="E67" i="17"/>
  <c r="H67" i="17"/>
  <c r="P14" i="1" s="1"/>
  <c r="P22" i="1" s="1"/>
  <c r="J67" i="17"/>
  <c r="E68" i="17"/>
  <c r="H68" i="17"/>
  <c r="Q14" i="1" s="1"/>
  <c r="Q22" i="1" s="1"/>
  <c r="J68" i="17"/>
  <c r="D97" i="19" l="1"/>
  <c r="E96" i="19"/>
  <c r="B5" i="15"/>
  <c r="C5" i="15"/>
  <c r="E5" i="15"/>
  <c r="F5" i="15"/>
  <c r="G5" i="15"/>
  <c r="H5" i="15"/>
  <c r="I5" i="15"/>
  <c r="J5" i="15"/>
  <c r="K5" i="15"/>
  <c r="L5" i="15"/>
  <c r="D5" i="15"/>
  <c r="L7" i="15"/>
  <c r="K7" i="15"/>
  <c r="J7" i="15"/>
  <c r="I7" i="15"/>
  <c r="H7" i="15"/>
  <c r="G7" i="15"/>
  <c r="F7" i="15"/>
  <c r="E7" i="15"/>
  <c r="D7" i="15"/>
  <c r="C7" i="15"/>
  <c r="B7" i="15"/>
  <c r="E97" i="19" l="1"/>
  <c r="D98" i="19"/>
  <c r="E98" i="19" s="1"/>
  <c r="K13" i="15"/>
  <c r="L13" i="15"/>
  <c r="J13" i="15"/>
  <c r="I13" i="15"/>
  <c r="H13" i="15"/>
  <c r="G13" i="15"/>
  <c r="F13" i="15"/>
  <c r="E13" i="15"/>
  <c r="D13" i="15"/>
  <c r="C13" i="15"/>
  <c r="B13" i="15"/>
  <c r="B20" i="15"/>
  <c r="B27" i="14"/>
  <c r="G7" i="6" l="1"/>
  <c r="B15" i="12"/>
  <c r="C15" i="12"/>
  <c r="D15" i="12"/>
  <c r="E15" i="12"/>
  <c r="F15" i="12"/>
  <c r="G15" i="12"/>
  <c r="H15" i="12"/>
  <c r="K15" i="12"/>
  <c r="L15" i="12"/>
  <c r="B16" i="12"/>
  <c r="C16" i="12"/>
  <c r="D16" i="12"/>
  <c r="E16" i="12"/>
  <c r="F16" i="12"/>
  <c r="G16" i="12"/>
  <c r="H16" i="12"/>
  <c r="K16" i="12"/>
  <c r="L16" i="12"/>
  <c r="B17" i="12"/>
  <c r="C17" i="12"/>
  <c r="D17" i="12"/>
  <c r="E17" i="12"/>
  <c r="F17" i="12"/>
  <c r="G17" i="12"/>
  <c r="H17" i="12"/>
  <c r="K17" i="12"/>
  <c r="L17" i="12"/>
  <c r="B18" i="12"/>
  <c r="C18" i="12"/>
  <c r="D18" i="12"/>
  <c r="E18" i="12"/>
  <c r="F18" i="12"/>
  <c r="G18" i="12"/>
  <c r="H18" i="12"/>
  <c r="K18" i="12"/>
  <c r="L18" i="12"/>
  <c r="B19" i="12"/>
  <c r="C19" i="12"/>
  <c r="D19" i="12"/>
  <c r="E19" i="12"/>
  <c r="F19" i="12"/>
  <c r="G19" i="12"/>
  <c r="H19" i="12"/>
  <c r="K19" i="12"/>
  <c r="L19" i="12"/>
  <c r="B20" i="12"/>
  <c r="C20" i="12"/>
  <c r="D20" i="12"/>
  <c r="E20" i="12"/>
  <c r="F20" i="12"/>
  <c r="G20" i="12"/>
  <c r="H20" i="12"/>
  <c r="K20" i="12"/>
  <c r="L20" i="12"/>
  <c r="B21" i="12"/>
  <c r="C21" i="12"/>
  <c r="D21" i="12"/>
  <c r="E21" i="12"/>
  <c r="F21" i="12"/>
  <c r="G21" i="12"/>
  <c r="H21" i="12"/>
  <c r="K21" i="12"/>
  <c r="L21" i="12"/>
  <c r="B22" i="12"/>
  <c r="C22" i="12"/>
  <c r="D22" i="12"/>
  <c r="E22" i="12"/>
  <c r="F22" i="12"/>
  <c r="G22" i="12"/>
  <c r="H22" i="12"/>
  <c r="K22" i="12"/>
  <c r="L22" i="12"/>
  <c r="B23" i="12"/>
  <c r="C23" i="12"/>
  <c r="D23" i="12"/>
  <c r="E23" i="12"/>
  <c r="F23" i="12"/>
  <c r="G23" i="12"/>
  <c r="H23" i="12"/>
  <c r="K23" i="12"/>
  <c r="L23" i="12"/>
  <c r="B24" i="12"/>
  <c r="C24" i="12"/>
  <c r="D24" i="12"/>
  <c r="E24" i="12"/>
  <c r="F24" i="12"/>
  <c r="G24" i="12"/>
  <c r="H24" i="12"/>
  <c r="K24" i="12"/>
  <c r="L24" i="12"/>
  <c r="B25" i="12"/>
  <c r="C25" i="12"/>
  <c r="D25" i="12"/>
  <c r="E25" i="12"/>
  <c r="F25" i="12"/>
  <c r="G25" i="12"/>
  <c r="H25" i="12"/>
  <c r="K25" i="12"/>
  <c r="L25" i="12"/>
  <c r="B26" i="12"/>
  <c r="C26" i="12"/>
  <c r="D26" i="12"/>
  <c r="E26" i="12"/>
  <c r="F26" i="12"/>
  <c r="G26" i="12"/>
  <c r="H26" i="12"/>
  <c r="K26" i="12"/>
  <c r="L26" i="12"/>
  <c r="B27" i="12"/>
  <c r="C27" i="12"/>
  <c r="D27" i="12"/>
  <c r="E27" i="12"/>
  <c r="F27" i="12"/>
  <c r="G27" i="12"/>
  <c r="H27" i="12"/>
  <c r="K27" i="12"/>
  <c r="L27" i="12"/>
  <c r="B28" i="12"/>
  <c r="C28" i="12"/>
  <c r="D28" i="12"/>
  <c r="E28" i="12"/>
  <c r="F28" i="12"/>
  <c r="G28" i="12"/>
  <c r="H28" i="12"/>
  <c r="K28" i="12"/>
  <c r="L28" i="12"/>
  <c r="B29" i="12"/>
  <c r="C29" i="12"/>
  <c r="D29" i="12"/>
  <c r="E29" i="12"/>
  <c r="F29" i="12"/>
  <c r="G29" i="12"/>
  <c r="H29" i="12"/>
  <c r="K29" i="12"/>
  <c r="L29" i="12"/>
  <c r="B30" i="12"/>
  <c r="C30" i="12"/>
  <c r="D30" i="12"/>
  <c r="E30" i="12"/>
  <c r="F30" i="12"/>
  <c r="G30" i="12"/>
  <c r="H30" i="12"/>
  <c r="K30" i="12"/>
  <c r="L30" i="12"/>
  <c r="B31" i="12"/>
  <c r="C31" i="12"/>
  <c r="D31" i="12"/>
  <c r="E31" i="12"/>
  <c r="F31" i="12"/>
  <c r="G31" i="12"/>
  <c r="H31" i="12"/>
  <c r="K31" i="12"/>
  <c r="L31" i="12"/>
  <c r="B32" i="12"/>
  <c r="C32" i="12"/>
  <c r="D32" i="12"/>
  <c r="E32" i="12"/>
  <c r="F32" i="12"/>
  <c r="G32" i="12"/>
  <c r="H32" i="12"/>
  <c r="K32" i="12"/>
  <c r="L32" i="12"/>
  <c r="J33" i="12"/>
  <c r="B36" i="12"/>
  <c r="C36" i="12"/>
  <c r="D36" i="12"/>
  <c r="E36" i="12"/>
  <c r="F36" i="12"/>
  <c r="G36" i="12"/>
  <c r="H36" i="12"/>
  <c r="K36" i="12"/>
  <c r="L36" i="12"/>
  <c r="B37" i="12"/>
  <c r="C37" i="12"/>
  <c r="D37" i="12"/>
  <c r="E37" i="12"/>
  <c r="F37" i="12"/>
  <c r="G37" i="12"/>
  <c r="H37" i="12"/>
  <c r="K37" i="12"/>
  <c r="L37" i="12"/>
  <c r="B38" i="12"/>
  <c r="C38" i="12"/>
  <c r="D38" i="12"/>
  <c r="E38" i="12"/>
  <c r="F38" i="12"/>
  <c r="G38" i="12"/>
  <c r="H38" i="12"/>
  <c r="K38" i="12"/>
  <c r="L38" i="12"/>
  <c r="B39" i="12"/>
  <c r="C39" i="12"/>
  <c r="D39" i="12"/>
  <c r="E39" i="12"/>
  <c r="F39" i="12"/>
  <c r="G39" i="12"/>
  <c r="H39" i="12"/>
  <c r="K39" i="12"/>
  <c r="L39" i="12"/>
  <c r="J40" i="12"/>
  <c r="B43" i="12"/>
  <c r="C43" i="12"/>
  <c r="D43" i="12"/>
  <c r="E43" i="12"/>
  <c r="F43" i="12"/>
  <c r="G43" i="12"/>
  <c r="H43" i="12"/>
  <c r="K43" i="12"/>
  <c r="L43" i="12"/>
  <c r="B44" i="12"/>
  <c r="C44" i="12"/>
  <c r="D44" i="12"/>
  <c r="E44" i="12"/>
  <c r="F44" i="12"/>
  <c r="G44" i="12"/>
  <c r="H44" i="12"/>
  <c r="K44" i="12"/>
  <c r="L44" i="12"/>
  <c r="B45" i="12"/>
  <c r="C45" i="12"/>
  <c r="D45" i="12"/>
  <c r="E45" i="12"/>
  <c r="F45" i="12"/>
  <c r="G45" i="12"/>
  <c r="H45" i="12"/>
  <c r="K45" i="12"/>
  <c r="L45" i="12"/>
  <c r="B46" i="12"/>
  <c r="C46" i="12"/>
  <c r="D46" i="12"/>
  <c r="E46" i="12"/>
  <c r="F46" i="12"/>
  <c r="G46" i="12"/>
  <c r="H46" i="12"/>
  <c r="K46" i="12"/>
  <c r="L46" i="12"/>
  <c r="B47" i="12"/>
  <c r="C47" i="12"/>
  <c r="D47" i="12"/>
  <c r="E47" i="12"/>
  <c r="F47" i="12"/>
  <c r="G47" i="12"/>
  <c r="H47" i="12"/>
  <c r="K47" i="12"/>
  <c r="L47" i="12"/>
  <c r="B48" i="12"/>
  <c r="C48" i="12"/>
  <c r="D48" i="12"/>
  <c r="E48" i="12"/>
  <c r="F48" i="12"/>
  <c r="G48" i="12"/>
  <c r="H48" i="12"/>
  <c r="K48" i="12"/>
  <c r="L48" i="12"/>
  <c r="B49" i="12"/>
  <c r="C49" i="12"/>
  <c r="D49" i="12"/>
  <c r="E49" i="12"/>
  <c r="F49" i="12"/>
  <c r="G49" i="12"/>
  <c r="H49" i="12"/>
  <c r="K49" i="12"/>
  <c r="L49" i="12"/>
  <c r="B50" i="12"/>
  <c r="C50" i="12"/>
  <c r="D50" i="12"/>
  <c r="E50" i="12"/>
  <c r="F50" i="12"/>
  <c r="G50" i="12"/>
  <c r="H50" i="12"/>
  <c r="K50" i="12"/>
  <c r="L50" i="12"/>
  <c r="B51" i="12"/>
  <c r="C51" i="12"/>
  <c r="D51" i="12"/>
  <c r="E51" i="12"/>
  <c r="F51" i="12"/>
  <c r="G51" i="12"/>
  <c r="H51" i="12"/>
  <c r="K51" i="12"/>
  <c r="L51" i="12"/>
  <c r="D53" i="12"/>
  <c r="F53" i="12"/>
  <c r="G53" i="12"/>
  <c r="K53" i="12"/>
  <c r="D54" i="12"/>
  <c r="F54" i="12"/>
  <c r="B55" i="12"/>
  <c r="C55" i="12"/>
  <c r="D55" i="12"/>
  <c r="E55" i="12"/>
  <c r="F55" i="12"/>
  <c r="G55" i="12"/>
  <c r="H55" i="12"/>
  <c r="K55" i="12"/>
  <c r="G56" i="12"/>
  <c r="I56" i="12" s="1"/>
  <c r="K56" i="12"/>
  <c r="B57" i="12"/>
  <c r="C57" i="12"/>
  <c r="D57" i="12"/>
  <c r="E57" i="12"/>
  <c r="F57" i="12"/>
  <c r="G57" i="12"/>
  <c r="H57" i="12"/>
  <c r="K57" i="12"/>
  <c r="L57" i="12"/>
  <c r="J58" i="12"/>
  <c r="B62" i="12"/>
  <c r="C62" i="12"/>
  <c r="D62" i="12"/>
  <c r="E62" i="12"/>
  <c r="F62" i="12"/>
  <c r="G62" i="12"/>
  <c r="H62" i="12"/>
  <c r="K62" i="12"/>
  <c r="L62" i="12"/>
  <c r="B63" i="12"/>
  <c r="C63" i="12"/>
  <c r="D63" i="12"/>
  <c r="E63" i="12"/>
  <c r="F63" i="12"/>
  <c r="G63" i="12"/>
  <c r="H63" i="12"/>
  <c r="K63" i="12"/>
  <c r="L63" i="12"/>
  <c r="B64" i="12"/>
  <c r="C64" i="12"/>
  <c r="D64" i="12"/>
  <c r="E64" i="12"/>
  <c r="F64" i="12"/>
  <c r="G64" i="12"/>
  <c r="H64" i="12"/>
  <c r="K64" i="12"/>
  <c r="L64" i="12"/>
  <c r="B65" i="12"/>
  <c r="C65" i="12"/>
  <c r="D65" i="12"/>
  <c r="E65" i="12"/>
  <c r="F65" i="12"/>
  <c r="G65" i="12"/>
  <c r="H65" i="12"/>
  <c r="K65" i="12"/>
  <c r="L65" i="12"/>
  <c r="B66" i="12"/>
  <c r="C66" i="12"/>
  <c r="D66" i="12"/>
  <c r="E66" i="12"/>
  <c r="F66" i="12"/>
  <c r="G66" i="12"/>
  <c r="H66" i="12"/>
  <c r="K66" i="12"/>
  <c r="L66" i="12"/>
  <c r="B67" i="12"/>
  <c r="C67" i="12"/>
  <c r="D67" i="12"/>
  <c r="E67" i="12"/>
  <c r="F67" i="12"/>
  <c r="G67" i="12"/>
  <c r="H67" i="12"/>
  <c r="K67" i="12"/>
  <c r="L67" i="12"/>
  <c r="B68" i="12"/>
  <c r="C68" i="12"/>
  <c r="D68" i="12"/>
  <c r="E68" i="12"/>
  <c r="F68" i="12"/>
  <c r="G68" i="12"/>
  <c r="H68" i="12"/>
  <c r="K68" i="12"/>
  <c r="L68" i="12"/>
  <c r="B69" i="12"/>
  <c r="C69" i="12"/>
  <c r="D69" i="12"/>
  <c r="E69" i="12"/>
  <c r="F69" i="12"/>
  <c r="G69" i="12"/>
  <c r="H69" i="12"/>
  <c r="K69" i="12"/>
  <c r="L69" i="12"/>
  <c r="B70" i="12"/>
  <c r="C70" i="12"/>
  <c r="D70" i="12"/>
  <c r="E70" i="12"/>
  <c r="F70" i="12"/>
  <c r="G70" i="12"/>
  <c r="H70" i="12"/>
  <c r="K70" i="12"/>
  <c r="L70" i="12"/>
  <c r="B71" i="12"/>
  <c r="C71" i="12"/>
  <c r="D71" i="12"/>
  <c r="E71" i="12"/>
  <c r="F71" i="12"/>
  <c r="G71" i="12"/>
  <c r="H71" i="12"/>
  <c r="K71" i="12"/>
  <c r="L71" i="12"/>
  <c r="B72" i="12"/>
  <c r="C72" i="12"/>
  <c r="D72" i="12"/>
  <c r="E72" i="12"/>
  <c r="F72" i="12"/>
  <c r="G72" i="12"/>
  <c r="H72" i="12"/>
  <c r="K72" i="12"/>
  <c r="L72" i="12"/>
  <c r="B73" i="12"/>
  <c r="C73" i="12"/>
  <c r="D73" i="12"/>
  <c r="E73" i="12"/>
  <c r="F73" i="12"/>
  <c r="G73" i="12"/>
  <c r="H73" i="12"/>
  <c r="K73" i="12"/>
  <c r="L73" i="12"/>
  <c r="B74" i="12"/>
  <c r="C74" i="12"/>
  <c r="D74" i="12"/>
  <c r="E74" i="12"/>
  <c r="F74" i="12"/>
  <c r="G74" i="12"/>
  <c r="H74" i="12"/>
  <c r="K74" i="12"/>
  <c r="L74" i="12"/>
  <c r="B75" i="12"/>
  <c r="C75" i="12"/>
  <c r="D75" i="12"/>
  <c r="E75" i="12"/>
  <c r="F75" i="12"/>
  <c r="G75" i="12"/>
  <c r="H75" i="12"/>
  <c r="K75" i="12"/>
  <c r="L75" i="12"/>
  <c r="B76" i="12"/>
  <c r="C76" i="12"/>
  <c r="D76" i="12"/>
  <c r="E76" i="12"/>
  <c r="F76" i="12"/>
  <c r="G76" i="12"/>
  <c r="H76" i="12"/>
  <c r="K76" i="12"/>
  <c r="L76" i="12"/>
  <c r="B77" i="12"/>
  <c r="C77" i="12"/>
  <c r="D77" i="12"/>
  <c r="E77" i="12"/>
  <c r="F77" i="12"/>
  <c r="G77" i="12"/>
  <c r="H77" i="12"/>
  <c r="K77" i="12"/>
  <c r="L77" i="12"/>
  <c r="J80" i="12"/>
  <c r="D40" i="12" l="1"/>
  <c r="C40" i="12"/>
  <c r="I36" i="12"/>
  <c r="M36" i="12" s="1"/>
  <c r="I15" i="12"/>
  <c r="M15" i="12" s="1"/>
  <c r="L40" i="12"/>
  <c r="M31" i="12"/>
  <c r="I76" i="12"/>
  <c r="M76" i="12" s="1"/>
  <c r="I68" i="12"/>
  <c r="M68" i="12" s="1"/>
  <c r="I54" i="12"/>
  <c r="M54" i="12" s="1"/>
  <c r="I23" i="12"/>
  <c r="M23" i="12" s="1"/>
  <c r="M56" i="12"/>
  <c r="I43" i="12"/>
  <c r="M43" i="12" s="1"/>
  <c r="I50" i="12"/>
  <c r="M50" i="12" s="1"/>
  <c r="I49" i="12"/>
  <c r="M49" i="12" s="1"/>
  <c r="I63" i="12"/>
  <c r="M63" i="12" s="1"/>
  <c r="I48" i="12"/>
  <c r="M48" i="12" s="1"/>
  <c r="L33" i="12"/>
  <c r="L52" i="12" s="1"/>
  <c r="L58" i="12" s="1"/>
  <c r="C78" i="12"/>
  <c r="I70" i="12"/>
  <c r="M70" i="12" s="1"/>
  <c r="I69" i="12"/>
  <c r="M69" i="12" s="1"/>
  <c r="L78" i="12"/>
  <c r="I28" i="12"/>
  <c r="M28" i="12" s="1"/>
  <c r="D33" i="12"/>
  <c r="D52" i="12" s="1"/>
  <c r="D58" i="12" s="1"/>
  <c r="I20" i="12"/>
  <c r="M20" i="12" s="1"/>
  <c r="H78" i="12"/>
  <c r="I26" i="12"/>
  <c r="M26" i="12" s="1"/>
  <c r="I19" i="12"/>
  <c r="M19" i="12" s="1"/>
  <c r="G78" i="12"/>
  <c r="I57" i="12"/>
  <c r="M57" i="12" s="1"/>
  <c r="G40" i="12"/>
  <c r="I24" i="12"/>
  <c r="M24" i="12" s="1"/>
  <c r="C33" i="12"/>
  <c r="C52" i="12" s="1"/>
  <c r="C58" i="12" s="1"/>
  <c r="C80" i="12" s="1"/>
  <c r="I29" i="12"/>
  <c r="M29" i="12" s="1"/>
  <c r="I17" i="12"/>
  <c r="I73" i="12"/>
  <c r="M73" i="12" s="1"/>
  <c r="D78" i="12"/>
  <c r="E40" i="12"/>
  <c r="I21" i="12"/>
  <c r="M21" i="12" s="1"/>
  <c r="I74" i="12"/>
  <c r="M74" i="12" s="1"/>
  <c r="I32" i="12"/>
  <c r="M32" i="12" s="1"/>
  <c r="E33" i="12"/>
  <c r="I46" i="12"/>
  <c r="M46" i="12" s="1"/>
  <c r="I39" i="12"/>
  <c r="M39" i="12" s="1"/>
  <c r="H40" i="12"/>
  <c r="K33" i="12"/>
  <c r="I75" i="12"/>
  <c r="M75" i="12" s="1"/>
  <c r="I25" i="12"/>
  <c r="M25" i="12" s="1"/>
  <c r="I18" i="12"/>
  <c r="M18" i="12" s="1"/>
  <c r="I67" i="12"/>
  <c r="M67" i="12" s="1"/>
  <c r="E78" i="12"/>
  <c r="I47" i="12"/>
  <c r="M47" i="12" s="1"/>
  <c r="I16" i="12"/>
  <c r="M16" i="12" s="1"/>
  <c r="I72" i="12"/>
  <c r="M72" i="12" s="1"/>
  <c r="B78" i="12"/>
  <c r="I53" i="12"/>
  <c r="M53" i="12" s="1"/>
  <c r="I45" i="12"/>
  <c r="M45" i="12" s="1"/>
  <c r="I38" i="12"/>
  <c r="M38" i="12" s="1"/>
  <c r="I30" i="12"/>
  <c r="M30" i="12" s="1"/>
  <c r="G33" i="12"/>
  <c r="G52" i="12" s="1"/>
  <c r="G58" i="12" s="1"/>
  <c r="H33" i="12"/>
  <c r="H52" i="12" s="1"/>
  <c r="H58" i="12" s="1"/>
  <c r="I62" i="12"/>
  <c r="M62" i="12" s="1"/>
  <c r="I27" i="12"/>
  <c r="M27" i="12" s="1"/>
  <c r="I66" i="12"/>
  <c r="M66" i="12" s="1"/>
  <c r="F78" i="12"/>
  <c r="F40" i="12"/>
  <c r="I77" i="12"/>
  <c r="M77" i="12" s="1"/>
  <c r="I71" i="12"/>
  <c r="M71" i="12" s="1"/>
  <c r="K78" i="12"/>
  <c r="I64" i="12"/>
  <c r="M64" i="12" s="1"/>
  <c r="I55" i="12"/>
  <c r="M55" i="12" s="1"/>
  <c r="I51" i="12"/>
  <c r="M51" i="12" s="1"/>
  <c r="I44" i="12"/>
  <c r="M44" i="12" s="1"/>
  <c r="K40" i="12"/>
  <c r="I37" i="12"/>
  <c r="M37" i="12" s="1"/>
  <c r="I22" i="12"/>
  <c r="M22" i="12" s="1"/>
  <c r="F33" i="12"/>
  <c r="M17" i="12"/>
  <c r="I65" i="12"/>
  <c r="M65" i="12" s="1"/>
  <c r="B40" i="12"/>
  <c r="B33" i="12"/>
  <c r="L80" i="12" l="1"/>
  <c r="I40" i="12"/>
  <c r="K52" i="12"/>
  <c r="K58" i="12" s="1"/>
  <c r="K80" i="12" s="1"/>
  <c r="M40" i="12"/>
  <c r="Q26" i="1" s="1"/>
  <c r="Q31" i="1" s="1"/>
  <c r="B52" i="12"/>
  <c r="B58" i="12" s="1"/>
  <c r="B80" i="12" s="1"/>
  <c r="F52" i="12"/>
  <c r="F58" i="12" s="1"/>
  <c r="F80" i="12" s="1"/>
  <c r="H80" i="12"/>
  <c r="D80" i="12"/>
  <c r="I33" i="12"/>
  <c r="M33" i="12"/>
  <c r="Q6" i="1" s="1"/>
  <c r="S6" i="1" s="1"/>
  <c r="G80" i="12"/>
  <c r="E52" i="12"/>
  <c r="E58" i="12" s="1"/>
  <c r="E80" i="12" s="1"/>
  <c r="I78" i="12"/>
  <c r="M78" i="12"/>
  <c r="Q11" i="1" l="1"/>
  <c r="Q23" i="1"/>
  <c r="Q19" i="1"/>
  <c r="Q15" i="1"/>
  <c r="S7" i="1"/>
  <c r="S26" i="1"/>
  <c r="S27" i="1" s="1"/>
  <c r="I52" i="12"/>
  <c r="I58" i="12" s="1"/>
  <c r="I80" i="12" s="1"/>
  <c r="M52" i="12"/>
  <c r="M58" i="12" s="1"/>
  <c r="M80" i="12" s="1"/>
  <c r="B15" i="11"/>
  <c r="C15" i="11"/>
  <c r="D15" i="11"/>
  <c r="E15" i="11"/>
  <c r="F15" i="11"/>
  <c r="G15" i="11"/>
  <c r="H15" i="11"/>
  <c r="K15" i="11"/>
  <c r="L15" i="11"/>
  <c r="B16" i="11"/>
  <c r="C16" i="11"/>
  <c r="D16" i="11"/>
  <c r="E16" i="11"/>
  <c r="F16" i="11"/>
  <c r="G16" i="11"/>
  <c r="H16" i="11"/>
  <c r="K16" i="11"/>
  <c r="L16" i="11"/>
  <c r="B17" i="11"/>
  <c r="C17" i="11"/>
  <c r="D17" i="11"/>
  <c r="E17" i="11"/>
  <c r="F17" i="11"/>
  <c r="G17" i="11"/>
  <c r="H17" i="11"/>
  <c r="K17" i="11"/>
  <c r="L17" i="11"/>
  <c r="B18" i="11"/>
  <c r="C18" i="11"/>
  <c r="D18" i="11"/>
  <c r="E18" i="11"/>
  <c r="F18" i="11"/>
  <c r="G18" i="11"/>
  <c r="H18" i="11"/>
  <c r="K18" i="11"/>
  <c r="L18" i="11"/>
  <c r="B19" i="11"/>
  <c r="C19" i="11"/>
  <c r="D19" i="11"/>
  <c r="E19" i="11"/>
  <c r="F19" i="11"/>
  <c r="G19" i="11"/>
  <c r="H19" i="11"/>
  <c r="K19" i="11"/>
  <c r="L19" i="11"/>
  <c r="B20" i="11"/>
  <c r="C20" i="11"/>
  <c r="D20" i="11"/>
  <c r="E20" i="11"/>
  <c r="F20" i="11"/>
  <c r="G20" i="11"/>
  <c r="H20" i="11"/>
  <c r="K20" i="11"/>
  <c r="L20" i="11"/>
  <c r="B21" i="11"/>
  <c r="C21" i="11"/>
  <c r="D21" i="11"/>
  <c r="E21" i="11"/>
  <c r="F21" i="11"/>
  <c r="G21" i="11"/>
  <c r="H21" i="11"/>
  <c r="K21" i="11"/>
  <c r="L21" i="11"/>
  <c r="B22" i="11"/>
  <c r="C22" i="11"/>
  <c r="D22" i="11"/>
  <c r="E22" i="11"/>
  <c r="F22" i="11"/>
  <c r="G22" i="11"/>
  <c r="H22" i="11"/>
  <c r="K22" i="11"/>
  <c r="L22" i="11"/>
  <c r="B23" i="11"/>
  <c r="C23" i="11"/>
  <c r="D23" i="11"/>
  <c r="E23" i="11"/>
  <c r="F23" i="11"/>
  <c r="G23" i="11"/>
  <c r="H23" i="11"/>
  <c r="K23" i="11"/>
  <c r="L23" i="11"/>
  <c r="B24" i="11"/>
  <c r="C24" i="11"/>
  <c r="D24" i="11"/>
  <c r="E24" i="11"/>
  <c r="F24" i="11"/>
  <c r="G24" i="11"/>
  <c r="H24" i="11"/>
  <c r="K24" i="11"/>
  <c r="L24" i="11"/>
  <c r="B25" i="11"/>
  <c r="C25" i="11"/>
  <c r="D25" i="11"/>
  <c r="E25" i="11"/>
  <c r="F25" i="11"/>
  <c r="G25" i="11"/>
  <c r="H25" i="11"/>
  <c r="K25" i="11"/>
  <c r="L25" i="11"/>
  <c r="B26" i="11"/>
  <c r="C26" i="11"/>
  <c r="D26" i="11"/>
  <c r="E26" i="11"/>
  <c r="F26" i="11"/>
  <c r="G26" i="11"/>
  <c r="H26" i="11"/>
  <c r="K26" i="11"/>
  <c r="L26" i="11"/>
  <c r="B27" i="11"/>
  <c r="C27" i="11"/>
  <c r="D27" i="11"/>
  <c r="E27" i="11"/>
  <c r="F27" i="11"/>
  <c r="G27" i="11"/>
  <c r="H27" i="11"/>
  <c r="K27" i="11"/>
  <c r="L27" i="11"/>
  <c r="B28" i="11"/>
  <c r="C28" i="11"/>
  <c r="D28" i="11"/>
  <c r="E28" i="11"/>
  <c r="F28" i="11"/>
  <c r="G28" i="11"/>
  <c r="H28" i="11"/>
  <c r="K28" i="11"/>
  <c r="L28" i="11"/>
  <c r="B29" i="11"/>
  <c r="C29" i="11"/>
  <c r="D29" i="11"/>
  <c r="E29" i="11"/>
  <c r="F29" i="11"/>
  <c r="G29" i="11"/>
  <c r="H29" i="11"/>
  <c r="K29" i="11"/>
  <c r="L29" i="11"/>
  <c r="B30" i="11"/>
  <c r="C30" i="11"/>
  <c r="D30" i="11"/>
  <c r="E30" i="11"/>
  <c r="F30" i="11"/>
  <c r="G30" i="11"/>
  <c r="H30" i="11"/>
  <c r="K30" i="11"/>
  <c r="L30" i="11"/>
  <c r="B31" i="11"/>
  <c r="C31" i="11"/>
  <c r="D31" i="11"/>
  <c r="E31" i="11"/>
  <c r="F31" i="11"/>
  <c r="G31" i="11"/>
  <c r="H31" i="11"/>
  <c r="K31" i="11"/>
  <c r="L31" i="11"/>
  <c r="B32" i="11"/>
  <c r="C32" i="11"/>
  <c r="D32" i="11"/>
  <c r="E32" i="11"/>
  <c r="F32" i="11"/>
  <c r="G32" i="11"/>
  <c r="H32" i="11"/>
  <c r="K32" i="11"/>
  <c r="L32" i="11"/>
  <c r="J33" i="11"/>
  <c r="B36" i="11"/>
  <c r="C36" i="11"/>
  <c r="D36" i="11"/>
  <c r="E36" i="11"/>
  <c r="F36" i="11"/>
  <c r="G36" i="11"/>
  <c r="H36" i="11"/>
  <c r="K36" i="11"/>
  <c r="L36" i="11"/>
  <c r="B37" i="11"/>
  <c r="C37" i="11"/>
  <c r="D37" i="11"/>
  <c r="E37" i="11"/>
  <c r="F37" i="11"/>
  <c r="G37" i="11"/>
  <c r="H37" i="11"/>
  <c r="K37" i="11"/>
  <c r="L37" i="11"/>
  <c r="B38" i="11"/>
  <c r="C38" i="11"/>
  <c r="D38" i="11"/>
  <c r="E38" i="11"/>
  <c r="F38" i="11"/>
  <c r="G38" i="11"/>
  <c r="H38" i="11"/>
  <c r="K38" i="11"/>
  <c r="L38" i="11"/>
  <c r="B39" i="11"/>
  <c r="C39" i="11"/>
  <c r="D39" i="11"/>
  <c r="E39" i="11"/>
  <c r="F39" i="11"/>
  <c r="G39" i="11"/>
  <c r="H39" i="11"/>
  <c r="K39" i="11"/>
  <c r="L39" i="11"/>
  <c r="J40" i="11"/>
  <c r="B43" i="11"/>
  <c r="C43" i="11"/>
  <c r="D43" i="11"/>
  <c r="E43" i="11"/>
  <c r="F43" i="11"/>
  <c r="G43" i="11"/>
  <c r="H43" i="11"/>
  <c r="K43" i="11"/>
  <c r="L43" i="11"/>
  <c r="B44" i="11"/>
  <c r="C44" i="11"/>
  <c r="D44" i="11"/>
  <c r="E44" i="11"/>
  <c r="F44" i="11"/>
  <c r="G44" i="11"/>
  <c r="H44" i="11"/>
  <c r="K44" i="11"/>
  <c r="L44" i="11"/>
  <c r="B45" i="11"/>
  <c r="C45" i="11"/>
  <c r="D45" i="11"/>
  <c r="E45" i="11"/>
  <c r="F45" i="11"/>
  <c r="G45" i="11"/>
  <c r="H45" i="11"/>
  <c r="K45" i="11"/>
  <c r="L45" i="11"/>
  <c r="B46" i="11"/>
  <c r="C46" i="11"/>
  <c r="D46" i="11"/>
  <c r="E46" i="11"/>
  <c r="F46" i="11"/>
  <c r="G46" i="11"/>
  <c r="H46" i="11"/>
  <c r="K46" i="11"/>
  <c r="L46" i="11"/>
  <c r="B47" i="11"/>
  <c r="C47" i="11"/>
  <c r="D47" i="11"/>
  <c r="E47" i="11"/>
  <c r="F47" i="11"/>
  <c r="G47" i="11"/>
  <c r="H47" i="11"/>
  <c r="K47" i="11"/>
  <c r="L47" i="11"/>
  <c r="B48" i="11"/>
  <c r="C48" i="11"/>
  <c r="D48" i="11"/>
  <c r="E48" i="11"/>
  <c r="F48" i="11"/>
  <c r="G48" i="11"/>
  <c r="H48" i="11"/>
  <c r="K48" i="11"/>
  <c r="L48" i="11"/>
  <c r="B49" i="11"/>
  <c r="C49" i="11"/>
  <c r="D49" i="11"/>
  <c r="E49" i="11"/>
  <c r="F49" i="11"/>
  <c r="G49" i="11"/>
  <c r="H49" i="11"/>
  <c r="K49" i="11"/>
  <c r="L49" i="11"/>
  <c r="B50" i="11"/>
  <c r="C50" i="11"/>
  <c r="D50" i="11"/>
  <c r="E50" i="11"/>
  <c r="F50" i="11"/>
  <c r="G50" i="11"/>
  <c r="H50" i="11"/>
  <c r="K50" i="11"/>
  <c r="L50" i="11"/>
  <c r="B51" i="11"/>
  <c r="C51" i="11"/>
  <c r="D51" i="11"/>
  <c r="E51" i="11"/>
  <c r="F51" i="11"/>
  <c r="G51" i="11"/>
  <c r="H51" i="11"/>
  <c r="K51" i="11"/>
  <c r="L51" i="11"/>
  <c r="G53" i="11"/>
  <c r="I53" i="11" s="1"/>
  <c r="K53" i="11"/>
  <c r="B54" i="11"/>
  <c r="C54" i="11"/>
  <c r="D54" i="11"/>
  <c r="E54" i="11"/>
  <c r="F54" i="11"/>
  <c r="G54" i="11"/>
  <c r="H54" i="11"/>
  <c r="K54" i="11"/>
  <c r="B55" i="11"/>
  <c r="C55" i="11"/>
  <c r="D55" i="11"/>
  <c r="E55" i="11"/>
  <c r="F55" i="11"/>
  <c r="G55" i="11"/>
  <c r="H55" i="11"/>
  <c r="K55" i="11"/>
  <c r="L55" i="11"/>
  <c r="J56" i="11"/>
  <c r="J78" i="11" s="1"/>
  <c r="B60" i="11"/>
  <c r="C60" i="11"/>
  <c r="D60" i="11"/>
  <c r="E60" i="11"/>
  <c r="F60" i="11"/>
  <c r="G60" i="11"/>
  <c r="H60" i="11"/>
  <c r="K60" i="11"/>
  <c r="L60" i="11"/>
  <c r="B61" i="11"/>
  <c r="C61" i="11"/>
  <c r="D61" i="11"/>
  <c r="E61" i="11"/>
  <c r="F61" i="11"/>
  <c r="G61" i="11"/>
  <c r="H61" i="11"/>
  <c r="K61" i="11"/>
  <c r="L61" i="11"/>
  <c r="B62" i="11"/>
  <c r="C62" i="11"/>
  <c r="D62" i="11"/>
  <c r="E62" i="11"/>
  <c r="F62" i="11"/>
  <c r="G62" i="11"/>
  <c r="H62" i="11"/>
  <c r="K62" i="11"/>
  <c r="L62" i="11"/>
  <c r="B63" i="11"/>
  <c r="C63" i="11"/>
  <c r="D63" i="11"/>
  <c r="E63" i="11"/>
  <c r="F63" i="11"/>
  <c r="G63" i="11"/>
  <c r="H63" i="11"/>
  <c r="K63" i="11"/>
  <c r="L63" i="11"/>
  <c r="B64" i="11"/>
  <c r="C64" i="11"/>
  <c r="D64" i="11"/>
  <c r="E64" i="11"/>
  <c r="F64" i="11"/>
  <c r="G64" i="11"/>
  <c r="H64" i="11"/>
  <c r="K64" i="11"/>
  <c r="L64" i="11"/>
  <c r="B65" i="11"/>
  <c r="C65" i="11"/>
  <c r="D65" i="11"/>
  <c r="E65" i="11"/>
  <c r="F65" i="11"/>
  <c r="G65" i="11"/>
  <c r="H65" i="11"/>
  <c r="K65" i="11"/>
  <c r="L65" i="11"/>
  <c r="B66" i="11"/>
  <c r="C66" i="11"/>
  <c r="D66" i="11"/>
  <c r="E66" i="11"/>
  <c r="F66" i="11"/>
  <c r="G66" i="11"/>
  <c r="H66" i="11"/>
  <c r="K66" i="11"/>
  <c r="L66" i="11"/>
  <c r="B67" i="11"/>
  <c r="C67" i="11"/>
  <c r="D67" i="11"/>
  <c r="E67" i="11"/>
  <c r="F67" i="11"/>
  <c r="G67" i="11"/>
  <c r="H67" i="11"/>
  <c r="K67" i="11"/>
  <c r="L67" i="11"/>
  <c r="B68" i="11"/>
  <c r="C68" i="11"/>
  <c r="D68" i="11"/>
  <c r="E68" i="11"/>
  <c r="F68" i="11"/>
  <c r="G68" i="11"/>
  <c r="H68" i="11"/>
  <c r="K68" i="11"/>
  <c r="L68" i="11"/>
  <c r="B69" i="11"/>
  <c r="C69" i="11"/>
  <c r="D69" i="11"/>
  <c r="E69" i="11"/>
  <c r="F69" i="11"/>
  <c r="G69" i="11"/>
  <c r="H69" i="11"/>
  <c r="K69" i="11"/>
  <c r="L69" i="11"/>
  <c r="B70" i="11"/>
  <c r="C70" i="11"/>
  <c r="D70" i="11"/>
  <c r="E70" i="11"/>
  <c r="F70" i="11"/>
  <c r="G70" i="11"/>
  <c r="H70" i="11"/>
  <c r="K70" i="11"/>
  <c r="L70" i="11"/>
  <c r="B71" i="11"/>
  <c r="C71" i="11"/>
  <c r="D71" i="11"/>
  <c r="E71" i="11"/>
  <c r="F71" i="11"/>
  <c r="G71" i="11"/>
  <c r="H71" i="11"/>
  <c r="K71" i="11"/>
  <c r="L71" i="11"/>
  <c r="B72" i="11"/>
  <c r="C72" i="11"/>
  <c r="D72" i="11"/>
  <c r="E72" i="11"/>
  <c r="F72" i="11"/>
  <c r="G72" i="11"/>
  <c r="H72" i="11"/>
  <c r="K72" i="11"/>
  <c r="L72" i="11"/>
  <c r="B73" i="11"/>
  <c r="C73" i="11"/>
  <c r="D73" i="11"/>
  <c r="E73" i="11"/>
  <c r="F73" i="11"/>
  <c r="G73" i="11"/>
  <c r="H73" i="11"/>
  <c r="K73" i="11"/>
  <c r="L73" i="11"/>
  <c r="B74" i="11"/>
  <c r="C74" i="11"/>
  <c r="D74" i="11"/>
  <c r="E74" i="11"/>
  <c r="F74" i="11"/>
  <c r="G74" i="11"/>
  <c r="H74" i="11"/>
  <c r="K74" i="11"/>
  <c r="L74" i="11"/>
  <c r="B75" i="11"/>
  <c r="C75" i="11"/>
  <c r="D75" i="11"/>
  <c r="E75" i="11"/>
  <c r="F75" i="11"/>
  <c r="G75" i="11"/>
  <c r="H75" i="11"/>
  <c r="K75" i="11"/>
  <c r="L75" i="11"/>
  <c r="T26" i="1" l="1"/>
  <c r="U26" i="1" s="1"/>
  <c r="C113" i="19"/>
  <c r="T6" i="1"/>
  <c r="U6" i="1" s="1"/>
  <c r="V6" i="1" s="1"/>
  <c r="M31" i="11"/>
  <c r="I30" i="11"/>
  <c r="M30" i="11" s="1"/>
  <c r="C76" i="11"/>
  <c r="I64" i="11"/>
  <c r="M64" i="11" s="1"/>
  <c r="I25" i="11"/>
  <c r="M25" i="11" s="1"/>
  <c r="E40" i="11"/>
  <c r="I66" i="11"/>
  <c r="M66" i="11" s="1"/>
  <c r="I74" i="11"/>
  <c r="M74" i="11" s="1"/>
  <c r="L76" i="11"/>
  <c r="I50" i="11"/>
  <c r="M50" i="11" s="1"/>
  <c r="B33" i="11"/>
  <c r="I39" i="11"/>
  <c r="M39" i="11" s="1"/>
  <c r="B40" i="11"/>
  <c r="I17" i="11"/>
  <c r="M17" i="11" s="1"/>
  <c r="I16" i="11"/>
  <c r="M16" i="11" s="1"/>
  <c r="I54" i="11"/>
  <c r="M54" i="11" s="1"/>
  <c r="I47" i="11"/>
  <c r="M47" i="11" s="1"/>
  <c r="I29" i="11"/>
  <c r="M29" i="11" s="1"/>
  <c r="H33" i="11"/>
  <c r="E76" i="11"/>
  <c r="L40" i="11"/>
  <c r="I28" i="11"/>
  <c r="M28" i="11" s="1"/>
  <c r="E33" i="11"/>
  <c r="G33" i="11"/>
  <c r="D76" i="11"/>
  <c r="I45" i="11"/>
  <c r="M45" i="11" s="1"/>
  <c r="H40" i="11"/>
  <c r="I26" i="11"/>
  <c r="M26" i="11" s="1"/>
  <c r="D33" i="11"/>
  <c r="F33" i="11"/>
  <c r="I43" i="11"/>
  <c r="M43" i="11" s="1"/>
  <c r="G40" i="11"/>
  <c r="L33" i="11"/>
  <c r="L52" i="11" s="1"/>
  <c r="L56" i="11" s="1"/>
  <c r="I19" i="11"/>
  <c r="M19" i="11" s="1"/>
  <c r="I18" i="11"/>
  <c r="M18" i="11" s="1"/>
  <c r="I75" i="11"/>
  <c r="M75" i="11" s="1"/>
  <c r="I69" i="11"/>
  <c r="M69" i="11" s="1"/>
  <c r="K76" i="11"/>
  <c r="I62" i="11"/>
  <c r="M62" i="11" s="1"/>
  <c r="I48" i="11"/>
  <c r="M48" i="11" s="1"/>
  <c r="I23" i="11"/>
  <c r="M23" i="11" s="1"/>
  <c r="K33" i="11"/>
  <c r="I73" i="11"/>
  <c r="M73" i="11" s="1"/>
  <c r="G76" i="11"/>
  <c r="I55" i="11"/>
  <c r="M55" i="11" s="1"/>
  <c r="D40" i="11"/>
  <c r="F76" i="11"/>
  <c r="I46" i="11"/>
  <c r="M46" i="11" s="1"/>
  <c r="I36" i="11"/>
  <c r="M36" i="11" s="1"/>
  <c r="I71" i="11"/>
  <c r="M71" i="11" s="1"/>
  <c r="I51" i="11"/>
  <c r="M51" i="11" s="1"/>
  <c r="I27" i="11"/>
  <c r="M27" i="11" s="1"/>
  <c r="I20" i="11"/>
  <c r="M20" i="11" s="1"/>
  <c r="I70" i="11"/>
  <c r="M70" i="11" s="1"/>
  <c r="I44" i="11"/>
  <c r="M44" i="11" s="1"/>
  <c r="I68" i="11"/>
  <c r="M68" i="11" s="1"/>
  <c r="I67" i="11"/>
  <c r="M67" i="11" s="1"/>
  <c r="I61" i="11"/>
  <c r="M61" i="11" s="1"/>
  <c r="I32" i="11"/>
  <c r="M32" i="11" s="1"/>
  <c r="C33" i="11"/>
  <c r="I15" i="11"/>
  <c r="M15" i="11" s="1"/>
  <c r="H76" i="11"/>
  <c r="I38" i="11"/>
  <c r="M38" i="11" s="1"/>
  <c r="I22" i="11"/>
  <c r="M22" i="11" s="1"/>
  <c r="I65" i="11"/>
  <c r="M65" i="11" s="1"/>
  <c r="I37" i="11"/>
  <c r="M37" i="11" s="1"/>
  <c r="I21" i="11"/>
  <c r="M21" i="11" s="1"/>
  <c r="M53" i="11"/>
  <c r="K40" i="11"/>
  <c r="I63" i="11"/>
  <c r="M63" i="11" s="1"/>
  <c r="I72" i="11"/>
  <c r="M72" i="11" s="1"/>
  <c r="I60" i="11"/>
  <c r="M60" i="11" s="1"/>
  <c r="I49" i="11"/>
  <c r="M49" i="11" s="1"/>
  <c r="F40" i="11"/>
  <c r="I24" i="11"/>
  <c r="M24" i="11" s="1"/>
  <c r="B76" i="11"/>
  <c r="C40" i="11"/>
  <c r="H52" i="11" l="1"/>
  <c r="H56" i="11" s="1"/>
  <c r="H78" i="11" s="1"/>
  <c r="T7" i="1"/>
  <c r="T27" i="1"/>
  <c r="L78" i="11"/>
  <c r="E52" i="11"/>
  <c r="E56" i="11" s="1"/>
  <c r="E78" i="11" s="1"/>
  <c r="K52" i="11"/>
  <c r="K56" i="11" s="1"/>
  <c r="K78" i="11" s="1"/>
  <c r="I40" i="11"/>
  <c r="F52" i="11"/>
  <c r="F56" i="11" s="1"/>
  <c r="F78" i="11" s="1"/>
  <c r="V26" i="1"/>
  <c r="V27" i="1" s="1"/>
  <c r="U27" i="1"/>
  <c r="M33" i="11"/>
  <c r="P6" i="1" s="1"/>
  <c r="I76" i="11"/>
  <c r="B52" i="11"/>
  <c r="B56" i="11" s="1"/>
  <c r="B78" i="11" s="1"/>
  <c r="D52" i="11"/>
  <c r="D56" i="11" s="1"/>
  <c r="D78" i="11" s="1"/>
  <c r="I33" i="11"/>
  <c r="I52" i="11" s="1"/>
  <c r="I56" i="11" s="1"/>
  <c r="M40" i="11"/>
  <c r="P26" i="1" s="1"/>
  <c r="P31" i="1" s="1"/>
  <c r="C52" i="11"/>
  <c r="C56" i="11" s="1"/>
  <c r="C78" i="11" s="1"/>
  <c r="M76" i="11"/>
  <c r="G52" i="11"/>
  <c r="G56" i="11" s="1"/>
  <c r="G78" i="11" s="1"/>
  <c r="V7" i="1"/>
  <c r="U7" i="1"/>
  <c r="P11" i="1" l="1"/>
  <c r="P23" i="1"/>
  <c r="P19" i="1"/>
  <c r="P15" i="1"/>
  <c r="Q7" i="1"/>
  <c r="I78" i="11"/>
  <c r="Q27" i="1"/>
  <c r="M52" i="11"/>
  <c r="M56" i="11" s="1"/>
  <c r="M78" i="11" s="1"/>
  <c r="B15" i="10"/>
  <c r="C15" i="10"/>
  <c r="D15" i="10"/>
  <c r="E15" i="10"/>
  <c r="F15" i="10"/>
  <c r="G15" i="10"/>
  <c r="H15" i="10"/>
  <c r="K15" i="10"/>
  <c r="L15" i="10"/>
  <c r="B16" i="10"/>
  <c r="C16" i="10"/>
  <c r="D16" i="10"/>
  <c r="E16" i="10"/>
  <c r="F16" i="10"/>
  <c r="G16" i="10"/>
  <c r="H16" i="10"/>
  <c r="K16" i="10"/>
  <c r="L16" i="10"/>
  <c r="B17" i="10"/>
  <c r="C17" i="10"/>
  <c r="D17" i="10"/>
  <c r="E17" i="10"/>
  <c r="F17" i="10"/>
  <c r="G17" i="10"/>
  <c r="H17" i="10"/>
  <c r="K17" i="10"/>
  <c r="L17" i="10"/>
  <c r="B18" i="10"/>
  <c r="C18" i="10"/>
  <c r="D18" i="10"/>
  <c r="E18" i="10"/>
  <c r="F18" i="10"/>
  <c r="G18" i="10"/>
  <c r="H18" i="10"/>
  <c r="K18" i="10"/>
  <c r="L18" i="10"/>
  <c r="B19" i="10"/>
  <c r="C19" i="10"/>
  <c r="D19" i="10"/>
  <c r="E19" i="10"/>
  <c r="F19" i="10"/>
  <c r="G19" i="10"/>
  <c r="H19" i="10"/>
  <c r="K19" i="10"/>
  <c r="L19" i="10"/>
  <c r="B20" i="10"/>
  <c r="C20" i="10"/>
  <c r="D20" i="10"/>
  <c r="E20" i="10"/>
  <c r="F20" i="10"/>
  <c r="G20" i="10"/>
  <c r="H20" i="10"/>
  <c r="K20" i="10"/>
  <c r="L20" i="10"/>
  <c r="B21" i="10"/>
  <c r="C21" i="10"/>
  <c r="D21" i="10"/>
  <c r="E21" i="10"/>
  <c r="F21" i="10"/>
  <c r="G21" i="10"/>
  <c r="H21" i="10"/>
  <c r="K21" i="10"/>
  <c r="L21" i="10"/>
  <c r="B22" i="10"/>
  <c r="C22" i="10"/>
  <c r="D22" i="10"/>
  <c r="E22" i="10"/>
  <c r="F22" i="10"/>
  <c r="G22" i="10"/>
  <c r="H22" i="10"/>
  <c r="K22" i="10"/>
  <c r="L22" i="10"/>
  <c r="B23" i="10"/>
  <c r="C23" i="10"/>
  <c r="D23" i="10"/>
  <c r="E23" i="10"/>
  <c r="F23" i="10"/>
  <c r="G23" i="10"/>
  <c r="H23" i="10"/>
  <c r="K23" i="10"/>
  <c r="L23" i="10"/>
  <c r="B24" i="10"/>
  <c r="C24" i="10"/>
  <c r="D24" i="10"/>
  <c r="E24" i="10"/>
  <c r="F24" i="10"/>
  <c r="G24" i="10"/>
  <c r="H24" i="10"/>
  <c r="K24" i="10"/>
  <c r="L24" i="10"/>
  <c r="B25" i="10"/>
  <c r="C25" i="10"/>
  <c r="D25" i="10"/>
  <c r="E25" i="10"/>
  <c r="F25" i="10"/>
  <c r="G25" i="10"/>
  <c r="H25" i="10"/>
  <c r="K25" i="10"/>
  <c r="L25" i="10"/>
  <c r="B26" i="10"/>
  <c r="C26" i="10"/>
  <c r="D26" i="10"/>
  <c r="E26" i="10"/>
  <c r="F26" i="10"/>
  <c r="G26" i="10"/>
  <c r="H26" i="10"/>
  <c r="K26" i="10"/>
  <c r="L26" i="10"/>
  <c r="B27" i="10"/>
  <c r="C27" i="10"/>
  <c r="D27" i="10"/>
  <c r="E27" i="10"/>
  <c r="F27" i="10"/>
  <c r="G27" i="10"/>
  <c r="H27" i="10"/>
  <c r="K27" i="10"/>
  <c r="L27" i="10"/>
  <c r="B28" i="10"/>
  <c r="C28" i="10"/>
  <c r="D28" i="10"/>
  <c r="E28" i="10"/>
  <c r="F28" i="10"/>
  <c r="G28" i="10"/>
  <c r="H28" i="10"/>
  <c r="K28" i="10"/>
  <c r="L28" i="10"/>
  <c r="B29" i="10"/>
  <c r="C29" i="10"/>
  <c r="D29" i="10"/>
  <c r="E29" i="10"/>
  <c r="F29" i="10"/>
  <c r="G29" i="10"/>
  <c r="H29" i="10"/>
  <c r="K29" i="10"/>
  <c r="L29" i="10"/>
  <c r="B30" i="10"/>
  <c r="C30" i="10"/>
  <c r="D30" i="10"/>
  <c r="E30" i="10"/>
  <c r="F30" i="10"/>
  <c r="G30" i="10"/>
  <c r="H30" i="10"/>
  <c r="K30" i="10"/>
  <c r="L30" i="10"/>
  <c r="B31" i="10"/>
  <c r="C31" i="10"/>
  <c r="D31" i="10"/>
  <c r="E31" i="10"/>
  <c r="F31" i="10"/>
  <c r="G31" i="10"/>
  <c r="H31" i="10"/>
  <c r="K31" i="10"/>
  <c r="L31" i="10"/>
  <c r="B32" i="10"/>
  <c r="C32" i="10"/>
  <c r="D32" i="10"/>
  <c r="E32" i="10"/>
  <c r="F32" i="10"/>
  <c r="G32" i="10"/>
  <c r="H32" i="10"/>
  <c r="K32" i="10"/>
  <c r="L32" i="10"/>
  <c r="J33" i="10"/>
  <c r="B36" i="10"/>
  <c r="C36" i="10"/>
  <c r="D36" i="10"/>
  <c r="E36" i="10"/>
  <c r="F36" i="10"/>
  <c r="G36" i="10"/>
  <c r="H36" i="10"/>
  <c r="K36" i="10"/>
  <c r="L36" i="10"/>
  <c r="B37" i="10"/>
  <c r="C37" i="10"/>
  <c r="D37" i="10"/>
  <c r="E37" i="10"/>
  <c r="F37" i="10"/>
  <c r="G37" i="10"/>
  <c r="H37" i="10"/>
  <c r="K37" i="10"/>
  <c r="L37" i="10"/>
  <c r="B38" i="10"/>
  <c r="C38" i="10"/>
  <c r="D38" i="10"/>
  <c r="E38" i="10"/>
  <c r="F38" i="10"/>
  <c r="G38" i="10"/>
  <c r="H38" i="10"/>
  <c r="K38" i="10"/>
  <c r="L38" i="10"/>
  <c r="B39" i="10"/>
  <c r="C39" i="10"/>
  <c r="D39" i="10"/>
  <c r="E39" i="10"/>
  <c r="F39" i="10"/>
  <c r="G39" i="10"/>
  <c r="H39" i="10"/>
  <c r="K39" i="10"/>
  <c r="L39" i="10"/>
  <c r="J40" i="10"/>
  <c r="B43" i="10"/>
  <c r="C43" i="10"/>
  <c r="D43" i="10"/>
  <c r="E43" i="10"/>
  <c r="F43" i="10"/>
  <c r="G43" i="10"/>
  <c r="H43" i="10"/>
  <c r="K43" i="10"/>
  <c r="L43" i="10"/>
  <c r="B44" i="10"/>
  <c r="C44" i="10"/>
  <c r="D44" i="10"/>
  <c r="E44" i="10"/>
  <c r="F44" i="10"/>
  <c r="G44" i="10"/>
  <c r="H44" i="10"/>
  <c r="K44" i="10"/>
  <c r="L44" i="10"/>
  <c r="B45" i="10"/>
  <c r="C45" i="10"/>
  <c r="D45" i="10"/>
  <c r="E45" i="10"/>
  <c r="F45" i="10"/>
  <c r="G45" i="10"/>
  <c r="H45" i="10"/>
  <c r="K45" i="10"/>
  <c r="L45" i="10"/>
  <c r="B46" i="10"/>
  <c r="C46" i="10"/>
  <c r="D46" i="10"/>
  <c r="E46" i="10"/>
  <c r="F46" i="10"/>
  <c r="G46" i="10"/>
  <c r="H46" i="10"/>
  <c r="K46" i="10"/>
  <c r="L46" i="10"/>
  <c r="B47" i="10"/>
  <c r="C47" i="10"/>
  <c r="D47" i="10"/>
  <c r="E47" i="10"/>
  <c r="F47" i="10"/>
  <c r="G47" i="10"/>
  <c r="H47" i="10"/>
  <c r="K47" i="10"/>
  <c r="L47" i="10"/>
  <c r="B48" i="10"/>
  <c r="C48" i="10"/>
  <c r="D48" i="10"/>
  <c r="E48" i="10"/>
  <c r="F48" i="10"/>
  <c r="G48" i="10"/>
  <c r="H48" i="10"/>
  <c r="K48" i="10"/>
  <c r="L48" i="10"/>
  <c r="B49" i="10"/>
  <c r="C49" i="10"/>
  <c r="D49" i="10"/>
  <c r="E49" i="10"/>
  <c r="F49" i="10"/>
  <c r="G49" i="10"/>
  <c r="H49" i="10"/>
  <c r="K49" i="10"/>
  <c r="L49" i="10"/>
  <c r="B50" i="10"/>
  <c r="C50" i="10"/>
  <c r="D50" i="10"/>
  <c r="E50" i="10"/>
  <c r="F50" i="10"/>
  <c r="G50" i="10"/>
  <c r="H50" i="10"/>
  <c r="K50" i="10"/>
  <c r="L50" i="10"/>
  <c r="B51" i="10"/>
  <c r="C51" i="10"/>
  <c r="D51" i="10"/>
  <c r="E51" i="10"/>
  <c r="F51" i="10"/>
  <c r="G51" i="10"/>
  <c r="H51" i="10"/>
  <c r="K51" i="10"/>
  <c r="L51" i="10"/>
  <c r="G53" i="10"/>
  <c r="I53" i="10" s="1"/>
  <c r="K53" i="10"/>
  <c r="B54" i="10"/>
  <c r="C54" i="10"/>
  <c r="D54" i="10"/>
  <c r="E54" i="10"/>
  <c r="F54" i="10"/>
  <c r="G54" i="10"/>
  <c r="H54" i="10"/>
  <c r="K54" i="10"/>
  <c r="B55" i="10"/>
  <c r="C55" i="10"/>
  <c r="D55" i="10"/>
  <c r="E55" i="10"/>
  <c r="F55" i="10"/>
  <c r="G55" i="10"/>
  <c r="H55" i="10"/>
  <c r="K55" i="10"/>
  <c r="L55" i="10"/>
  <c r="J56" i="10"/>
  <c r="B60" i="10"/>
  <c r="C60" i="10"/>
  <c r="D60" i="10"/>
  <c r="E60" i="10"/>
  <c r="F60" i="10"/>
  <c r="G60" i="10"/>
  <c r="H60" i="10"/>
  <c r="K60" i="10"/>
  <c r="L60" i="10"/>
  <c r="B61" i="10"/>
  <c r="C61" i="10"/>
  <c r="D61" i="10"/>
  <c r="E61" i="10"/>
  <c r="F61" i="10"/>
  <c r="G61" i="10"/>
  <c r="H61" i="10"/>
  <c r="K61" i="10"/>
  <c r="L61" i="10"/>
  <c r="B62" i="10"/>
  <c r="C62" i="10"/>
  <c r="D62" i="10"/>
  <c r="E62" i="10"/>
  <c r="F62" i="10"/>
  <c r="G62" i="10"/>
  <c r="H62" i="10"/>
  <c r="K62" i="10"/>
  <c r="L62" i="10"/>
  <c r="B63" i="10"/>
  <c r="C63" i="10"/>
  <c r="D63" i="10"/>
  <c r="E63" i="10"/>
  <c r="F63" i="10"/>
  <c r="G63" i="10"/>
  <c r="H63" i="10"/>
  <c r="K63" i="10"/>
  <c r="L63" i="10"/>
  <c r="B64" i="10"/>
  <c r="C64" i="10"/>
  <c r="D64" i="10"/>
  <c r="E64" i="10"/>
  <c r="F64" i="10"/>
  <c r="G64" i="10"/>
  <c r="H64" i="10"/>
  <c r="K64" i="10"/>
  <c r="L64" i="10"/>
  <c r="B65" i="10"/>
  <c r="C65" i="10"/>
  <c r="D65" i="10"/>
  <c r="E65" i="10"/>
  <c r="F65" i="10"/>
  <c r="G65" i="10"/>
  <c r="H65" i="10"/>
  <c r="K65" i="10"/>
  <c r="L65" i="10"/>
  <c r="B66" i="10"/>
  <c r="C66" i="10"/>
  <c r="D66" i="10"/>
  <c r="E66" i="10"/>
  <c r="F66" i="10"/>
  <c r="G66" i="10"/>
  <c r="H66" i="10"/>
  <c r="K66" i="10"/>
  <c r="L66" i="10"/>
  <c r="B67" i="10"/>
  <c r="C67" i="10"/>
  <c r="D67" i="10"/>
  <c r="E67" i="10"/>
  <c r="F67" i="10"/>
  <c r="G67" i="10"/>
  <c r="H67" i="10"/>
  <c r="K67" i="10"/>
  <c r="L67" i="10"/>
  <c r="B68" i="10"/>
  <c r="C68" i="10"/>
  <c r="D68" i="10"/>
  <c r="E68" i="10"/>
  <c r="F68" i="10"/>
  <c r="G68" i="10"/>
  <c r="H68" i="10"/>
  <c r="K68" i="10"/>
  <c r="L68" i="10"/>
  <c r="B69" i="10"/>
  <c r="C69" i="10"/>
  <c r="D69" i="10"/>
  <c r="E69" i="10"/>
  <c r="F69" i="10"/>
  <c r="G69" i="10"/>
  <c r="H69" i="10"/>
  <c r="K69" i="10"/>
  <c r="L69" i="10"/>
  <c r="B70" i="10"/>
  <c r="C70" i="10"/>
  <c r="D70" i="10"/>
  <c r="E70" i="10"/>
  <c r="F70" i="10"/>
  <c r="G70" i="10"/>
  <c r="H70" i="10"/>
  <c r="K70" i="10"/>
  <c r="L70" i="10"/>
  <c r="B71" i="10"/>
  <c r="C71" i="10"/>
  <c r="D71" i="10"/>
  <c r="E71" i="10"/>
  <c r="F71" i="10"/>
  <c r="G71" i="10"/>
  <c r="H71" i="10"/>
  <c r="K71" i="10"/>
  <c r="L71" i="10"/>
  <c r="B72" i="10"/>
  <c r="C72" i="10"/>
  <c r="D72" i="10"/>
  <c r="E72" i="10"/>
  <c r="F72" i="10"/>
  <c r="G72" i="10"/>
  <c r="H72" i="10"/>
  <c r="K72" i="10"/>
  <c r="L72" i="10"/>
  <c r="B73" i="10"/>
  <c r="C73" i="10"/>
  <c r="D73" i="10"/>
  <c r="E73" i="10"/>
  <c r="F73" i="10"/>
  <c r="G73" i="10"/>
  <c r="H73" i="10"/>
  <c r="K73" i="10"/>
  <c r="L73" i="10"/>
  <c r="B74" i="10"/>
  <c r="C74" i="10"/>
  <c r="D74" i="10"/>
  <c r="E74" i="10"/>
  <c r="F74" i="10"/>
  <c r="G74" i="10"/>
  <c r="H74" i="10"/>
  <c r="K74" i="10"/>
  <c r="L74" i="10"/>
  <c r="B75" i="10"/>
  <c r="C75" i="10"/>
  <c r="D75" i="10"/>
  <c r="E75" i="10"/>
  <c r="F75" i="10"/>
  <c r="G75" i="10"/>
  <c r="H75" i="10"/>
  <c r="K75" i="10"/>
  <c r="L75" i="10"/>
  <c r="J78" i="10"/>
  <c r="C112" i="19" l="1"/>
  <c r="D40" i="10"/>
  <c r="I20" i="10"/>
  <c r="M20" i="10" s="1"/>
  <c r="I18" i="10"/>
  <c r="M18" i="10" s="1"/>
  <c r="L33" i="10"/>
  <c r="L40" i="10"/>
  <c r="I43" i="10"/>
  <c r="M43" i="10" s="1"/>
  <c r="E76" i="10"/>
  <c r="I60" i="10"/>
  <c r="M60" i="10" s="1"/>
  <c r="I72" i="10"/>
  <c r="M72" i="10" s="1"/>
  <c r="I48" i="10"/>
  <c r="M48" i="10" s="1"/>
  <c r="I23" i="10"/>
  <c r="M23" i="10" s="1"/>
  <c r="I15" i="10"/>
  <c r="M15" i="10" s="1"/>
  <c r="M53" i="10"/>
  <c r="I75" i="10"/>
  <c r="M75" i="10" s="1"/>
  <c r="M31" i="10"/>
  <c r="I64" i="10"/>
  <c r="M64" i="10" s="1"/>
  <c r="I49" i="10"/>
  <c r="M49" i="10" s="1"/>
  <c r="C40" i="10"/>
  <c r="I73" i="10"/>
  <c r="M73" i="10" s="1"/>
  <c r="I66" i="10"/>
  <c r="M66" i="10" s="1"/>
  <c r="G76" i="10"/>
  <c r="H76" i="10"/>
  <c r="G40" i="10"/>
  <c r="D33" i="10"/>
  <c r="D52" i="10" s="1"/>
  <c r="D56" i="10" s="1"/>
  <c r="I32" i="10"/>
  <c r="M32" i="10" s="1"/>
  <c r="I25" i="10"/>
  <c r="M25" i="10" s="1"/>
  <c r="C33" i="10"/>
  <c r="I65" i="10"/>
  <c r="M65" i="10" s="1"/>
  <c r="I55" i="10"/>
  <c r="M55" i="10" s="1"/>
  <c r="I54" i="10"/>
  <c r="M54" i="10" s="1"/>
  <c r="I47" i="10"/>
  <c r="M47" i="10" s="1"/>
  <c r="I46" i="10"/>
  <c r="M46" i="10" s="1"/>
  <c r="I39" i="10"/>
  <c r="M39" i="10" s="1"/>
  <c r="E40" i="10"/>
  <c r="F40" i="10"/>
  <c r="I24" i="10"/>
  <c r="M24" i="10" s="1"/>
  <c r="I17" i="10"/>
  <c r="M17" i="10" s="1"/>
  <c r="D76" i="10"/>
  <c r="F76" i="10"/>
  <c r="I51" i="10"/>
  <c r="M51" i="10" s="1"/>
  <c r="H33" i="10"/>
  <c r="I16" i="10"/>
  <c r="M16" i="10" s="1"/>
  <c r="B76" i="10"/>
  <c r="I71" i="10"/>
  <c r="M71" i="10" s="1"/>
  <c r="I70" i="10"/>
  <c r="M70" i="10" s="1"/>
  <c r="C76" i="10"/>
  <c r="I45" i="10"/>
  <c r="M45" i="10" s="1"/>
  <c r="I44" i="10"/>
  <c r="M44" i="10" s="1"/>
  <c r="I38" i="10"/>
  <c r="M38" i="10" s="1"/>
  <c r="I37" i="10"/>
  <c r="M37" i="10" s="1"/>
  <c r="I36" i="10"/>
  <c r="M36" i="10" s="1"/>
  <c r="I30" i="10"/>
  <c r="M30" i="10" s="1"/>
  <c r="I29" i="10"/>
  <c r="M29" i="10" s="1"/>
  <c r="L76" i="10"/>
  <c r="I63" i="10"/>
  <c r="M63" i="10" s="1"/>
  <c r="I62" i="10"/>
  <c r="M62" i="10" s="1"/>
  <c r="K40" i="10"/>
  <c r="I27" i="10"/>
  <c r="M27" i="10" s="1"/>
  <c r="I22" i="10"/>
  <c r="M22" i="10" s="1"/>
  <c r="I21" i="10"/>
  <c r="M21" i="10" s="1"/>
  <c r="E33" i="10"/>
  <c r="F33" i="10"/>
  <c r="G33" i="10"/>
  <c r="I69" i="10"/>
  <c r="M69" i="10" s="1"/>
  <c r="I68" i="10"/>
  <c r="M68" i="10" s="1"/>
  <c r="I67" i="10"/>
  <c r="M67" i="10" s="1"/>
  <c r="I50" i="10"/>
  <c r="M50" i="10" s="1"/>
  <c r="I28" i="10"/>
  <c r="M28" i="10" s="1"/>
  <c r="I26" i="10"/>
  <c r="M26" i="10" s="1"/>
  <c r="I19" i="10"/>
  <c r="M19" i="10" s="1"/>
  <c r="I74" i="10"/>
  <c r="M74" i="10" s="1"/>
  <c r="K76" i="10"/>
  <c r="H40" i="10"/>
  <c r="K33" i="10"/>
  <c r="I61" i="10"/>
  <c r="M61" i="10" s="1"/>
  <c r="B40" i="10"/>
  <c r="B33" i="10"/>
  <c r="L52" i="10" l="1"/>
  <c r="L56" i="10" s="1"/>
  <c r="L78" i="10" s="1"/>
  <c r="D78" i="10"/>
  <c r="B52" i="10"/>
  <c r="B56" i="10" s="1"/>
  <c r="B78" i="10" s="1"/>
  <c r="C52" i="10"/>
  <c r="C56" i="10" s="1"/>
  <c r="C78" i="10" s="1"/>
  <c r="K52" i="10"/>
  <c r="K56" i="10" s="1"/>
  <c r="K78" i="10" s="1"/>
  <c r="M33" i="10"/>
  <c r="O6" i="1" s="1"/>
  <c r="H52" i="10"/>
  <c r="H56" i="10" s="1"/>
  <c r="H78" i="10" s="1"/>
  <c r="F52" i="10"/>
  <c r="F56" i="10" s="1"/>
  <c r="F78" i="10" s="1"/>
  <c r="G52" i="10"/>
  <c r="G56" i="10" s="1"/>
  <c r="G78" i="10" s="1"/>
  <c r="E52" i="10"/>
  <c r="E56" i="10" s="1"/>
  <c r="E78" i="10" s="1"/>
  <c r="I33" i="10"/>
  <c r="I40" i="10"/>
  <c r="M40" i="10"/>
  <c r="O26" i="1" s="1"/>
  <c r="O31" i="1" s="1"/>
  <c r="M76" i="10"/>
  <c r="I76" i="10"/>
  <c r="O19" i="1" l="1"/>
  <c r="O15" i="1"/>
  <c r="O11" i="1"/>
  <c r="O23" i="1"/>
  <c r="P7" i="1"/>
  <c r="I52" i="10"/>
  <c r="I56" i="10" s="1"/>
  <c r="I78" i="10" s="1"/>
  <c r="P27" i="1"/>
  <c r="M52" i="10"/>
  <c r="M56" i="10" s="1"/>
  <c r="M78" i="10" s="1"/>
  <c r="B15" i="9"/>
  <c r="C15" i="9"/>
  <c r="D15" i="9"/>
  <c r="E15" i="9"/>
  <c r="F15" i="9"/>
  <c r="G15" i="9"/>
  <c r="H15" i="9"/>
  <c r="K15" i="9"/>
  <c r="L15" i="9"/>
  <c r="B16" i="9"/>
  <c r="C16" i="9"/>
  <c r="D16" i="9"/>
  <c r="E16" i="9"/>
  <c r="F16" i="9"/>
  <c r="G16" i="9"/>
  <c r="H16" i="9"/>
  <c r="K16" i="9"/>
  <c r="L16" i="9"/>
  <c r="C17" i="9"/>
  <c r="D17" i="9"/>
  <c r="E17" i="9"/>
  <c r="F17" i="9"/>
  <c r="G17" i="9"/>
  <c r="H17" i="9"/>
  <c r="K17" i="9"/>
  <c r="L17" i="9"/>
  <c r="B18" i="9"/>
  <c r="C18" i="9"/>
  <c r="D18" i="9"/>
  <c r="E18" i="9"/>
  <c r="F18" i="9"/>
  <c r="G18" i="9"/>
  <c r="H18" i="9"/>
  <c r="K18" i="9"/>
  <c r="L18" i="9"/>
  <c r="B19" i="9"/>
  <c r="C19" i="9"/>
  <c r="D19" i="9"/>
  <c r="E19" i="9"/>
  <c r="F19" i="9"/>
  <c r="G19" i="9"/>
  <c r="H19" i="9"/>
  <c r="L19" i="9"/>
  <c r="B20" i="9"/>
  <c r="C20" i="9"/>
  <c r="D20" i="9"/>
  <c r="E20" i="9"/>
  <c r="F20" i="9"/>
  <c r="G20" i="9"/>
  <c r="H20" i="9"/>
  <c r="K20" i="9"/>
  <c r="L20" i="9"/>
  <c r="B21" i="9"/>
  <c r="C21" i="9"/>
  <c r="D21" i="9"/>
  <c r="E21" i="9"/>
  <c r="F21" i="9"/>
  <c r="G21" i="9"/>
  <c r="H21" i="9"/>
  <c r="K21" i="9"/>
  <c r="L21" i="9"/>
  <c r="B22" i="9"/>
  <c r="C22" i="9"/>
  <c r="D22" i="9"/>
  <c r="E22" i="9"/>
  <c r="F22" i="9"/>
  <c r="G22" i="9"/>
  <c r="H22" i="9"/>
  <c r="K22" i="9"/>
  <c r="L22" i="9"/>
  <c r="B23" i="9"/>
  <c r="C23" i="9"/>
  <c r="D23" i="9"/>
  <c r="E23" i="9"/>
  <c r="F23" i="9"/>
  <c r="G23" i="9"/>
  <c r="H23" i="9"/>
  <c r="K23" i="9"/>
  <c r="L23" i="9"/>
  <c r="B24" i="9"/>
  <c r="C24" i="9"/>
  <c r="D24" i="9"/>
  <c r="E24" i="9"/>
  <c r="F24" i="9"/>
  <c r="G24" i="9"/>
  <c r="H24" i="9"/>
  <c r="K24" i="9"/>
  <c r="L24" i="9"/>
  <c r="B25" i="9"/>
  <c r="C25" i="9"/>
  <c r="D25" i="9"/>
  <c r="E25" i="9"/>
  <c r="F25" i="9"/>
  <c r="G25" i="9"/>
  <c r="H25" i="9"/>
  <c r="K25" i="9"/>
  <c r="L25" i="9"/>
  <c r="C26" i="9"/>
  <c r="I26" i="9" s="1"/>
  <c r="M26" i="9" s="1"/>
  <c r="B27" i="9"/>
  <c r="C27" i="9"/>
  <c r="D27" i="9"/>
  <c r="E27" i="9"/>
  <c r="F27" i="9"/>
  <c r="G27" i="9"/>
  <c r="H27" i="9"/>
  <c r="K27" i="9"/>
  <c r="L27" i="9"/>
  <c r="B28" i="9"/>
  <c r="C28" i="9"/>
  <c r="D28" i="9"/>
  <c r="E28" i="9"/>
  <c r="F28" i="9"/>
  <c r="G28" i="9"/>
  <c r="H28" i="9"/>
  <c r="K28" i="9"/>
  <c r="L28" i="9"/>
  <c r="B29" i="9"/>
  <c r="C29" i="9"/>
  <c r="D29" i="9"/>
  <c r="E29" i="9"/>
  <c r="F29" i="9"/>
  <c r="G29" i="9"/>
  <c r="H29" i="9"/>
  <c r="K29" i="9"/>
  <c r="L29" i="9"/>
  <c r="B30" i="9"/>
  <c r="C30" i="9"/>
  <c r="D30" i="9"/>
  <c r="E30" i="9"/>
  <c r="F30" i="9"/>
  <c r="G30" i="9"/>
  <c r="H30" i="9"/>
  <c r="K30" i="9"/>
  <c r="L30" i="9"/>
  <c r="B31" i="9"/>
  <c r="C31" i="9"/>
  <c r="D31" i="9"/>
  <c r="E31" i="9"/>
  <c r="F31" i="9"/>
  <c r="G31" i="9"/>
  <c r="H31" i="9"/>
  <c r="K31" i="9"/>
  <c r="L31" i="9"/>
  <c r="B32" i="9"/>
  <c r="C32" i="9"/>
  <c r="D32" i="9"/>
  <c r="E32" i="9"/>
  <c r="F32" i="9"/>
  <c r="G32" i="9"/>
  <c r="H32" i="9"/>
  <c r="K32" i="9"/>
  <c r="L32" i="9"/>
  <c r="J33" i="9"/>
  <c r="B36" i="9"/>
  <c r="C36" i="9"/>
  <c r="D36" i="9"/>
  <c r="E36" i="9"/>
  <c r="F36" i="9"/>
  <c r="G36" i="9"/>
  <c r="H36" i="9"/>
  <c r="K36" i="9"/>
  <c r="L36" i="9"/>
  <c r="B37" i="9"/>
  <c r="C37" i="9"/>
  <c r="D37" i="9"/>
  <c r="E37" i="9"/>
  <c r="F37" i="9"/>
  <c r="G37" i="9"/>
  <c r="H37" i="9"/>
  <c r="K37" i="9"/>
  <c r="L37" i="9"/>
  <c r="B38" i="9"/>
  <c r="C38" i="9"/>
  <c r="D38" i="9"/>
  <c r="E38" i="9"/>
  <c r="F38" i="9"/>
  <c r="G38" i="9"/>
  <c r="H38" i="9"/>
  <c r="K38" i="9"/>
  <c r="L38" i="9"/>
  <c r="B39" i="9"/>
  <c r="C39" i="9"/>
  <c r="D39" i="9"/>
  <c r="E39" i="9"/>
  <c r="F39" i="9"/>
  <c r="G39" i="9"/>
  <c r="H39" i="9"/>
  <c r="K39" i="9"/>
  <c r="L39" i="9"/>
  <c r="J40" i="9"/>
  <c r="B43" i="9"/>
  <c r="C43" i="9"/>
  <c r="D43" i="9"/>
  <c r="E43" i="9"/>
  <c r="F43" i="9"/>
  <c r="G43" i="9"/>
  <c r="H43" i="9"/>
  <c r="K43" i="9"/>
  <c r="L43" i="9"/>
  <c r="B44" i="9"/>
  <c r="C44" i="9"/>
  <c r="D44" i="9"/>
  <c r="E44" i="9"/>
  <c r="F44" i="9"/>
  <c r="G44" i="9"/>
  <c r="H44" i="9"/>
  <c r="K44" i="9"/>
  <c r="L44" i="9"/>
  <c r="B45" i="9"/>
  <c r="C45" i="9"/>
  <c r="D45" i="9"/>
  <c r="E45" i="9"/>
  <c r="F45" i="9"/>
  <c r="G45" i="9"/>
  <c r="H45" i="9"/>
  <c r="K45" i="9"/>
  <c r="L45" i="9"/>
  <c r="B46" i="9"/>
  <c r="C46" i="9"/>
  <c r="D46" i="9"/>
  <c r="E46" i="9"/>
  <c r="F46" i="9"/>
  <c r="G46" i="9"/>
  <c r="H46" i="9"/>
  <c r="K46" i="9"/>
  <c r="L46" i="9"/>
  <c r="B47" i="9"/>
  <c r="C47" i="9"/>
  <c r="D47" i="9"/>
  <c r="E47" i="9"/>
  <c r="F47" i="9"/>
  <c r="G47" i="9"/>
  <c r="H47" i="9"/>
  <c r="K47" i="9"/>
  <c r="L47" i="9"/>
  <c r="B48" i="9"/>
  <c r="C48" i="9"/>
  <c r="D48" i="9"/>
  <c r="E48" i="9"/>
  <c r="F48" i="9"/>
  <c r="G48" i="9"/>
  <c r="H48" i="9"/>
  <c r="K48" i="9"/>
  <c r="L48" i="9"/>
  <c r="B49" i="9"/>
  <c r="C49" i="9"/>
  <c r="D49" i="9"/>
  <c r="E49" i="9"/>
  <c r="F49" i="9"/>
  <c r="G49" i="9"/>
  <c r="H49" i="9"/>
  <c r="K49" i="9"/>
  <c r="L49" i="9"/>
  <c r="B50" i="9"/>
  <c r="C50" i="9"/>
  <c r="D50" i="9"/>
  <c r="E50" i="9"/>
  <c r="F50" i="9"/>
  <c r="G50" i="9"/>
  <c r="H50" i="9"/>
  <c r="B51" i="9"/>
  <c r="C51" i="9"/>
  <c r="D51" i="9"/>
  <c r="E51" i="9"/>
  <c r="F51" i="9"/>
  <c r="G51" i="9"/>
  <c r="H51" i="9"/>
  <c r="K51" i="9"/>
  <c r="L51" i="9"/>
  <c r="G53" i="9"/>
  <c r="I53" i="9" s="1"/>
  <c r="K53" i="9"/>
  <c r="B54" i="9"/>
  <c r="C54" i="9"/>
  <c r="D54" i="9"/>
  <c r="E54" i="9"/>
  <c r="F54" i="9"/>
  <c r="G54" i="9"/>
  <c r="H54" i="9"/>
  <c r="B55" i="9"/>
  <c r="C55" i="9"/>
  <c r="D55" i="9"/>
  <c r="E55" i="9"/>
  <c r="F55" i="9"/>
  <c r="G55" i="9"/>
  <c r="H55" i="9"/>
  <c r="K55" i="9"/>
  <c r="L55" i="9"/>
  <c r="J56" i="9"/>
  <c r="J78" i="9" s="1"/>
  <c r="B60" i="9"/>
  <c r="C60" i="9"/>
  <c r="D60" i="9"/>
  <c r="E60" i="9"/>
  <c r="F60" i="9"/>
  <c r="G60" i="9"/>
  <c r="H60" i="9"/>
  <c r="K60" i="9"/>
  <c r="L60" i="9"/>
  <c r="B61" i="9"/>
  <c r="C61" i="9"/>
  <c r="D61" i="9"/>
  <c r="E61" i="9"/>
  <c r="F61" i="9"/>
  <c r="G61" i="9"/>
  <c r="H61" i="9"/>
  <c r="K61" i="9"/>
  <c r="L61" i="9"/>
  <c r="B62" i="9"/>
  <c r="C62" i="9"/>
  <c r="D62" i="9"/>
  <c r="E62" i="9"/>
  <c r="F62" i="9"/>
  <c r="G62" i="9"/>
  <c r="H62" i="9"/>
  <c r="K62" i="9"/>
  <c r="L62" i="9"/>
  <c r="B63" i="9"/>
  <c r="C63" i="9"/>
  <c r="D63" i="9"/>
  <c r="E63" i="9"/>
  <c r="F63" i="9"/>
  <c r="G63" i="9"/>
  <c r="H63" i="9"/>
  <c r="K63" i="9"/>
  <c r="L63" i="9"/>
  <c r="C64" i="9"/>
  <c r="I64" i="9" s="1"/>
  <c r="M64" i="9" s="1"/>
  <c r="B65" i="9"/>
  <c r="C65" i="9"/>
  <c r="D65" i="9"/>
  <c r="E65" i="9"/>
  <c r="F65" i="9"/>
  <c r="G65" i="9"/>
  <c r="H65" i="9"/>
  <c r="K65" i="9"/>
  <c r="L65" i="9"/>
  <c r="B66" i="9"/>
  <c r="C66" i="9"/>
  <c r="D66" i="9"/>
  <c r="E66" i="9"/>
  <c r="F66" i="9"/>
  <c r="G66" i="9"/>
  <c r="H66" i="9"/>
  <c r="K66" i="9"/>
  <c r="L66" i="9"/>
  <c r="B67" i="9"/>
  <c r="C67" i="9"/>
  <c r="D67" i="9"/>
  <c r="E67" i="9"/>
  <c r="F67" i="9"/>
  <c r="G67" i="9"/>
  <c r="H67" i="9"/>
  <c r="K67" i="9"/>
  <c r="L67" i="9"/>
  <c r="B68" i="9"/>
  <c r="C68" i="9"/>
  <c r="D68" i="9"/>
  <c r="E68" i="9"/>
  <c r="F68" i="9"/>
  <c r="G68" i="9"/>
  <c r="H68" i="9"/>
  <c r="K68" i="9"/>
  <c r="L68" i="9"/>
  <c r="B69" i="9"/>
  <c r="C69" i="9"/>
  <c r="D69" i="9"/>
  <c r="E69" i="9"/>
  <c r="F69" i="9"/>
  <c r="G69" i="9"/>
  <c r="H69" i="9"/>
  <c r="K69" i="9"/>
  <c r="L69" i="9"/>
  <c r="B70" i="9"/>
  <c r="C70" i="9"/>
  <c r="D70" i="9"/>
  <c r="E70" i="9"/>
  <c r="F70" i="9"/>
  <c r="G70" i="9"/>
  <c r="H70" i="9"/>
  <c r="K70" i="9"/>
  <c r="L70" i="9"/>
  <c r="B71" i="9"/>
  <c r="C71" i="9"/>
  <c r="D71" i="9"/>
  <c r="E71" i="9"/>
  <c r="F71" i="9"/>
  <c r="G71" i="9"/>
  <c r="H71" i="9"/>
  <c r="K71" i="9"/>
  <c r="L71" i="9"/>
  <c r="B72" i="9"/>
  <c r="C72" i="9"/>
  <c r="D72" i="9"/>
  <c r="E72" i="9"/>
  <c r="F72" i="9"/>
  <c r="G72" i="9"/>
  <c r="H72" i="9"/>
  <c r="K72" i="9"/>
  <c r="L72" i="9"/>
  <c r="B73" i="9"/>
  <c r="C73" i="9"/>
  <c r="D73" i="9"/>
  <c r="E73" i="9"/>
  <c r="F73" i="9"/>
  <c r="G73" i="9"/>
  <c r="H73" i="9"/>
  <c r="K73" i="9"/>
  <c r="L73" i="9"/>
  <c r="B74" i="9"/>
  <c r="C74" i="9"/>
  <c r="D74" i="9"/>
  <c r="E74" i="9"/>
  <c r="F74" i="9"/>
  <c r="G74" i="9"/>
  <c r="H74" i="9"/>
  <c r="K74" i="9"/>
  <c r="L74" i="9"/>
  <c r="B75" i="9"/>
  <c r="C75" i="9"/>
  <c r="D75" i="9"/>
  <c r="E75" i="9"/>
  <c r="F75" i="9"/>
  <c r="G75" i="9"/>
  <c r="H75" i="9"/>
  <c r="K75" i="9"/>
  <c r="L75" i="9"/>
  <c r="C111" i="19" l="1"/>
  <c r="E40" i="9"/>
  <c r="B17" i="9"/>
  <c r="B33" i="9" s="1"/>
  <c r="I43" i="9"/>
  <c r="M43" i="9" s="1"/>
  <c r="I68" i="9"/>
  <c r="M68" i="9" s="1"/>
  <c r="I54" i="9"/>
  <c r="M54" i="9" s="1"/>
  <c r="I36" i="9"/>
  <c r="M36" i="9" s="1"/>
  <c r="G76" i="9"/>
  <c r="I60" i="9"/>
  <c r="M60" i="9" s="1"/>
  <c r="I73" i="9"/>
  <c r="M73" i="9" s="1"/>
  <c r="I71" i="9"/>
  <c r="M71" i="9" s="1"/>
  <c r="M53" i="9"/>
  <c r="H40" i="9"/>
  <c r="I32" i="9"/>
  <c r="M32" i="9" s="1"/>
  <c r="E33" i="9"/>
  <c r="E52" i="9" s="1"/>
  <c r="E56" i="9" s="1"/>
  <c r="I51" i="9"/>
  <c r="M51" i="9" s="1"/>
  <c r="I49" i="9"/>
  <c r="M49" i="9" s="1"/>
  <c r="L33" i="9"/>
  <c r="I66" i="9"/>
  <c r="M66" i="9" s="1"/>
  <c r="M31" i="9"/>
  <c r="I15" i="9"/>
  <c r="M15" i="9" s="1"/>
  <c r="L40" i="9"/>
  <c r="B40" i="9"/>
  <c r="I55" i="9"/>
  <c r="M55" i="9" s="1"/>
  <c r="I48" i="9"/>
  <c r="M48" i="9" s="1"/>
  <c r="I39" i="9"/>
  <c r="M39" i="9" s="1"/>
  <c r="I25" i="9"/>
  <c r="M25" i="9" s="1"/>
  <c r="K33" i="9"/>
  <c r="I16" i="9"/>
  <c r="M16" i="9" s="1"/>
  <c r="I47" i="9"/>
  <c r="M47" i="9" s="1"/>
  <c r="D40" i="9"/>
  <c r="G40" i="9"/>
  <c r="I24" i="9"/>
  <c r="M24" i="9" s="1"/>
  <c r="H33" i="9"/>
  <c r="I70" i="9"/>
  <c r="M70" i="9" s="1"/>
  <c r="I63" i="9"/>
  <c r="M63" i="9" s="1"/>
  <c r="F76" i="9"/>
  <c r="C40" i="9"/>
  <c r="F40" i="9"/>
  <c r="I29" i="9"/>
  <c r="M29" i="9" s="1"/>
  <c r="I23" i="9"/>
  <c r="M23" i="9" s="1"/>
  <c r="I21" i="9"/>
  <c r="M21" i="9" s="1"/>
  <c r="F33" i="9"/>
  <c r="G33" i="9"/>
  <c r="G52" i="9" s="1"/>
  <c r="G56" i="9" s="1"/>
  <c r="G78" i="9" s="1"/>
  <c r="L52" i="9"/>
  <c r="L56" i="9" s="1"/>
  <c r="I46" i="9"/>
  <c r="M46" i="9" s="1"/>
  <c r="I69" i="9"/>
  <c r="M69" i="9" s="1"/>
  <c r="E76" i="9"/>
  <c r="I22" i="9"/>
  <c r="M22" i="9" s="1"/>
  <c r="D76" i="9"/>
  <c r="K40" i="9"/>
  <c r="I18" i="9"/>
  <c r="M18" i="9" s="1"/>
  <c r="I75" i="9"/>
  <c r="M75" i="9" s="1"/>
  <c r="I62" i="9"/>
  <c r="M62" i="9" s="1"/>
  <c r="C76" i="9"/>
  <c r="I28" i="9"/>
  <c r="M28" i="9" s="1"/>
  <c r="I20" i="9"/>
  <c r="M20" i="9" s="1"/>
  <c r="I19" i="9"/>
  <c r="M19" i="9" s="1"/>
  <c r="K76" i="9"/>
  <c r="I72" i="9"/>
  <c r="M72" i="9" s="1"/>
  <c r="I65" i="9"/>
  <c r="M65" i="9" s="1"/>
  <c r="I45" i="9"/>
  <c r="M45" i="9" s="1"/>
  <c r="I30" i="9"/>
  <c r="M30" i="9" s="1"/>
  <c r="I44" i="9"/>
  <c r="M44" i="9" s="1"/>
  <c r="I37" i="9"/>
  <c r="M37" i="9" s="1"/>
  <c r="I74" i="9"/>
  <c r="M74" i="9" s="1"/>
  <c r="I67" i="9"/>
  <c r="M67" i="9" s="1"/>
  <c r="H76" i="9"/>
  <c r="L76" i="9"/>
  <c r="B76" i="9"/>
  <c r="I50" i="9"/>
  <c r="M50" i="9" s="1"/>
  <c r="I27" i="9"/>
  <c r="M27" i="9" s="1"/>
  <c r="D33" i="9"/>
  <c r="C33" i="9"/>
  <c r="F52" i="9"/>
  <c r="F56" i="9" s="1"/>
  <c r="I17" i="9"/>
  <c r="I61" i="9"/>
  <c r="I38" i="9"/>
  <c r="M38" i="9" s="1"/>
  <c r="B52" i="9" l="1"/>
  <c r="B56" i="9" s="1"/>
  <c r="B78" i="9" s="1"/>
  <c r="D52" i="9"/>
  <c r="D56" i="9" s="1"/>
  <c r="D78" i="9" s="1"/>
  <c r="C52" i="9"/>
  <c r="C56" i="9" s="1"/>
  <c r="C78" i="9" s="1"/>
  <c r="F78" i="9"/>
  <c r="H52" i="9"/>
  <c r="H56" i="9" s="1"/>
  <c r="H78" i="9" s="1"/>
  <c r="L78" i="9"/>
  <c r="M40" i="9"/>
  <c r="M26" i="1" s="1"/>
  <c r="M31" i="1" s="1"/>
  <c r="K52" i="9"/>
  <c r="K56" i="9" s="1"/>
  <c r="K78" i="9" s="1"/>
  <c r="E78" i="9"/>
  <c r="M61" i="9"/>
  <c r="M76" i="9" s="1"/>
  <c r="I76" i="9"/>
  <c r="I40" i="9"/>
  <c r="M17" i="9"/>
  <c r="M33" i="9" s="1"/>
  <c r="I33" i="9"/>
  <c r="M52" i="9" l="1"/>
  <c r="M56" i="9" s="1"/>
  <c r="M78" i="9" s="1"/>
  <c r="M6" i="1"/>
  <c r="O27" i="1"/>
  <c r="I52" i="9"/>
  <c r="I56" i="9" s="1"/>
  <c r="I78" i="9" s="1"/>
  <c r="M23" i="1" l="1"/>
  <c r="M19" i="1"/>
  <c r="C110" i="19" s="1"/>
  <c r="M15" i="1"/>
  <c r="M11" i="1"/>
  <c r="O7" i="1"/>
  <c r="B15" i="8"/>
  <c r="C15" i="8"/>
  <c r="D15" i="8"/>
  <c r="E15" i="8"/>
  <c r="F15" i="8"/>
  <c r="G15" i="8"/>
  <c r="H15" i="8"/>
  <c r="K15" i="8"/>
  <c r="L15" i="8"/>
  <c r="B16" i="8"/>
  <c r="C16" i="8"/>
  <c r="D16" i="8"/>
  <c r="E16" i="8"/>
  <c r="F16" i="8"/>
  <c r="G16" i="8"/>
  <c r="H16" i="8"/>
  <c r="K16" i="8"/>
  <c r="L16" i="8"/>
  <c r="C17" i="8"/>
  <c r="D17" i="8"/>
  <c r="E17" i="8"/>
  <c r="F17" i="8"/>
  <c r="G17" i="8"/>
  <c r="H17" i="8"/>
  <c r="K17" i="8"/>
  <c r="L17" i="8"/>
  <c r="B18" i="8"/>
  <c r="C18" i="8"/>
  <c r="D18" i="8"/>
  <c r="E18" i="8"/>
  <c r="F18" i="8"/>
  <c r="G18" i="8"/>
  <c r="H18" i="8"/>
  <c r="K18" i="8"/>
  <c r="L18" i="8"/>
  <c r="B19" i="8"/>
  <c r="C19" i="8"/>
  <c r="D19" i="8"/>
  <c r="E19" i="8"/>
  <c r="F19" i="8"/>
  <c r="G19" i="8"/>
  <c r="H19" i="8"/>
  <c r="L19" i="8"/>
  <c r="B20" i="8"/>
  <c r="C20" i="8"/>
  <c r="D20" i="8"/>
  <c r="E20" i="8"/>
  <c r="F20" i="8"/>
  <c r="G20" i="8"/>
  <c r="H20" i="8"/>
  <c r="K20" i="8"/>
  <c r="L20" i="8"/>
  <c r="B21" i="8"/>
  <c r="C21" i="8"/>
  <c r="D21" i="8"/>
  <c r="E21" i="8"/>
  <c r="F21" i="8"/>
  <c r="G21" i="8"/>
  <c r="H21" i="8"/>
  <c r="K21" i="8"/>
  <c r="L21" i="8"/>
  <c r="B22" i="8"/>
  <c r="C22" i="8"/>
  <c r="D22" i="8"/>
  <c r="E22" i="8"/>
  <c r="F22" i="8"/>
  <c r="G22" i="8"/>
  <c r="H22" i="8"/>
  <c r="K22" i="8"/>
  <c r="L22" i="8"/>
  <c r="B23" i="8"/>
  <c r="C23" i="8"/>
  <c r="D23" i="8"/>
  <c r="E23" i="8"/>
  <c r="F23" i="8"/>
  <c r="G23" i="8"/>
  <c r="H23" i="8"/>
  <c r="K23" i="8"/>
  <c r="L23" i="8"/>
  <c r="B24" i="8"/>
  <c r="C24" i="8"/>
  <c r="D24" i="8"/>
  <c r="E24" i="8"/>
  <c r="F24" i="8"/>
  <c r="G24" i="8"/>
  <c r="H24" i="8"/>
  <c r="K24" i="8"/>
  <c r="L24" i="8"/>
  <c r="B25" i="8"/>
  <c r="C25" i="8"/>
  <c r="D25" i="8"/>
  <c r="E25" i="8"/>
  <c r="F25" i="8"/>
  <c r="G25" i="8"/>
  <c r="H25" i="8"/>
  <c r="K25" i="8"/>
  <c r="L25" i="8"/>
  <c r="C26" i="8"/>
  <c r="I26" i="8" s="1"/>
  <c r="M26" i="8" s="1"/>
  <c r="B27" i="8"/>
  <c r="C27" i="8"/>
  <c r="D27" i="8"/>
  <c r="E27" i="8"/>
  <c r="F27" i="8"/>
  <c r="G27" i="8"/>
  <c r="H27" i="8"/>
  <c r="K27" i="8"/>
  <c r="L27" i="8"/>
  <c r="B28" i="8"/>
  <c r="C28" i="8"/>
  <c r="D28" i="8"/>
  <c r="E28" i="8"/>
  <c r="F28" i="8"/>
  <c r="G28" i="8"/>
  <c r="H28" i="8"/>
  <c r="K28" i="8"/>
  <c r="L28" i="8"/>
  <c r="B29" i="8"/>
  <c r="C29" i="8"/>
  <c r="D29" i="8"/>
  <c r="E29" i="8"/>
  <c r="F29" i="8"/>
  <c r="G29" i="8"/>
  <c r="H29" i="8"/>
  <c r="K29" i="8"/>
  <c r="L29" i="8"/>
  <c r="B30" i="8"/>
  <c r="C30" i="8"/>
  <c r="D30" i="8"/>
  <c r="E30" i="8"/>
  <c r="F30" i="8"/>
  <c r="G30" i="8"/>
  <c r="H30" i="8"/>
  <c r="K30" i="8"/>
  <c r="L30" i="8"/>
  <c r="B31" i="8"/>
  <c r="C31" i="8"/>
  <c r="D31" i="8"/>
  <c r="E31" i="8"/>
  <c r="F31" i="8"/>
  <c r="G31" i="8"/>
  <c r="H31" i="8"/>
  <c r="K31" i="8"/>
  <c r="L31" i="8"/>
  <c r="B32" i="8"/>
  <c r="C32" i="8"/>
  <c r="D32" i="8"/>
  <c r="E32" i="8"/>
  <c r="F32" i="8"/>
  <c r="G32" i="8"/>
  <c r="H32" i="8"/>
  <c r="K32" i="8"/>
  <c r="L32" i="8"/>
  <c r="J33" i="8"/>
  <c r="B36" i="8"/>
  <c r="C36" i="8"/>
  <c r="D36" i="8"/>
  <c r="E36" i="8"/>
  <c r="F36" i="8"/>
  <c r="G36" i="8"/>
  <c r="H36" i="8"/>
  <c r="K36" i="8"/>
  <c r="L36" i="8"/>
  <c r="B37" i="8"/>
  <c r="C37" i="8"/>
  <c r="D37" i="8"/>
  <c r="E37" i="8"/>
  <c r="F37" i="8"/>
  <c r="G37" i="8"/>
  <c r="H37" i="8"/>
  <c r="K37" i="8"/>
  <c r="L37" i="8"/>
  <c r="B38" i="8"/>
  <c r="C38" i="8"/>
  <c r="D38" i="8"/>
  <c r="E38" i="8"/>
  <c r="F38" i="8"/>
  <c r="G38" i="8"/>
  <c r="H38" i="8"/>
  <c r="K38" i="8"/>
  <c r="L38" i="8"/>
  <c r="B39" i="8"/>
  <c r="C39" i="8"/>
  <c r="D39" i="8"/>
  <c r="E39" i="8"/>
  <c r="F39" i="8"/>
  <c r="G39" i="8"/>
  <c r="H39" i="8"/>
  <c r="K39" i="8"/>
  <c r="L39" i="8"/>
  <c r="J40" i="8"/>
  <c r="B43" i="8"/>
  <c r="C43" i="8"/>
  <c r="D43" i="8"/>
  <c r="E43" i="8"/>
  <c r="F43" i="8"/>
  <c r="G43" i="8"/>
  <c r="H43" i="8"/>
  <c r="K43" i="8"/>
  <c r="L43" i="8"/>
  <c r="B44" i="8"/>
  <c r="C44" i="8"/>
  <c r="D44" i="8"/>
  <c r="E44" i="8"/>
  <c r="F44" i="8"/>
  <c r="G44" i="8"/>
  <c r="H44" i="8"/>
  <c r="K44" i="8"/>
  <c r="L44" i="8"/>
  <c r="B45" i="8"/>
  <c r="C45" i="8"/>
  <c r="D45" i="8"/>
  <c r="E45" i="8"/>
  <c r="F45" i="8"/>
  <c r="G45" i="8"/>
  <c r="H45" i="8"/>
  <c r="K45" i="8"/>
  <c r="L45" i="8"/>
  <c r="B46" i="8"/>
  <c r="C46" i="8"/>
  <c r="D46" i="8"/>
  <c r="E46" i="8"/>
  <c r="F46" i="8"/>
  <c r="G46" i="8"/>
  <c r="H46" i="8"/>
  <c r="K46" i="8"/>
  <c r="L46" i="8"/>
  <c r="B47" i="8"/>
  <c r="C47" i="8"/>
  <c r="D47" i="8"/>
  <c r="E47" i="8"/>
  <c r="F47" i="8"/>
  <c r="G47" i="8"/>
  <c r="H47" i="8"/>
  <c r="K47" i="8"/>
  <c r="L47" i="8"/>
  <c r="B48" i="8"/>
  <c r="C48" i="8"/>
  <c r="D48" i="8"/>
  <c r="E48" i="8"/>
  <c r="F48" i="8"/>
  <c r="G48" i="8"/>
  <c r="H48" i="8"/>
  <c r="K48" i="8"/>
  <c r="L48" i="8"/>
  <c r="B49" i="8"/>
  <c r="C49" i="8"/>
  <c r="D49" i="8"/>
  <c r="E49" i="8"/>
  <c r="F49" i="8"/>
  <c r="G49" i="8"/>
  <c r="H49" i="8"/>
  <c r="K49" i="8"/>
  <c r="L49" i="8"/>
  <c r="B50" i="8"/>
  <c r="C50" i="8"/>
  <c r="D50" i="8"/>
  <c r="E50" i="8"/>
  <c r="F50" i="8"/>
  <c r="G50" i="8"/>
  <c r="H50" i="8"/>
  <c r="B51" i="8"/>
  <c r="C51" i="8"/>
  <c r="D51" i="8"/>
  <c r="E51" i="8"/>
  <c r="F51" i="8"/>
  <c r="G51" i="8"/>
  <c r="H51" i="8"/>
  <c r="K51" i="8"/>
  <c r="L51" i="8"/>
  <c r="G53" i="8"/>
  <c r="I53" i="8" s="1"/>
  <c r="K53" i="8"/>
  <c r="B54" i="8"/>
  <c r="C54" i="8"/>
  <c r="D54" i="8"/>
  <c r="E54" i="8"/>
  <c r="F54" i="8"/>
  <c r="G54" i="8"/>
  <c r="H54" i="8"/>
  <c r="B55" i="8"/>
  <c r="C55" i="8"/>
  <c r="D55" i="8"/>
  <c r="E55" i="8"/>
  <c r="F55" i="8"/>
  <c r="G55" i="8"/>
  <c r="H55" i="8"/>
  <c r="K55" i="8"/>
  <c r="L55" i="8"/>
  <c r="J56" i="8"/>
  <c r="J78" i="8" s="1"/>
  <c r="B60" i="8"/>
  <c r="C60" i="8"/>
  <c r="D60" i="8"/>
  <c r="E60" i="8"/>
  <c r="F60" i="8"/>
  <c r="G60" i="8"/>
  <c r="H60" i="8"/>
  <c r="K60" i="8"/>
  <c r="L60" i="8"/>
  <c r="B61" i="8"/>
  <c r="C61" i="8"/>
  <c r="D61" i="8"/>
  <c r="E61" i="8"/>
  <c r="F61" i="8"/>
  <c r="G61" i="8"/>
  <c r="H61" i="8"/>
  <c r="K61" i="8"/>
  <c r="L61" i="8"/>
  <c r="B62" i="8"/>
  <c r="C62" i="8"/>
  <c r="D62" i="8"/>
  <c r="E62" i="8"/>
  <c r="F62" i="8"/>
  <c r="G62" i="8"/>
  <c r="H62" i="8"/>
  <c r="K62" i="8"/>
  <c r="L62" i="8"/>
  <c r="B63" i="8"/>
  <c r="C63" i="8"/>
  <c r="D63" i="8"/>
  <c r="E63" i="8"/>
  <c r="F63" i="8"/>
  <c r="G63" i="8"/>
  <c r="H63" i="8"/>
  <c r="K63" i="8"/>
  <c r="L63" i="8"/>
  <c r="C64" i="8"/>
  <c r="I64" i="8" s="1"/>
  <c r="M64" i="8" s="1"/>
  <c r="B65" i="8"/>
  <c r="C65" i="8"/>
  <c r="D65" i="8"/>
  <c r="E65" i="8"/>
  <c r="F65" i="8"/>
  <c r="G65" i="8"/>
  <c r="H65" i="8"/>
  <c r="K65" i="8"/>
  <c r="L65" i="8"/>
  <c r="B66" i="8"/>
  <c r="C66" i="8"/>
  <c r="D66" i="8"/>
  <c r="E66" i="8"/>
  <c r="F66" i="8"/>
  <c r="G66" i="8"/>
  <c r="H66" i="8"/>
  <c r="K66" i="8"/>
  <c r="L66" i="8"/>
  <c r="B67" i="8"/>
  <c r="C67" i="8"/>
  <c r="D67" i="8"/>
  <c r="E67" i="8"/>
  <c r="F67" i="8"/>
  <c r="G67" i="8"/>
  <c r="H67" i="8"/>
  <c r="K67" i="8"/>
  <c r="L67" i="8"/>
  <c r="B68" i="8"/>
  <c r="C68" i="8"/>
  <c r="D68" i="8"/>
  <c r="E68" i="8"/>
  <c r="F68" i="8"/>
  <c r="G68" i="8"/>
  <c r="H68" i="8"/>
  <c r="K68" i="8"/>
  <c r="L68" i="8"/>
  <c r="B69" i="8"/>
  <c r="C69" i="8"/>
  <c r="D69" i="8"/>
  <c r="E69" i="8"/>
  <c r="F69" i="8"/>
  <c r="G69" i="8"/>
  <c r="H69" i="8"/>
  <c r="K69" i="8"/>
  <c r="L69" i="8"/>
  <c r="B70" i="8"/>
  <c r="C70" i="8"/>
  <c r="D70" i="8"/>
  <c r="E70" i="8"/>
  <c r="F70" i="8"/>
  <c r="G70" i="8"/>
  <c r="H70" i="8"/>
  <c r="K70" i="8"/>
  <c r="L70" i="8"/>
  <c r="B71" i="8"/>
  <c r="C71" i="8"/>
  <c r="D71" i="8"/>
  <c r="E71" i="8"/>
  <c r="F71" i="8"/>
  <c r="G71" i="8"/>
  <c r="H71" i="8"/>
  <c r="K71" i="8"/>
  <c r="L71" i="8"/>
  <c r="B72" i="8"/>
  <c r="C72" i="8"/>
  <c r="D72" i="8"/>
  <c r="E72" i="8"/>
  <c r="F72" i="8"/>
  <c r="G72" i="8"/>
  <c r="H72" i="8"/>
  <c r="K72" i="8"/>
  <c r="L72" i="8"/>
  <c r="B73" i="8"/>
  <c r="C73" i="8"/>
  <c r="D73" i="8"/>
  <c r="E73" i="8"/>
  <c r="F73" i="8"/>
  <c r="G73" i="8"/>
  <c r="H73" i="8"/>
  <c r="K73" i="8"/>
  <c r="L73" i="8"/>
  <c r="B74" i="8"/>
  <c r="C74" i="8"/>
  <c r="D74" i="8"/>
  <c r="E74" i="8"/>
  <c r="F74" i="8"/>
  <c r="G74" i="8"/>
  <c r="H74" i="8"/>
  <c r="K74" i="8"/>
  <c r="L74" i="8"/>
  <c r="B75" i="8"/>
  <c r="C75" i="8"/>
  <c r="D75" i="8"/>
  <c r="E75" i="8"/>
  <c r="F75" i="8"/>
  <c r="G75" i="8"/>
  <c r="H75" i="8"/>
  <c r="K75" i="8"/>
  <c r="L75" i="8"/>
  <c r="K40" i="8" l="1"/>
  <c r="B40" i="8"/>
  <c r="C40" i="8"/>
  <c r="I20" i="8"/>
  <c r="M20" i="8" s="1"/>
  <c r="C33" i="8"/>
  <c r="I72" i="8"/>
  <c r="I71" i="8"/>
  <c r="M71" i="8" s="1"/>
  <c r="G76" i="8"/>
  <c r="I15" i="8"/>
  <c r="M15" i="8" s="1"/>
  <c r="I65" i="8"/>
  <c r="H40" i="8"/>
  <c r="I70" i="8"/>
  <c r="M70" i="8" s="1"/>
  <c r="I32" i="8"/>
  <c r="M32" i="8" s="1"/>
  <c r="K33" i="8"/>
  <c r="I55" i="8"/>
  <c r="M55" i="8" s="1"/>
  <c r="I28" i="8"/>
  <c r="M28" i="8" s="1"/>
  <c r="I51" i="8"/>
  <c r="M51" i="8" s="1"/>
  <c r="G40" i="8"/>
  <c r="I75" i="8"/>
  <c r="M75" i="8" s="1"/>
  <c r="I38" i="8"/>
  <c r="M38" i="8" s="1"/>
  <c r="I45" i="8"/>
  <c r="M45" i="8" s="1"/>
  <c r="I62" i="8"/>
  <c r="M62" i="8" s="1"/>
  <c r="I39" i="8"/>
  <c r="M39" i="8" s="1"/>
  <c r="M31" i="8"/>
  <c r="C76" i="8"/>
  <c r="I54" i="8"/>
  <c r="M54" i="8" s="1"/>
  <c r="I49" i="8"/>
  <c r="M49" i="8" s="1"/>
  <c r="E33" i="8"/>
  <c r="F33" i="8"/>
  <c r="I74" i="8"/>
  <c r="M74" i="8" s="1"/>
  <c r="I67" i="8"/>
  <c r="M67" i="8" s="1"/>
  <c r="L76" i="8"/>
  <c r="B76" i="8"/>
  <c r="I48" i="8"/>
  <c r="M48" i="8" s="1"/>
  <c r="D33" i="8"/>
  <c r="I73" i="8"/>
  <c r="M73" i="8" s="1"/>
  <c r="I66" i="8"/>
  <c r="M66" i="8" s="1"/>
  <c r="F76" i="8"/>
  <c r="H76" i="8"/>
  <c r="K76" i="8"/>
  <c r="I47" i="8"/>
  <c r="M47" i="8" s="1"/>
  <c r="I46" i="8"/>
  <c r="M46" i="8" s="1"/>
  <c r="I27" i="8"/>
  <c r="M27" i="8" s="1"/>
  <c r="I19" i="8"/>
  <c r="M19" i="8" s="1"/>
  <c r="I18" i="8"/>
  <c r="M18" i="8" s="1"/>
  <c r="M65" i="8"/>
  <c r="I43" i="8"/>
  <c r="M43" i="8" s="1"/>
  <c r="I16" i="8"/>
  <c r="M16" i="8" s="1"/>
  <c r="I68" i="8"/>
  <c r="M68" i="8" s="1"/>
  <c r="I63" i="8"/>
  <c r="M63" i="8" s="1"/>
  <c r="I24" i="8"/>
  <c r="M24" i="8" s="1"/>
  <c r="I44" i="8"/>
  <c r="M44" i="8" s="1"/>
  <c r="D40" i="8"/>
  <c r="I30" i="8"/>
  <c r="M30" i="8" s="1"/>
  <c r="I29" i="8"/>
  <c r="M29" i="8" s="1"/>
  <c r="I23" i="8"/>
  <c r="M23" i="8" s="1"/>
  <c r="H33" i="8"/>
  <c r="M72" i="8"/>
  <c r="E76" i="8"/>
  <c r="F40" i="8"/>
  <c r="I25" i="8"/>
  <c r="M25" i="8" s="1"/>
  <c r="L33" i="8"/>
  <c r="M53" i="8"/>
  <c r="I36" i="8"/>
  <c r="M36" i="8" s="1"/>
  <c r="I69" i="8"/>
  <c r="M69" i="8" s="1"/>
  <c r="D76" i="8"/>
  <c r="I60" i="8"/>
  <c r="M60" i="8" s="1"/>
  <c r="I50" i="8"/>
  <c r="M50" i="8" s="1"/>
  <c r="L40" i="8"/>
  <c r="I37" i="8"/>
  <c r="M37" i="8" s="1"/>
  <c r="I22" i="8"/>
  <c r="M22" i="8" s="1"/>
  <c r="I21" i="8"/>
  <c r="M21" i="8" s="1"/>
  <c r="G33" i="8"/>
  <c r="G52" i="8" s="1"/>
  <c r="G56" i="8" s="1"/>
  <c r="E40" i="8"/>
  <c r="B17" i="8"/>
  <c r="I61" i="8"/>
  <c r="M61" i="8" s="1"/>
  <c r="D52" i="8" l="1"/>
  <c r="D56" i="8" s="1"/>
  <c r="D78" i="8" s="1"/>
  <c r="C52" i="8"/>
  <c r="C56" i="8" s="1"/>
  <c r="C78" i="8" s="1"/>
  <c r="G78" i="8"/>
  <c r="L52" i="8"/>
  <c r="L56" i="8" s="1"/>
  <c r="L78" i="8" s="1"/>
  <c r="K52" i="8"/>
  <c r="K56" i="8" s="1"/>
  <c r="K78" i="8" s="1"/>
  <c r="M76" i="8"/>
  <c r="M40" i="8"/>
  <c r="L26" i="1" s="1"/>
  <c r="H52" i="8"/>
  <c r="H56" i="8" s="1"/>
  <c r="H78" i="8" s="1"/>
  <c r="E52" i="8"/>
  <c r="E56" i="8" s="1"/>
  <c r="E78" i="8" s="1"/>
  <c r="I40" i="8"/>
  <c r="F52" i="8"/>
  <c r="F56" i="8" s="1"/>
  <c r="F78" i="8" s="1"/>
  <c r="I76" i="8"/>
  <c r="B33" i="8"/>
  <c r="B52" i="8" s="1"/>
  <c r="B56" i="8" s="1"/>
  <c r="B78" i="8" s="1"/>
  <c r="I17" i="8"/>
  <c r="M27" i="1" l="1"/>
  <c r="L31" i="1"/>
  <c r="M17" i="8"/>
  <c r="M33" i="8" s="1"/>
  <c r="I33" i="8"/>
  <c r="I52" i="8" s="1"/>
  <c r="I56" i="8" s="1"/>
  <c r="I78" i="8" s="1"/>
  <c r="M52" i="8" l="1"/>
  <c r="M56" i="8" s="1"/>
  <c r="M78" i="8" s="1"/>
  <c r="L6" i="1"/>
  <c r="B15" i="7"/>
  <c r="C15" i="7"/>
  <c r="D15" i="7"/>
  <c r="E15" i="7"/>
  <c r="F15" i="7"/>
  <c r="G15" i="7"/>
  <c r="H15" i="7"/>
  <c r="K15" i="7"/>
  <c r="L15" i="7"/>
  <c r="B16" i="7"/>
  <c r="C16" i="7"/>
  <c r="D16" i="7"/>
  <c r="E16" i="7"/>
  <c r="F16" i="7"/>
  <c r="G16" i="7"/>
  <c r="H16" i="7"/>
  <c r="K16" i="7"/>
  <c r="L16" i="7"/>
  <c r="C17" i="7"/>
  <c r="D17" i="7"/>
  <c r="E17" i="7"/>
  <c r="F17" i="7"/>
  <c r="G17" i="7"/>
  <c r="H17" i="7"/>
  <c r="K17" i="7"/>
  <c r="L17" i="7"/>
  <c r="B18" i="7"/>
  <c r="C18" i="7"/>
  <c r="D18" i="7"/>
  <c r="E18" i="7"/>
  <c r="F18" i="7"/>
  <c r="G18" i="7"/>
  <c r="H18" i="7"/>
  <c r="K18" i="7"/>
  <c r="L18" i="7"/>
  <c r="B19" i="7"/>
  <c r="C19" i="7"/>
  <c r="D19" i="7"/>
  <c r="E19" i="7"/>
  <c r="F19" i="7"/>
  <c r="G19" i="7"/>
  <c r="H19" i="7"/>
  <c r="K19" i="7"/>
  <c r="L19" i="7"/>
  <c r="B20" i="7"/>
  <c r="C20" i="7"/>
  <c r="D20" i="7"/>
  <c r="E20" i="7"/>
  <c r="F20" i="7"/>
  <c r="G20" i="7"/>
  <c r="H20" i="7"/>
  <c r="K20" i="7"/>
  <c r="L20" i="7"/>
  <c r="B21" i="7"/>
  <c r="C21" i="7"/>
  <c r="D21" i="7"/>
  <c r="E21" i="7"/>
  <c r="F21" i="7"/>
  <c r="G21" i="7"/>
  <c r="H21" i="7"/>
  <c r="K21" i="7"/>
  <c r="L21" i="7"/>
  <c r="B22" i="7"/>
  <c r="C22" i="7"/>
  <c r="D22" i="7"/>
  <c r="E22" i="7"/>
  <c r="F22" i="7"/>
  <c r="G22" i="7"/>
  <c r="H22" i="7"/>
  <c r="K22" i="7"/>
  <c r="L22" i="7"/>
  <c r="B23" i="7"/>
  <c r="C23" i="7"/>
  <c r="D23" i="7"/>
  <c r="E23" i="7"/>
  <c r="F23" i="7"/>
  <c r="G23" i="7"/>
  <c r="H23" i="7"/>
  <c r="K23" i="7"/>
  <c r="L23" i="7"/>
  <c r="B24" i="7"/>
  <c r="C24" i="7"/>
  <c r="D24" i="7"/>
  <c r="E24" i="7"/>
  <c r="F24" i="7"/>
  <c r="G24" i="7"/>
  <c r="H24" i="7"/>
  <c r="K24" i="7"/>
  <c r="L24" i="7"/>
  <c r="B25" i="7"/>
  <c r="C25" i="7"/>
  <c r="D25" i="7"/>
  <c r="E25" i="7"/>
  <c r="F25" i="7"/>
  <c r="G25" i="7"/>
  <c r="H25" i="7"/>
  <c r="K25" i="7"/>
  <c r="L25" i="7"/>
  <c r="C26" i="7"/>
  <c r="I26" i="7" s="1"/>
  <c r="M26" i="7" s="1"/>
  <c r="B27" i="7"/>
  <c r="C27" i="7"/>
  <c r="D27" i="7"/>
  <c r="E27" i="7"/>
  <c r="F27" i="7"/>
  <c r="G27" i="7"/>
  <c r="H27" i="7"/>
  <c r="K27" i="7"/>
  <c r="L27" i="7"/>
  <c r="B28" i="7"/>
  <c r="C28" i="7"/>
  <c r="D28" i="7"/>
  <c r="E28" i="7"/>
  <c r="F28" i="7"/>
  <c r="G28" i="7"/>
  <c r="H28" i="7"/>
  <c r="K28" i="7"/>
  <c r="L28" i="7"/>
  <c r="B29" i="7"/>
  <c r="C29" i="7"/>
  <c r="D29" i="7"/>
  <c r="E29" i="7"/>
  <c r="F29" i="7"/>
  <c r="G29" i="7"/>
  <c r="H29" i="7"/>
  <c r="K29" i="7"/>
  <c r="L29" i="7"/>
  <c r="B30" i="7"/>
  <c r="C30" i="7"/>
  <c r="D30" i="7"/>
  <c r="E30" i="7"/>
  <c r="F30" i="7"/>
  <c r="G30" i="7"/>
  <c r="H30" i="7"/>
  <c r="K30" i="7"/>
  <c r="L30" i="7"/>
  <c r="B31" i="7"/>
  <c r="C31" i="7"/>
  <c r="D31" i="7"/>
  <c r="E31" i="7"/>
  <c r="F31" i="7"/>
  <c r="G31" i="7"/>
  <c r="H31" i="7"/>
  <c r="K31" i="7"/>
  <c r="L31" i="7"/>
  <c r="B32" i="7"/>
  <c r="C32" i="7"/>
  <c r="D32" i="7"/>
  <c r="E32" i="7"/>
  <c r="F32" i="7"/>
  <c r="G32" i="7"/>
  <c r="H32" i="7"/>
  <c r="K32" i="7"/>
  <c r="L32" i="7"/>
  <c r="J33" i="7"/>
  <c r="B36" i="7"/>
  <c r="C36" i="7"/>
  <c r="D36" i="7"/>
  <c r="E36" i="7"/>
  <c r="F36" i="7"/>
  <c r="G36" i="7"/>
  <c r="H36" i="7"/>
  <c r="K36" i="7"/>
  <c r="L36" i="7"/>
  <c r="B37" i="7"/>
  <c r="C37" i="7"/>
  <c r="D37" i="7"/>
  <c r="E37" i="7"/>
  <c r="F37" i="7"/>
  <c r="G37" i="7"/>
  <c r="H37" i="7"/>
  <c r="K37" i="7"/>
  <c r="L37" i="7"/>
  <c r="B38" i="7"/>
  <c r="C38" i="7"/>
  <c r="D38" i="7"/>
  <c r="E38" i="7"/>
  <c r="F38" i="7"/>
  <c r="G38" i="7"/>
  <c r="H38" i="7"/>
  <c r="K38" i="7"/>
  <c r="L38" i="7"/>
  <c r="B39" i="7"/>
  <c r="C39" i="7"/>
  <c r="D39" i="7"/>
  <c r="E39" i="7"/>
  <c r="F39" i="7"/>
  <c r="G39" i="7"/>
  <c r="H39" i="7"/>
  <c r="K39" i="7"/>
  <c r="L39" i="7"/>
  <c r="J40" i="7"/>
  <c r="B43" i="7"/>
  <c r="C43" i="7"/>
  <c r="D43" i="7"/>
  <c r="E43" i="7"/>
  <c r="F43" i="7"/>
  <c r="G43" i="7"/>
  <c r="H43" i="7"/>
  <c r="K43" i="7"/>
  <c r="L43" i="7"/>
  <c r="B44" i="7"/>
  <c r="C44" i="7"/>
  <c r="D44" i="7"/>
  <c r="E44" i="7"/>
  <c r="F44" i="7"/>
  <c r="G44" i="7"/>
  <c r="H44" i="7"/>
  <c r="K44" i="7"/>
  <c r="L44" i="7"/>
  <c r="B45" i="7"/>
  <c r="C45" i="7"/>
  <c r="D45" i="7"/>
  <c r="E45" i="7"/>
  <c r="F45" i="7"/>
  <c r="G45" i="7"/>
  <c r="H45" i="7"/>
  <c r="K45" i="7"/>
  <c r="L45" i="7"/>
  <c r="B46" i="7"/>
  <c r="C46" i="7"/>
  <c r="D46" i="7"/>
  <c r="E46" i="7"/>
  <c r="F46" i="7"/>
  <c r="G46" i="7"/>
  <c r="H46" i="7"/>
  <c r="K46" i="7"/>
  <c r="L46" i="7"/>
  <c r="B47" i="7"/>
  <c r="C47" i="7"/>
  <c r="D47" i="7"/>
  <c r="E47" i="7"/>
  <c r="F47" i="7"/>
  <c r="G47" i="7"/>
  <c r="H47" i="7"/>
  <c r="K47" i="7"/>
  <c r="L47" i="7"/>
  <c r="B48" i="7"/>
  <c r="C48" i="7"/>
  <c r="D48" i="7"/>
  <c r="E48" i="7"/>
  <c r="F48" i="7"/>
  <c r="G48" i="7"/>
  <c r="H48" i="7"/>
  <c r="K48" i="7"/>
  <c r="L48" i="7"/>
  <c r="B49" i="7"/>
  <c r="C49" i="7"/>
  <c r="D49" i="7"/>
  <c r="E49" i="7"/>
  <c r="F49" i="7"/>
  <c r="G49" i="7"/>
  <c r="H49" i="7"/>
  <c r="K49" i="7"/>
  <c r="L49" i="7"/>
  <c r="B50" i="7"/>
  <c r="C50" i="7"/>
  <c r="D50" i="7"/>
  <c r="E50" i="7"/>
  <c r="F50" i="7"/>
  <c r="G50" i="7"/>
  <c r="H50" i="7"/>
  <c r="B51" i="7"/>
  <c r="C51" i="7"/>
  <c r="D51" i="7"/>
  <c r="E51" i="7"/>
  <c r="F51" i="7"/>
  <c r="G51" i="7"/>
  <c r="H51" i="7"/>
  <c r="K51" i="7"/>
  <c r="L51" i="7"/>
  <c r="G53" i="7"/>
  <c r="I53" i="7" s="1"/>
  <c r="K53" i="7"/>
  <c r="B54" i="7"/>
  <c r="C54" i="7"/>
  <c r="D54" i="7"/>
  <c r="E54" i="7"/>
  <c r="F54" i="7"/>
  <c r="G54" i="7"/>
  <c r="H54" i="7"/>
  <c r="B55" i="7"/>
  <c r="C55" i="7"/>
  <c r="D55" i="7"/>
  <c r="E55" i="7"/>
  <c r="F55" i="7"/>
  <c r="G55" i="7"/>
  <c r="H55" i="7"/>
  <c r="K55" i="7"/>
  <c r="L55" i="7"/>
  <c r="J56" i="7"/>
  <c r="J78" i="7" s="1"/>
  <c r="B60" i="7"/>
  <c r="C60" i="7"/>
  <c r="D60" i="7"/>
  <c r="E60" i="7"/>
  <c r="F60" i="7"/>
  <c r="G60" i="7"/>
  <c r="H60" i="7"/>
  <c r="K60" i="7"/>
  <c r="L60" i="7"/>
  <c r="B61" i="7"/>
  <c r="C61" i="7"/>
  <c r="D61" i="7"/>
  <c r="E61" i="7"/>
  <c r="F61" i="7"/>
  <c r="G61" i="7"/>
  <c r="H61" i="7"/>
  <c r="K61" i="7"/>
  <c r="L61" i="7"/>
  <c r="B62" i="7"/>
  <c r="C62" i="7"/>
  <c r="D62" i="7"/>
  <c r="E62" i="7"/>
  <c r="F62" i="7"/>
  <c r="G62" i="7"/>
  <c r="H62" i="7"/>
  <c r="K62" i="7"/>
  <c r="L62" i="7"/>
  <c r="B63" i="7"/>
  <c r="C63" i="7"/>
  <c r="D63" i="7"/>
  <c r="E63" i="7"/>
  <c r="F63" i="7"/>
  <c r="G63" i="7"/>
  <c r="H63" i="7"/>
  <c r="K63" i="7"/>
  <c r="L63" i="7"/>
  <c r="C64" i="7"/>
  <c r="I64" i="7" s="1"/>
  <c r="M64" i="7" s="1"/>
  <c r="B65" i="7"/>
  <c r="C65" i="7"/>
  <c r="D65" i="7"/>
  <c r="E65" i="7"/>
  <c r="F65" i="7"/>
  <c r="G65" i="7"/>
  <c r="H65" i="7"/>
  <c r="K65" i="7"/>
  <c r="L65" i="7"/>
  <c r="B66" i="7"/>
  <c r="C66" i="7"/>
  <c r="D66" i="7"/>
  <c r="E66" i="7"/>
  <c r="F66" i="7"/>
  <c r="G66" i="7"/>
  <c r="H66" i="7"/>
  <c r="K66" i="7"/>
  <c r="L66" i="7"/>
  <c r="B67" i="7"/>
  <c r="C67" i="7"/>
  <c r="D67" i="7"/>
  <c r="E67" i="7"/>
  <c r="F67" i="7"/>
  <c r="G67" i="7"/>
  <c r="H67" i="7"/>
  <c r="K67" i="7"/>
  <c r="L67" i="7"/>
  <c r="B68" i="7"/>
  <c r="C68" i="7"/>
  <c r="D68" i="7"/>
  <c r="E68" i="7"/>
  <c r="F68" i="7"/>
  <c r="G68" i="7"/>
  <c r="H68" i="7"/>
  <c r="K68" i="7"/>
  <c r="L68" i="7"/>
  <c r="B69" i="7"/>
  <c r="C69" i="7"/>
  <c r="D69" i="7"/>
  <c r="E69" i="7"/>
  <c r="F69" i="7"/>
  <c r="G69" i="7"/>
  <c r="H69" i="7"/>
  <c r="K69" i="7"/>
  <c r="L69" i="7"/>
  <c r="B70" i="7"/>
  <c r="C70" i="7"/>
  <c r="D70" i="7"/>
  <c r="E70" i="7"/>
  <c r="F70" i="7"/>
  <c r="G70" i="7"/>
  <c r="H70" i="7"/>
  <c r="K70" i="7"/>
  <c r="L70" i="7"/>
  <c r="B71" i="7"/>
  <c r="C71" i="7"/>
  <c r="D71" i="7"/>
  <c r="E71" i="7"/>
  <c r="F71" i="7"/>
  <c r="G71" i="7"/>
  <c r="H71" i="7"/>
  <c r="K71" i="7"/>
  <c r="L71" i="7"/>
  <c r="B72" i="7"/>
  <c r="C72" i="7"/>
  <c r="D72" i="7"/>
  <c r="E72" i="7"/>
  <c r="F72" i="7"/>
  <c r="G72" i="7"/>
  <c r="H72" i="7"/>
  <c r="K72" i="7"/>
  <c r="L72" i="7"/>
  <c r="B73" i="7"/>
  <c r="C73" i="7"/>
  <c r="D73" i="7"/>
  <c r="E73" i="7"/>
  <c r="F73" i="7"/>
  <c r="G73" i="7"/>
  <c r="H73" i="7"/>
  <c r="K73" i="7"/>
  <c r="L73" i="7"/>
  <c r="B74" i="7"/>
  <c r="C74" i="7"/>
  <c r="D74" i="7"/>
  <c r="E74" i="7"/>
  <c r="F74" i="7"/>
  <c r="G74" i="7"/>
  <c r="H74" i="7"/>
  <c r="K74" i="7"/>
  <c r="L74" i="7"/>
  <c r="B75" i="7"/>
  <c r="C75" i="7"/>
  <c r="D75" i="7"/>
  <c r="E75" i="7"/>
  <c r="F75" i="7"/>
  <c r="G75" i="7"/>
  <c r="H75" i="7"/>
  <c r="K75" i="7"/>
  <c r="L75" i="7"/>
  <c r="L11" i="1" l="1"/>
  <c r="L23" i="1"/>
  <c r="L19" i="1"/>
  <c r="C109" i="19" s="1"/>
  <c r="L15" i="1"/>
  <c r="I37" i="7"/>
  <c r="M37" i="7" s="1"/>
  <c r="I73" i="7"/>
  <c r="M73" i="7" s="1"/>
  <c r="I60" i="7"/>
  <c r="M60" i="7" s="1"/>
  <c r="I48" i="7"/>
  <c r="M48" i="7" s="1"/>
  <c r="D40" i="7"/>
  <c r="L40" i="7"/>
  <c r="C40" i="7"/>
  <c r="D33" i="7"/>
  <c r="I55" i="7"/>
  <c r="M55" i="7" s="1"/>
  <c r="I16" i="7"/>
  <c r="M16" i="7" s="1"/>
  <c r="I72" i="7"/>
  <c r="M72" i="7" s="1"/>
  <c r="I71" i="7"/>
  <c r="M71" i="7" s="1"/>
  <c r="H76" i="7"/>
  <c r="H40" i="7"/>
  <c r="I15" i="7"/>
  <c r="M15" i="7" s="1"/>
  <c r="I23" i="7"/>
  <c r="M23" i="7" s="1"/>
  <c r="I44" i="7"/>
  <c r="M44" i="7" s="1"/>
  <c r="L33" i="7"/>
  <c r="L52" i="7" s="1"/>
  <c r="L56" i="7" s="1"/>
  <c r="I65" i="7"/>
  <c r="M65" i="7" s="1"/>
  <c r="I74" i="7"/>
  <c r="M74" i="7" s="1"/>
  <c r="I67" i="7"/>
  <c r="M67" i="7" s="1"/>
  <c r="B76" i="7"/>
  <c r="C76" i="7"/>
  <c r="K33" i="7"/>
  <c r="I66" i="7"/>
  <c r="M66" i="7" s="1"/>
  <c r="K76" i="7"/>
  <c r="L76" i="7"/>
  <c r="I54" i="7"/>
  <c r="M54" i="7" s="1"/>
  <c r="G40" i="7"/>
  <c r="I32" i="7"/>
  <c r="M32" i="7" s="1"/>
  <c r="I25" i="7"/>
  <c r="M25" i="7" s="1"/>
  <c r="C33" i="7"/>
  <c r="G76" i="7"/>
  <c r="I47" i="7"/>
  <c r="M47" i="7" s="1"/>
  <c r="I46" i="7"/>
  <c r="M46" i="7" s="1"/>
  <c r="I39" i="7"/>
  <c r="M39" i="7" s="1"/>
  <c r="E40" i="7"/>
  <c r="F40" i="7"/>
  <c r="I24" i="7"/>
  <c r="M24" i="7" s="1"/>
  <c r="B17" i="7"/>
  <c r="I17" i="7" s="1"/>
  <c r="M17" i="7" s="1"/>
  <c r="I45" i="7"/>
  <c r="M45" i="7" s="1"/>
  <c r="M31" i="7"/>
  <c r="I29" i="7"/>
  <c r="M29" i="7" s="1"/>
  <c r="I69" i="7"/>
  <c r="M69" i="7" s="1"/>
  <c r="I27" i="7"/>
  <c r="M27" i="7" s="1"/>
  <c r="I22" i="7"/>
  <c r="M22" i="7" s="1"/>
  <c r="E33" i="7"/>
  <c r="G33" i="7"/>
  <c r="I63" i="7"/>
  <c r="M63" i="7" s="1"/>
  <c r="E76" i="7"/>
  <c r="I50" i="7"/>
  <c r="M50" i="7" s="1"/>
  <c r="I43" i="7"/>
  <c r="M43" i="7" s="1"/>
  <c r="I36" i="7"/>
  <c r="I28" i="7"/>
  <c r="M28" i="7" s="1"/>
  <c r="I19" i="7"/>
  <c r="M19" i="7" s="1"/>
  <c r="M7" i="1"/>
  <c r="F76" i="7"/>
  <c r="H33" i="7"/>
  <c r="H52" i="7" s="1"/>
  <c r="H56" i="7" s="1"/>
  <c r="I38" i="7"/>
  <c r="M38" i="7" s="1"/>
  <c r="I30" i="7"/>
  <c r="M30" i="7" s="1"/>
  <c r="I70" i="7"/>
  <c r="M70" i="7" s="1"/>
  <c r="I68" i="7"/>
  <c r="M68" i="7" s="1"/>
  <c r="M53" i="7"/>
  <c r="K40" i="7"/>
  <c r="I21" i="7"/>
  <c r="M21" i="7" s="1"/>
  <c r="F33" i="7"/>
  <c r="I75" i="7"/>
  <c r="M75" i="7" s="1"/>
  <c r="D76" i="7"/>
  <c r="I51" i="7"/>
  <c r="M51" i="7" s="1"/>
  <c r="I49" i="7"/>
  <c r="M49" i="7" s="1"/>
  <c r="I20" i="7"/>
  <c r="M20" i="7" s="1"/>
  <c r="I18" i="7"/>
  <c r="M18" i="7" s="1"/>
  <c r="M36" i="7"/>
  <c r="B40" i="7"/>
  <c r="I62" i="7"/>
  <c r="M62" i="7" s="1"/>
  <c r="I61" i="7"/>
  <c r="M61" i="7" s="1"/>
  <c r="H78" i="7" l="1"/>
  <c r="G52" i="7"/>
  <c r="G56" i="7" s="1"/>
  <c r="G78" i="7" s="1"/>
  <c r="D52" i="7"/>
  <c r="D56" i="7" s="1"/>
  <c r="D78" i="7" s="1"/>
  <c r="M40" i="7"/>
  <c r="K26" i="1" s="1"/>
  <c r="C52" i="7"/>
  <c r="C56" i="7" s="1"/>
  <c r="C78" i="7" s="1"/>
  <c r="I76" i="7"/>
  <c r="F52" i="7"/>
  <c r="F56" i="7" s="1"/>
  <c r="F78" i="7" s="1"/>
  <c r="L78" i="7"/>
  <c r="M33" i="7"/>
  <c r="K6" i="1" s="1"/>
  <c r="I40" i="7"/>
  <c r="E52" i="7"/>
  <c r="E56" i="7" s="1"/>
  <c r="E78" i="7" s="1"/>
  <c r="B33" i="7"/>
  <c r="B52" i="7" s="1"/>
  <c r="B56" i="7" s="1"/>
  <c r="B78" i="7" s="1"/>
  <c r="M52" i="7"/>
  <c r="M56" i="7" s="1"/>
  <c r="K52" i="7"/>
  <c r="K56" i="7" s="1"/>
  <c r="K78" i="7" s="1"/>
  <c r="I33" i="7"/>
  <c r="M76" i="7"/>
  <c r="L27" i="1" l="1"/>
  <c r="K31" i="1"/>
  <c r="K11" i="1"/>
  <c r="K23" i="1"/>
  <c r="K19" i="1"/>
  <c r="C108" i="19" s="1"/>
  <c r="K15" i="1"/>
  <c r="I52" i="7"/>
  <c r="I56" i="7" s="1"/>
  <c r="I78" i="7" s="1"/>
  <c r="L7" i="1"/>
  <c r="M78" i="7"/>
  <c r="B15" i="6"/>
  <c r="C15" i="6"/>
  <c r="D15" i="6"/>
  <c r="E15" i="6"/>
  <c r="F15" i="6"/>
  <c r="G15" i="6"/>
  <c r="H15" i="6"/>
  <c r="K15" i="6"/>
  <c r="L15" i="6"/>
  <c r="B16" i="6"/>
  <c r="C16" i="6"/>
  <c r="D16" i="6"/>
  <c r="E16" i="6"/>
  <c r="F16" i="6"/>
  <c r="G16" i="6"/>
  <c r="H16" i="6"/>
  <c r="K16" i="6"/>
  <c r="L16" i="6"/>
  <c r="C17" i="6"/>
  <c r="D17" i="6"/>
  <c r="E17" i="6"/>
  <c r="F17" i="6"/>
  <c r="G17" i="6"/>
  <c r="H17" i="6"/>
  <c r="K17" i="6"/>
  <c r="L17" i="6"/>
  <c r="B18" i="6"/>
  <c r="C18" i="6"/>
  <c r="D18" i="6"/>
  <c r="E18" i="6"/>
  <c r="F18" i="6"/>
  <c r="G18" i="6"/>
  <c r="H18" i="6"/>
  <c r="K18" i="6"/>
  <c r="L18" i="6"/>
  <c r="B19" i="6"/>
  <c r="C19" i="6"/>
  <c r="D19" i="6"/>
  <c r="E19" i="6"/>
  <c r="F19" i="6"/>
  <c r="G19" i="6"/>
  <c r="H19" i="6"/>
  <c r="K19" i="6"/>
  <c r="L19" i="6"/>
  <c r="B20" i="6"/>
  <c r="C20" i="6"/>
  <c r="D20" i="6"/>
  <c r="E20" i="6"/>
  <c r="F20" i="6"/>
  <c r="G20" i="6"/>
  <c r="H20" i="6"/>
  <c r="K20" i="6"/>
  <c r="L20" i="6"/>
  <c r="B21" i="6"/>
  <c r="C21" i="6"/>
  <c r="D21" i="6"/>
  <c r="E21" i="6"/>
  <c r="F21" i="6"/>
  <c r="G21" i="6"/>
  <c r="H21" i="6"/>
  <c r="K21" i="6"/>
  <c r="L21" i="6"/>
  <c r="B22" i="6"/>
  <c r="C22" i="6"/>
  <c r="D22" i="6"/>
  <c r="E22" i="6"/>
  <c r="F22" i="6"/>
  <c r="G22" i="6"/>
  <c r="H22" i="6"/>
  <c r="K22" i="6"/>
  <c r="L22" i="6"/>
  <c r="B23" i="6"/>
  <c r="C23" i="6"/>
  <c r="D23" i="6"/>
  <c r="E23" i="6"/>
  <c r="F23" i="6"/>
  <c r="G23" i="6"/>
  <c r="H23" i="6"/>
  <c r="K23" i="6"/>
  <c r="L23" i="6"/>
  <c r="B24" i="6"/>
  <c r="C24" i="6"/>
  <c r="D24" i="6"/>
  <c r="E24" i="6"/>
  <c r="F24" i="6"/>
  <c r="G24" i="6"/>
  <c r="H24" i="6"/>
  <c r="K24" i="6"/>
  <c r="L24" i="6"/>
  <c r="B25" i="6"/>
  <c r="C25" i="6"/>
  <c r="D25" i="6"/>
  <c r="E25" i="6"/>
  <c r="F25" i="6"/>
  <c r="G25" i="6"/>
  <c r="H25" i="6"/>
  <c r="K25" i="6"/>
  <c r="L25" i="6"/>
  <c r="C26" i="6"/>
  <c r="I26" i="6" s="1"/>
  <c r="M26" i="6" s="1"/>
  <c r="B27" i="6"/>
  <c r="C27" i="6"/>
  <c r="D27" i="6"/>
  <c r="E27" i="6"/>
  <c r="F27" i="6"/>
  <c r="G27" i="6"/>
  <c r="H27" i="6"/>
  <c r="K27" i="6"/>
  <c r="L27" i="6"/>
  <c r="B28" i="6"/>
  <c r="C28" i="6"/>
  <c r="D28" i="6"/>
  <c r="E28" i="6"/>
  <c r="F28" i="6"/>
  <c r="G28" i="6"/>
  <c r="H28" i="6"/>
  <c r="K28" i="6"/>
  <c r="L28" i="6"/>
  <c r="B29" i="6"/>
  <c r="C29" i="6"/>
  <c r="D29" i="6"/>
  <c r="E29" i="6"/>
  <c r="F29" i="6"/>
  <c r="G29" i="6"/>
  <c r="H29" i="6"/>
  <c r="K29" i="6"/>
  <c r="L29" i="6"/>
  <c r="B30" i="6"/>
  <c r="C30" i="6"/>
  <c r="D30" i="6"/>
  <c r="E30" i="6"/>
  <c r="F30" i="6"/>
  <c r="G30" i="6"/>
  <c r="H30" i="6"/>
  <c r="K30" i="6"/>
  <c r="L30" i="6"/>
  <c r="B31" i="6"/>
  <c r="C31" i="6"/>
  <c r="D31" i="6"/>
  <c r="E31" i="6"/>
  <c r="F31" i="6"/>
  <c r="G31" i="6"/>
  <c r="H31" i="6"/>
  <c r="K31" i="6"/>
  <c r="L31" i="6"/>
  <c r="B32" i="6"/>
  <c r="C32" i="6"/>
  <c r="D32" i="6"/>
  <c r="E32" i="6"/>
  <c r="F32" i="6"/>
  <c r="G32" i="6"/>
  <c r="H32" i="6"/>
  <c r="K32" i="6"/>
  <c r="L32" i="6"/>
  <c r="J33" i="6"/>
  <c r="B36" i="6"/>
  <c r="C36" i="6"/>
  <c r="D36" i="6"/>
  <c r="E36" i="6"/>
  <c r="F36" i="6"/>
  <c r="G36" i="6"/>
  <c r="H36" i="6"/>
  <c r="K36" i="6"/>
  <c r="L36" i="6"/>
  <c r="B37" i="6"/>
  <c r="C37" i="6"/>
  <c r="D37" i="6"/>
  <c r="E37" i="6"/>
  <c r="F37" i="6"/>
  <c r="G37" i="6"/>
  <c r="H37" i="6"/>
  <c r="K37" i="6"/>
  <c r="L37" i="6"/>
  <c r="B38" i="6"/>
  <c r="C38" i="6"/>
  <c r="D38" i="6"/>
  <c r="E38" i="6"/>
  <c r="F38" i="6"/>
  <c r="G38" i="6"/>
  <c r="H38" i="6"/>
  <c r="K38" i="6"/>
  <c r="L38" i="6"/>
  <c r="B39" i="6"/>
  <c r="C39" i="6"/>
  <c r="D39" i="6"/>
  <c r="E39" i="6"/>
  <c r="F39" i="6"/>
  <c r="G39" i="6"/>
  <c r="H39" i="6"/>
  <c r="K39" i="6"/>
  <c r="L39" i="6"/>
  <c r="J40" i="6"/>
  <c r="B43" i="6"/>
  <c r="C43" i="6"/>
  <c r="D43" i="6"/>
  <c r="E43" i="6"/>
  <c r="F43" i="6"/>
  <c r="G43" i="6"/>
  <c r="H43" i="6"/>
  <c r="K43" i="6"/>
  <c r="L43" i="6"/>
  <c r="B44" i="6"/>
  <c r="C44" i="6"/>
  <c r="D44" i="6"/>
  <c r="E44" i="6"/>
  <c r="F44" i="6"/>
  <c r="G44" i="6"/>
  <c r="H44" i="6"/>
  <c r="K44" i="6"/>
  <c r="L44" i="6"/>
  <c r="B45" i="6"/>
  <c r="C45" i="6"/>
  <c r="D45" i="6"/>
  <c r="E45" i="6"/>
  <c r="F45" i="6"/>
  <c r="G45" i="6"/>
  <c r="H45" i="6"/>
  <c r="K45" i="6"/>
  <c r="L45" i="6"/>
  <c r="B46" i="6"/>
  <c r="C46" i="6"/>
  <c r="D46" i="6"/>
  <c r="E46" i="6"/>
  <c r="F46" i="6"/>
  <c r="G46" i="6"/>
  <c r="H46" i="6"/>
  <c r="K46" i="6"/>
  <c r="L46" i="6"/>
  <c r="B47" i="6"/>
  <c r="C47" i="6"/>
  <c r="D47" i="6"/>
  <c r="E47" i="6"/>
  <c r="F47" i="6"/>
  <c r="G47" i="6"/>
  <c r="H47" i="6"/>
  <c r="K47" i="6"/>
  <c r="L47" i="6"/>
  <c r="B48" i="6"/>
  <c r="C48" i="6"/>
  <c r="D48" i="6"/>
  <c r="E48" i="6"/>
  <c r="F48" i="6"/>
  <c r="G48" i="6"/>
  <c r="H48" i="6"/>
  <c r="K48" i="6"/>
  <c r="L48" i="6"/>
  <c r="B49" i="6"/>
  <c r="C49" i="6"/>
  <c r="D49" i="6"/>
  <c r="E49" i="6"/>
  <c r="F49" i="6"/>
  <c r="G49" i="6"/>
  <c r="H49" i="6"/>
  <c r="K49" i="6"/>
  <c r="L49" i="6"/>
  <c r="B50" i="6"/>
  <c r="C50" i="6"/>
  <c r="D50" i="6"/>
  <c r="E50" i="6"/>
  <c r="F50" i="6"/>
  <c r="G50" i="6"/>
  <c r="H50" i="6"/>
  <c r="B51" i="6"/>
  <c r="C51" i="6"/>
  <c r="D51" i="6"/>
  <c r="E51" i="6"/>
  <c r="F51" i="6"/>
  <c r="G51" i="6"/>
  <c r="H51" i="6"/>
  <c r="K51" i="6"/>
  <c r="L51" i="6"/>
  <c r="G53" i="6"/>
  <c r="I53" i="6" s="1"/>
  <c r="K53" i="6"/>
  <c r="B54" i="6"/>
  <c r="C54" i="6"/>
  <c r="D54" i="6"/>
  <c r="E54" i="6"/>
  <c r="F54" i="6"/>
  <c r="G54" i="6"/>
  <c r="H54" i="6"/>
  <c r="B55" i="6"/>
  <c r="C55" i="6"/>
  <c r="D55" i="6"/>
  <c r="E55" i="6"/>
  <c r="F55" i="6"/>
  <c r="G55" i="6"/>
  <c r="H55" i="6"/>
  <c r="K55" i="6"/>
  <c r="L55" i="6"/>
  <c r="J56" i="6"/>
  <c r="J78" i="6" s="1"/>
  <c r="B60" i="6"/>
  <c r="C60" i="6"/>
  <c r="D60" i="6"/>
  <c r="E60" i="6"/>
  <c r="F60" i="6"/>
  <c r="G60" i="6"/>
  <c r="H60" i="6"/>
  <c r="K60" i="6"/>
  <c r="L60" i="6"/>
  <c r="B61" i="6"/>
  <c r="C61" i="6"/>
  <c r="D61" i="6"/>
  <c r="E61" i="6"/>
  <c r="F61" i="6"/>
  <c r="G61" i="6"/>
  <c r="H61" i="6"/>
  <c r="K61" i="6"/>
  <c r="L61" i="6"/>
  <c r="B62" i="6"/>
  <c r="C62" i="6"/>
  <c r="D62" i="6"/>
  <c r="E62" i="6"/>
  <c r="F62" i="6"/>
  <c r="G62" i="6"/>
  <c r="H62" i="6"/>
  <c r="K62" i="6"/>
  <c r="L62" i="6"/>
  <c r="B63" i="6"/>
  <c r="C63" i="6"/>
  <c r="D63" i="6"/>
  <c r="E63" i="6"/>
  <c r="F63" i="6"/>
  <c r="G63" i="6"/>
  <c r="H63" i="6"/>
  <c r="K63" i="6"/>
  <c r="L63" i="6"/>
  <c r="C64" i="6"/>
  <c r="I64" i="6" s="1"/>
  <c r="M64" i="6" s="1"/>
  <c r="B65" i="6"/>
  <c r="C65" i="6"/>
  <c r="D65" i="6"/>
  <c r="E65" i="6"/>
  <c r="F65" i="6"/>
  <c r="G65" i="6"/>
  <c r="H65" i="6"/>
  <c r="K65" i="6"/>
  <c r="L65" i="6"/>
  <c r="B66" i="6"/>
  <c r="C66" i="6"/>
  <c r="D66" i="6"/>
  <c r="E66" i="6"/>
  <c r="F66" i="6"/>
  <c r="G66" i="6"/>
  <c r="H66" i="6"/>
  <c r="K66" i="6"/>
  <c r="L66" i="6"/>
  <c r="B67" i="6"/>
  <c r="C67" i="6"/>
  <c r="D67" i="6"/>
  <c r="E67" i="6"/>
  <c r="F67" i="6"/>
  <c r="G67" i="6"/>
  <c r="H67" i="6"/>
  <c r="K67" i="6"/>
  <c r="L67" i="6"/>
  <c r="B68" i="6"/>
  <c r="C68" i="6"/>
  <c r="D68" i="6"/>
  <c r="E68" i="6"/>
  <c r="F68" i="6"/>
  <c r="G68" i="6"/>
  <c r="H68" i="6"/>
  <c r="K68" i="6"/>
  <c r="L68" i="6"/>
  <c r="B69" i="6"/>
  <c r="C69" i="6"/>
  <c r="D69" i="6"/>
  <c r="E69" i="6"/>
  <c r="F69" i="6"/>
  <c r="G69" i="6"/>
  <c r="H69" i="6"/>
  <c r="K69" i="6"/>
  <c r="L69" i="6"/>
  <c r="B70" i="6"/>
  <c r="C70" i="6"/>
  <c r="D70" i="6"/>
  <c r="E70" i="6"/>
  <c r="F70" i="6"/>
  <c r="G70" i="6"/>
  <c r="H70" i="6"/>
  <c r="K70" i="6"/>
  <c r="L70" i="6"/>
  <c r="B71" i="6"/>
  <c r="C71" i="6"/>
  <c r="D71" i="6"/>
  <c r="E71" i="6"/>
  <c r="F71" i="6"/>
  <c r="G71" i="6"/>
  <c r="H71" i="6"/>
  <c r="K71" i="6"/>
  <c r="L71" i="6"/>
  <c r="B72" i="6"/>
  <c r="C72" i="6"/>
  <c r="D72" i="6"/>
  <c r="E72" i="6"/>
  <c r="F72" i="6"/>
  <c r="G72" i="6"/>
  <c r="H72" i="6"/>
  <c r="K72" i="6"/>
  <c r="L72" i="6"/>
  <c r="B73" i="6"/>
  <c r="C73" i="6"/>
  <c r="D73" i="6"/>
  <c r="E73" i="6"/>
  <c r="F73" i="6"/>
  <c r="G73" i="6"/>
  <c r="H73" i="6"/>
  <c r="K73" i="6"/>
  <c r="L73" i="6"/>
  <c r="B74" i="6"/>
  <c r="C74" i="6"/>
  <c r="D74" i="6"/>
  <c r="E74" i="6"/>
  <c r="F74" i="6"/>
  <c r="G74" i="6"/>
  <c r="H74" i="6"/>
  <c r="K74" i="6"/>
  <c r="L74" i="6"/>
  <c r="B75" i="6"/>
  <c r="C75" i="6"/>
  <c r="D75" i="6"/>
  <c r="E75" i="6"/>
  <c r="F75" i="6"/>
  <c r="G75" i="6"/>
  <c r="H75" i="6"/>
  <c r="K75" i="6"/>
  <c r="L75" i="6"/>
  <c r="I15" i="5"/>
  <c r="M15" i="5" s="1"/>
  <c r="Z15" i="5" s="1"/>
  <c r="I16" i="5"/>
  <c r="M16" i="5" s="1"/>
  <c r="B17" i="5"/>
  <c r="I17" i="5" s="1"/>
  <c r="I18" i="5"/>
  <c r="M18" i="5" s="1"/>
  <c r="Z18" i="5" s="1"/>
  <c r="H19" i="5"/>
  <c r="I19" i="5"/>
  <c r="M19" i="5" s="1"/>
  <c r="E20" i="5"/>
  <c r="I20" i="5" s="1"/>
  <c r="M20" i="5" s="1"/>
  <c r="Z20" i="5" s="1"/>
  <c r="G20" i="5"/>
  <c r="K20" i="5"/>
  <c r="L20" i="5"/>
  <c r="D21" i="5"/>
  <c r="I21" i="5" s="1"/>
  <c r="M21" i="5" s="1"/>
  <c r="Z21" i="5" s="1"/>
  <c r="I22" i="5"/>
  <c r="M22" i="5"/>
  <c r="Z22" i="5"/>
  <c r="I23" i="5"/>
  <c r="K23" i="5"/>
  <c r="L23" i="5"/>
  <c r="L33" i="5" s="1"/>
  <c r="I24" i="5"/>
  <c r="M24" i="5" s="1"/>
  <c r="Z24" i="5" s="1"/>
  <c r="I25" i="5"/>
  <c r="M25" i="5"/>
  <c r="Z25" i="5" s="1"/>
  <c r="C26" i="5"/>
  <c r="I26" i="5"/>
  <c r="M26" i="5" s="1"/>
  <c r="I27" i="5"/>
  <c r="M27" i="5" s="1"/>
  <c r="Z27" i="5" s="1"/>
  <c r="C28" i="5"/>
  <c r="I28" i="5"/>
  <c r="M28" i="5" s="1"/>
  <c r="Z28" i="5" s="1"/>
  <c r="F29" i="5"/>
  <c r="I29" i="5" s="1"/>
  <c r="M29" i="5" s="1"/>
  <c r="F30" i="5"/>
  <c r="I30" i="5"/>
  <c r="M30" i="5" s="1"/>
  <c r="Z30" i="5" s="1"/>
  <c r="I31" i="5"/>
  <c r="M31" i="5" s="1"/>
  <c r="F32" i="5"/>
  <c r="G32" i="5"/>
  <c r="G33" i="5" s="1"/>
  <c r="K32" i="5"/>
  <c r="B33" i="5"/>
  <c r="D33" i="5"/>
  <c r="E33" i="5"/>
  <c r="E52" i="5" s="1"/>
  <c r="E56" i="5" s="1"/>
  <c r="H33" i="5"/>
  <c r="J33" i="5"/>
  <c r="Z35" i="5"/>
  <c r="D36" i="5"/>
  <c r="I36" i="5" s="1"/>
  <c r="C37" i="5"/>
  <c r="I37" i="5" s="1"/>
  <c r="M37" i="5" s="1"/>
  <c r="I38" i="5"/>
  <c r="M38" i="5" s="1"/>
  <c r="I39" i="5"/>
  <c r="M39" i="5" s="1"/>
  <c r="Z39" i="5" s="1"/>
  <c r="B40" i="5"/>
  <c r="B52" i="5" s="1"/>
  <c r="B56" i="5" s="1"/>
  <c r="B78" i="5" s="1"/>
  <c r="C40" i="5"/>
  <c r="E40" i="5"/>
  <c r="F40" i="5"/>
  <c r="G40" i="5"/>
  <c r="H40" i="5"/>
  <c r="J40" i="5"/>
  <c r="K40" i="5"/>
  <c r="L40" i="5"/>
  <c r="AA40" i="5"/>
  <c r="B43" i="5"/>
  <c r="C43" i="5"/>
  <c r="I43" i="5" s="1"/>
  <c r="M43" i="5" s="1"/>
  <c r="Z43" i="5" s="1"/>
  <c r="D43" i="5"/>
  <c r="E43" i="5"/>
  <c r="I44" i="5"/>
  <c r="M44" i="5" s="1"/>
  <c r="Z44" i="5" s="1"/>
  <c r="I45" i="5"/>
  <c r="M45" i="5" s="1"/>
  <c r="I46" i="5"/>
  <c r="M46" i="5" s="1"/>
  <c r="I47" i="5"/>
  <c r="M47" i="5"/>
  <c r="I48" i="5"/>
  <c r="M48" i="5"/>
  <c r="C49" i="5"/>
  <c r="D49" i="5"/>
  <c r="I49" i="5" s="1"/>
  <c r="M49" i="5" s="1"/>
  <c r="Z49" i="5" s="1"/>
  <c r="E49" i="5"/>
  <c r="G49" i="5"/>
  <c r="I50" i="5"/>
  <c r="M50" i="5" s="1"/>
  <c r="D51" i="5"/>
  <c r="I51" i="5" s="1"/>
  <c r="M51" i="5" s="1"/>
  <c r="E51" i="5"/>
  <c r="I53" i="5"/>
  <c r="M53" i="5"/>
  <c r="I54" i="5"/>
  <c r="M54" i="5" s="1"/>
  <c r="I55" i="5"/>
  <c r="M55" i="5"/>
  <c r="Z55" i="5" s="1"/>
  <c r="AA55" i="5"/>
  <c r="AA56" i="5" s="1"/>
  <c r="AB55" i="5"/>
  <c r="J56" i="5"/>
  <c r="J78" i="5" s="1"/>
  <c r="AB56" i="5"/>
  <c r="C60" i="5"/>
  <c r="C76" i="5" s="1"/>
  <c r="I60" i="5"/>
  <c r="E61" i="5"/>
  <c r="I61" i="5"/>
  <c r="M61" i="5" s="1"/>
  <c r="I62" i="5"/>
  <c r="I63" i="5"/>
  <c r="M63" i="5" s="1"/>
  <c r="I64" i="5"/>
  <c r="M64" i="5"/>
  <c r="I65" i="5"/>
  <c r="M65" i="5" s="1"/>
  <c r="I66" i="5"/>
  <c r="M66" i="5"/>
  <c r="I67" i="5"/>
  <c r="M67" i="5" s="1"/>
  <c r="I68" i="5"/>
  <c r="L68" i="5"/>
  <c r="L76" i="5" s="1"/>
  <c r="I69" i="5"/>
  <c r="M69" i="5" s="1"/>
  <c r="I71" i="5"/>
  <c r="M71" i="5"/>
  <c r="I72" i="5"/>
  <c r="M72" i="5"/>
  <c r="I73" i="5"/>
  <c r="M73" i="5"/>
  <c r="I74" i="5"/>
  <c r="M74" i="5" s="1"/>
  <c r="F75" i="5"/>
  <c r="F76" i="5" s="1"/>
  <c r="B76" i="5"/>
  <c r="D76" i="5"/>
  <c r="E76" i="5"/>
  <c r="H76" i="5"/>
  <c r="H83" i="5"/>
  <c r="M83" i="5"/>
  <c r="K84" i="5"/>
  <c r="K85" i="5"/>
  <c r="K86" i="5"/>
  <c r="K87" i="5"/>
  <c r="K88" i="5"/>
  <c r="K89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7" i="5"/>
  <c r="R142" i="5"/>
  <c r="R143" i="5"/>
  <c r="R144" i="5"/>
  <c r="R145" i="5"/>
  <c r="R146" i="5"/>
  <c r="R147" i="5"/>
  <c r="R148" i="5"/>
  <c r="R149" i="5"/>
  <c r="R150" i="5"/>
  <c r="R152" i="5"/>
  <c r="R153" i="5"/>
  <c r="R155" i="5"/>
  <c r="R156" i="5"/>
  <c r="R157" i="5"/>
  <c r="R158" i="5"/>
  <c r="R160" i="5"/>
  <c r="R161" i="5"/>
  <c r="R162" i="5"/>
  <c r="R163" i="5"/>
  <c r="R164" i="5"/>
  <c r="R165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1" i="5"/>
  <c r="R192" i="5"/>
  <c r="B15" i="4"/>
  <c r="C15" i="4"/>
  <c r="D15" i="4"/>
  <c r="E15" i="4"/>
  <c r="F15" i="4"/>
  <c r="G15" i="4"/>
  <c r="H15" i="4"/>
  <c r="K15" i="4"/>
  <c r="L15" i="4"/>
  <c r="B16" i="4"/>
  <c r="C16" i="4"/>
  <c r="D16" i="4"/>
  <c r="E16" i="4"/>
  <c r="F16" i="4"/>
  <c r="G16" i="4"/>
  <c r="H16" i="4"/>
  <c r="K16" i="4"/>
  <c r="L16" i="4"/>
  <c r="C17" i="4"/>
  <c r="D17" i="4"/>
  <c r="E17" i="4"/>
  <c r="F17" i="4"/>
  <c r="G17" i="4"/>
  <c r="H17" i="4"/>
  <c r="K17" i="4"/>
  <c r="L17" i="4"/>
  <c r="B18" i="4"/>
  <c r="C18" i="4"/>
  <c r="D18" i="4"/>
  <c r="E18" i="4"/>
  <c r="F18" i="4"/>
  <c r="G18" i="4"/>
  <c r="H18" i="4"/>
  <c r="K18" i="4"/>
  <c r="L18" i="4"/>
  <c r="B19" i="4"/>
  <c r="C19" i="4"/>
  <c r="D19" i="4"/>
  <c r="E19" i="4"/>
  <c r="F19" i="4"/>
  <c r="G19" i="4"/>
  <c r="H19" i="4"/>
  <c r="K19" i="4"/>
  <c r="L19" i="4"/>
  <c r="B20" i="4"/>
  <c r="C20" i="4"/>
  <c r="D20" i="4"/>
  <c r="E20" i="4"/>
  <c r="F20" i="4"/>
  <c r="G20" i="4"/>
  <c r="H20" i="4"/>
  <c r="K20" i="4"/>
  <c r="L20" i="4"/>
  <c r="B21" i="4"/>
  <c r="C21" i="4"/>
  <c r="D21" i="4"/>
  <c r="E21" i="4"/>
  <c r="F21" i="4"/>
  <c r="G21" i="4"/>
  <c r="H21" i="4"/>
  <c r="K21" i="4"/>
  <c r="L21" i="4"/>
  <c r="B22" i="4"/>
  <c r="C22" i="4"/>
  <c r="D22" i="4"/>
  <c r="E22" i="4"/>
  <c r="F22" i="4"/>
  <c r="G22" i="4"/>
  <c r="H22" i="4"/>
  <c r="K22" i="4"/>
  <c r="L22" i="4"/>
  <c r="B23" i="4"/>
  <c r="C23" i="4"/>
  <c r="D23" i="4"/>
  <c r="E23" i="4"/>
  <c r="F23" i="4"/>
  <c r="G23" i="4"/>
  <c r="H23" i="4"/>
  <c r="K23" i="4"/>
  <c r="L23" i="4"/>
  <c r="B24" i="4"/>
  <c r="C24" i="4"/>
  <c r="D24" i="4"/>
  <c r="E24" i="4"/>
  <c r="F24" i="4"/>
  <c r="G24" i="4"/>
  <c r="H24" i="4"/>
  <c r="K24" i="4"/>
  <c r="L24" i="4"/>
  <c r="B25" i="4"/>
  <c r="C25" i="4"/>
  <c r="D25" i="4"/>
  <c r="E25" i="4"/>
  <c r="F25" i="4"/>
  <c r="G25" i="4"/>
  <c r="H25" i="4"/>
  <c r="K25" i="4"/>
  <c r="L25" i="4"/>
  <c r="C26" i="4"/>
  <c r="I26" i="4" s="1"/>
  <c r="M26" i="4" s="1"/>
  <c r="Q26" i="4" s="1"/>
  <c r="B27" i="4"/>
  <c r="C27" i="4"/>
  <c r="D27" i="4"/>
  <c r="E27" i="4"/>
  <c r="F27" i="4"/>
  <c r="G27" i="4"/>
  <c r="H27" i="4"/>
  <c r="K27" i="4"/>
  <c r="L27" i="4"/>
  <c r="B28" i="4"/>
  <c r="C28" i="4"/>
  <c r="D28" i="4"/>
  <c r="E28" i="4"/>
  <c r="F28" i="4"/>
  <c r="G28" i="4"/>
  <c r="H28" i="4"/>
  <c r="K28" i="4"/>
  <c r="L28" i="4"/>
  <c r="B29" i="4"/>
  <c r="C29" i="4"/>
  <c r="D29" i="4"/>
  <c r="E29" i="4"/>
  <c r="F29" i="4"/>
  <c r="G29" i="4"/>
  <c r="H29" i="4"/>
  <c r="K29" i="4"/>
  <c r="L29" i="4"/>
  <c r="B30" i="4"/>
  <c r="C30" i="4"/>
  <c r="D30" i="4"/>
  <c r="E30" i="4"/>
  <c r="F30" i="4"/>
  <c r="G30" i="4"/>
  <c r="H30" i="4"/>
  <c r="K30" i="4"/>
  <c r="L30" i="4"/>
  <c r="B31" i="4"/>
  <c r="C31" i="4"/>
  <c r="D31" i="4"/>
  <c r="E31" i="4"/>
  <c r="F31" i="4"/>
  <c r="G31" i="4"/>
  <c r="H31" i="4"/>
  <c r="K31" i="4"/>
  <c r="L31" i="4"/>
  <c r="B32" i="4"/>
  <c r="C32" i="4"/>
  <c r="D32" i="4"/>
  <c r="E32" i="4"/>
  <c r="F32" i="4"/>
  <c r="G32" i="4"/>
  <c r="H32" i="4"/>
  <c r="K32" i="4"/>
  <c r="L32" i="4"/>
  <c r="J33" i="4"/>
  <c r="O33" i="4"/>
  <c r="Q34" i="4"/>
  <c r="Q35" i="4"/>
  <c r="Z35" i="4"/>
  <c r="B36" i="4"/>
  <c r="C36" i="4"/>
  <c r="D36" i="4"/>
  <c r="E36" i="4"/>
  <c r="F36" i="4"/>
  <c r="G36" i="4"/>
  <c r="H36" i="4"/>
  <c r="K36" i="4"/>
  <c r="L36" i="4"/>
  <c r="B37" i="4"/>
  <c r="C37" i="4"/>
  <c r="D37" i="4"/>
  <c r="E37" i="4"/>
  <c r="F37" i="4"/>
  <c r="G37" i="4"/>
  <c r="H37" i="4"/>
  <c r="K37" i="4"/>
  <c r="L37" i="4"/>
  <c r="B38" i="4"/>
  <c r="C38" i="4"/>
  <c r="D38" i="4"/>
  <c r="E38" i="4"/>
  <c r="F38" i="4"/>
  <c r="G38" i="4"/>
  <c r="H38" i="4"/>
  <c r="K38" i="4"/>
  <c r="L38" i="4"/>
  <c r="B39" i="4"/>
  <c r="C39" i="4"/>
  <c r="D39" i="4"/>
  <c r="E39" i="4"/>
  <c r="F39" i="4"/>
  <c r="G39" i="4"/>
  <c r="H39" i="4"/>
  <c r="K39" i="4"/>
  <c r="L39" i="4"/>
  <c r="J40" i="4"/>
  <c r="O40" i="4"/>
  <c r="AA40" i="4"/>
  <c r="Q41" i="4"/>
  <c r="Q42" i="4"/>
  <c r="B43" i="4"/>
  <c r="C43" i="4"/>
  <c r="D43" i="4"/>
  <c r="E43" i="4"/>
  <c r="F43" i="4"/>
  <c r="G43" i="4"/>
  <c r="H43" i="4"/>
  <c r="K43" i="4"/>
  <c r="L43" i="4"/>
  <c r="B44" i="4"/>
  <c r="C44" i="4"/>
  <c r="D44" i="4"/>
  <c r="E44" i="4"/>
  <c r="F44" i="4"/>
  <c r="G44" i="4"/>
  <c r="H44" i="4"/>
  <c r="K44" i="4"/>
  <c r="L44" i="4"/>
  <c r="B45" i="4"/>
  <c r="C45" i="4"/>
  <c r="D45" i="4"/>
  <c r="E45" i="4"/>
  <c r="F45" i="4"/>
  <c r="G45" i="4"/>
  <c r="H45" i="4"/>
  <c r="K45" i="4"/>
  <c r="L45" i="4"/>
  <c r="B46" i="4"/>
  <c r="C46" i="4"/>
  <c r="D46" i="4"/>
  <c r="E46" i="4"/>
  <c r="F46" i="4"/>
  <c r="G46" i="4"/>
  <c r="H46" i="4"/>
  <c r="K46" i="4"/>
  <c r="L46" i="4"/>
  <c r="B47" i="4"/>
  <c r="C47" i="4"/>
  <c r="D47" i="4"/>
  <c r="E47" i="4"/>
  <c r="F47" i="4"/>
  <c r="G47" i="4"/>
  <c r="H47" i="4"/>
  <c r="K47" i="4"/>
  <c r="L47" i="4"/>
  <c r="B48" i="4"/>
  <c r="C48" i="4"/>
  <c r="D48" i="4"/>
  <c r="E48" i="4"/>
  <c r="F48" i="4"/>
  <c r="G48" i="4"/>
  <c r="H48" i="4"/>
  <c r="K48" i="4"/>
  <c r="L48" i="4"/>
  <c r="B49" i="4"/>
  <c r="C49" i="4"/>
  <c r="D49" i="4"/>
  <c r="E49" i="4"/>
  <c r="F49" i="4"/>
  <c r="G49" i="4"/>
  <c r="H49" i="4"/>
  <c r="K49" i="4"/>
  <c r="L49" i="4"/>
  <c r="B50" i="4"/>
  <c r="C50" i="4"/>
  <c r="D50" i="4"/>
  <c r="E50" i="4"/>
  <c r="F50" i="4"/>
  <c r="G50" i="4"/>
  <c r="H50" i="4"/>
  <c r="B51" i="4"/>
  <c r="C51" i="4"/>
  <c r="D51" i="4"/>
  <c r="E51" i="4"/>
  <c r="F51" i="4"/>
  <c r="G51" i="4"/>
  <c r="H51" i="4"/>
  <c r="K51" i="4"/>
  <c r="L51" i="4"/>
  <c r="O52" i="4"/>
  <c r="O56" i="4" s="1"/>
  <c r="G53" i="4"/>
  <c r="I53" i="4" s="1"/>
  <c r="K53" i="4"/>
  <c r="B54" i="4"/>
  <c r="C54" i="4"/>
  <c r="D54" i="4"/>
  <c r="E54" i="4"/>
  <c r="F54" i="4"/>
  <c r="G54" i="4"/>
  <c r="H54" i="4"/>
  <c r="B55" i="4"/>
  <c r="C55" i="4"/>
  <c r="D55" i="4"/>
  <c r="E55" i="4"/>
  <c r="F55" i="4"/>
  <c r="G55" i="4"/>
  <c r="H55" i="4"/>
  <c r="K55" i="4"/>
  <c r="L55" i="4"/>
  <c r="AA55" i="4"/>
  <c r="AA56" i="4" s="1"/>
  <c r="AB55" i="4"/>
  <c r="J56" i="4"/>
  <c r="J78" i="4" s="1"/>
  <c r="AB56" i="4"/>
  <c r="Q57" i="4"/>
  <c r="S57" i="4" s="1"/>
  <c r="Q58" i="4"/>
  <c r="Q59" i="4"/>
  <c r="B60" i="4"/>
  <c r="C60" i="4"/>
  <c r="D60" i="4"/>
  <c r="E60" i="4"/>
  <c r="F60" i="4"/>
  <c r="G60" i="4"/>
  <c r="H60" i="4"/>
  <c r="K60" i="4"/>
  <c r="L60" i="4"/>
  <c r="B61" i="4"/>
  <c r="C61" i="4"/>
  <c r="D61" i="4"/>
  <c r="E61" i="4"/>
  <c r="F61" i="4"/>
  <c r="G61" i="4"/>
  <c r="H61" i="4"/>
  <c r="K61" i="4"/>
  <c r="L61" i="4"/>
  <c r="B62" i="4"/>
  <c r="C62" i="4"/>
  <c r="D62" i="4"/>
  <c r="E62" i="4"/>
  <c r="F62" i="4"/>
  <c r="G62" i="4"/>
  <c r="H62" i="4"/>
  <c r="K62" i="4"/>
  <c r="L62" i="4"/>
  <c r="B63" i="4"/>
  <c r="C63" i="4"/>
  <c r="D63" i="4"/>
  <c r="E63" i="4"/>
  <c r="F63" i="4"/>
  <c r="G63" i="4"/>
  <c r="H63" i="4"/>
  <c r="K63" i="4"/>
  <c r="L63" i="4"/>
  <c r="C64" i="4"/>
  <c r="I64" i="4" s="1"/>
  <c r="M64" i="4" s="1"/>
  <c r="Q64" i="4" s="1"/>
  <c r="B65" i="4"/>
  <c r="C65" i="4"/>
  <c r="D65" i="4"/>
  <c r="E65" i="4"/>
  <c r="F65" i="4"/>
  <c r="G65" i="4"/>
  <c r="H65" i="4"/>
  <c r="K65" i="4"/>
  <c r="L65" i="4"/>
  <c r="B66" i="4"/>
  <c r="C66" i="4"/>
  <c r="D66" i="4"/>
  <c r="E66" i="4"/>
  <c r="F66" i="4"/>
  <c r="G66" i="4"/>
  <c r="H66" i="4"/>
  <c r="K66" i="4"/>
  <c r="L66" i="4"/>
  <c r="B67" i="4"/>
  <c r="C67" i="4"/>
  <c r="D67" i="4"/>
  <c r="E67" i="4"/>
  <c r="F67" i="4"/>
  <c r="G67" i="4"/>
  <c r="H67" i="4"/>
  <c r="K67" i="4"/>
  <c r="L67" i="4"/>
  <c r="B68" i="4"/>
  <c r="C68" i="4"/>
  <c r="D68" i="4"/>
  <c r="E68" i="4"/>
  <c r="F68" i="4"/>
  <c r="G68" i="4"/>
  <c r="H68" i="4"/>
  <c r="K68" i="4"/>
  <c r="L68" i="4"/>
  <c r="B69" i="4"/>
  <c r="C69" i="4"/>
  <c r="D69" i="4"/>
  <c r="E69" i="4"/>
  <c r="F69" i="4"/>
  <c r="G69" i="4"/>
  <c r="H69" i="4"/>
  <c r="K69" i="4"/>
  <c r="L69" i="4"/>
  <c r="B70" i="4"/>
  <c r="C70" i="4"/>
  <c r="D70" i="4"/>
  <c r="E70" i="4"/>
  <c r="F70" i="4"/>
  <c r="G70" i="4"/>
  <c r="H70" i="4"/>
  <c r="K70" i="4"/>
  <c r="L70" i="4"/>
  <c r="B71" i="4"/>
  <c r="C71" i="4"/>
  <c r="D71" i="4"/>
  <c r="E71" i="4"/>
  <c r="F71" i="4"/>
  <c r="G71" i="4"/>
  <c r="H71" i="4"/>
  <c r="K71" i="4"/>
  <c r="L71" i="4"/>
  <c r="B72" i="4"/>
  <c r="C72" i="4"/>
  <c r="D72" i="4"/>
  <c r="E72" i="4"/>
  <c r="F72" i="4"/>
  <c r="G72" i="4"/>
  <c r="H72" i="4"/>
  <c r="K72" i="4"/>
  <c r="L72" i="4"/>
  <c r="B73" i="4"/>
  <c r="C73" i="4"/>
  <c r="D73" i="4"/>
  <c r="E73" i="4"/>
  <c r="F73" i="4"/>
  <c r="G73" i="4"/>
  <c r="H73" i="4"/>
  <c r="K73" i="4"/>
  <c r="L73" i="4"/>
  <c r="B74" i="4"/>
  <c r="C74" i="4"/>
  <c r="D74" i="4"/>
  <c r="E74" i="4"/>
  <c r="F74" i="4"/>
  <c r="G74" i="4"/>
  <c r="H74" i="4"/>
  <c r="K74" i="4"/>
  <c r="L74" i="4"/>
  <c r="B75" i="4"/>
  <c r="C75" i="4"/>
  <c r="D75" i="4"/>
  <c r="E75" i="4"/>
  <c r="F75" i="4"/>
  <c r="G75" i="4"/>
  <c r="H75" i="4"/>
  <c r="K75" i="4"/>
  <c r="L75" i="4"/>
  <c r="O76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43" i="4"/>
  <c r="R148" i="4"/>
  <c r="R149" i="4"/>
  <c r="R150" i="4"/>
  <c r="R151" i="4"/>
  <c r="R152" i="4"/>
  <c r="R153" i="4"/>
  <c r="R154" i="4"/>
  <c r="R155" i="4"/>
  <c r="R156" i="4"/>
  <c r="R158" i="4"/>
  <c r="R159" i="4"/>
  <c r="R161" i="4"/>
  <c r="R162" i="4"/>
  <c r="R163" i="4"/>
  <c r="R164" i="4"/>
  <c r="R166" i="4"/>
  <c r="R167" i="4"/>
  <c r="R168" i="4"/>
  <c r="R169" i="4"/>
  <c r="R170" i="4"/>
  <c r="R171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7" i="4"/>
  <c r="R198" i="4"/>
  <c r="B15" i="3"/>
  <c r="C15" i="3"/>
  <c r="D15" i="3"/>
  <c r="E15" i="3"/>
  <c r="F15" i="3"/>
  <c r="G15" i="3"/>
  <c r="H15" i="3"/>
  <c r="K15" i="3"/>
  <c r="L15" i="3"/>
  <c r="B16" i="3"/>
  <c r="C16" i="3"/>
  <c r="D16" i="3"/>
  <c r="E16" i="3"/>
  <c r="F16" i="3"/>
  <c r="G16" i="3"/>
  <c r="H16" i="3"/>
  <c r="K16" i="3"/>
  <c r="L16" i="3"/>
  <c r="C17" i="3"/>
  <c r="D17" i="3"/>
  <c r="E17" i="3"/>
  <c r="F17" i="3"/>
  <c r="G17" i="3"/>
  <c r="H17" i="3"/>
  <c r="K17" i="3"/>
  <c r="L17" i="3"/>
  <c r="B18" i="3"/>
  <c r="C18" i="3"/>
  <c r="D18" i="3"/>
  <c r="E18" i="3"/>
  <c r="F18" i="3"/>
  <c r="G18" i="3"/>
  <c r="H18" i="3"/>
  <c r="K18" i="3"/>
  <c r="L18" i="3"/>
  <c r="B19" i="3"/>
  <c r="C19" i="3"/>
  <c r="D19" i="3"/>
  <c r="E19" i="3"/>
  <c r="F19" i="3"/>
  <c r="G19" i="3"/>
  <c r="H19" i="3"/>
  <c r="K19" i="3"/>
  <c r="L19" i="3"/>
  <c r="B20" i="3"/>
  <c r="C20" i="3"/>
  <c r="D20" i="3"/>
  <c r="E20" i="3"/>
  <c r="F20" i="3"/>
  <c r="G20" i="3"/>
  <c r="H20" i="3"/>
  <c r="K20" i="3"/>
  <c r="L20" i="3"/>
  <c r="B21" i="3"/>
  <c r="C21" i="3"/>
  <c r="D21" i="3"/>
  <c r="E21" i="3"/>
  <c r="F21" i="3"/>
  <c r="G21" i="3"/>
  <c r="H21" i="3"/>
  <c r="K21" i="3"/>
  <c r="L21" i="3"/>
  <c r="B22" i="3"/>
  <c r="C22" i="3"/>
  <c r="D22" i="3"/>
  <c r="E22" i="3"/>
  <c r="F22" i="3"/>
  <c r="G22" i="3"/>
  <c r="H22" i="3"/>
  <c r="K22" i="3"/>
  <c r="L22" i="3"/>
  <c r="B23" i="3"/>
  <c r="C23" i="3"/>
  <c r="D23" i="3"/>
  <c r="E23" i="3"/>
  <c r="F23" i="3"/>
  <c r="G23" i="3"/>
  <c r="H23" i="3"/>
  <c r="K23" i="3"/>
  <c r="L23" i="3"/>
  <c r="B24" i="3"/>
  <c r="C24" i="3"/>
  <c r="D24" i="3"/>
  <c r="E24" i="3"/>
  <c r="F24" i="3"/>
  <c r="G24" i="3"/>
  <c r="H24" i="3"/>
  <c r="K24" i="3"/>
  <c r="L24" i="3"/>
  <c r="B25" i="3"/>
  <c r="C25" i="3"/>
  <c r="D25" i="3"/>
  <c r="E25" i="3"/>
  <c r="F25" i="3"/>
  <c r="G25" i="3"/>
  <c r="H25" i="3"/>
  <c r="K25" i="3"/>
  <c r="L25" i="3"/>
  <c r="B26" i="3"/>
  <c r="C26" i="3"/>
  <c r="D26" i="3"/>
  <c r="E26" i="3"/>
  <c r="F26" i="3"/>
  <c r="G26" i="3"/>
  <c r="H26" i="3"/>
  <c r="K26" i="3"/>
  <c r="L26" i="3"/>
  <c r="B27" i="3"/>
  <c r="C27" i="3"/>
  <c r="D27" i="3"/>
  <c r="E27" i="3"/>
  <c r="F27" i="3"/>
  <c r="G27" i="3"/>
  <c r="H27" i="3"/>
  <c r="K27" i="3"/>
  <c r="L27" i="3"/>
  <c r="B28" i="3"/>
  <c r="C28" i="3"/>
  <c r="D28" i="3"/>
  <c r="E28" i="3"/>
  <c r="F28" i="3"/>
  <c r="G28" i="3"/>
  <c r="H28" i="3"/>
  <c r="K28" i="3"/>
  <c r="L28" i="3"/>
  <c r="B29" i="3"/>
  <c r="C29" i="3"/>
  <c r="D29" i="3"/>
  <c r="E29" i="3"/>
  <c r="F29" i="3"/>
  <c r="G29" i="3"/>
  <c r="H29" i="3"/>
  <c r="K29" i="3"/>
  <c r="L29" i="3"/>
  <c r="B30" i="3"/>
  <c r="C30" i="3"/>
  <c r="D30" i="3"/>
  <c r="E30" i="3"/>
  <c r="F30" i="3"/>
  <c r="G30" i="3"/>
  <c r="H30" i="3"/>
  <c r="K30" i="3"/>
  <c r="L30" i="3"/>
  <c r="B31" i="3"/>
  <c r="C31" i="3"/>
  <c r="D31" i="3"/>
  <c r="E31" i="3"/>
  <c r="F31" i="3"/>
  <c r="G31" i="3"/>
  <c r="H31" i="3"/>
  <c r="K31" i="3"/>
  <c r="L31" i="3"/>
  <c r="J32" i="3"/>
  <c r="Z34" i="3"/>
  <c r="B35" i="3"/>
  <c r="C35" i="3"/>
  <c r="D35" i="3"/>
  <c r="E35" i="3"/>
  <c r="F35" i="3"/>
  <c r="G35" i="3"/>
  <c r="H35" i="3"/>
  <c r="K35" i="3"/>
  <c r="L35" i="3"/>
  <c r="B36" i="3"/>
  <c r="C36" i="3"/>
  <c r="D36" i="3"/>
  <c r="E36" i="3"/>
  <c r="F36" i="3"/>
  <c r="G36" i="3"/>
  <c r="H36" i="3"/>
  <c r="K36" i="3"/>
  <c r="L36" i="3"/>
  <c r="B37" i="3"/>
  <c r="C37" i="3"/>
  <c r="D37" i="3"/>
  <c r="E37" i="3"/>
  <c r="F37" i="3"/>
  <c r="G37" i="3"/>
  <c r="H37" i="3"/>
  <c r="K37" i="3"/>
  <c r="L37" i="3"/>
  <c r="B38" i="3"/>
  <c r="C38" i="3"/>
  <c r="D38" i="3"/>
  <c r="E38" i="3"/>
  <c r="F38" i="3"/>
  <c r="G38" i="3"/>
  <c r="H38" i="3"/>
  <c r="K38" i="3"/>
  <c r="L38" i="3"/>
  <c r="B39" i="3"/>
  <c r="C39" i="3"/>
  <c r="D39" i="3"/>
  <c r="E39" i="3"/>
  <c r="F39" i="3"/>
  <c r="G39" i="3"/>
  <c r="H39" i="3"/>
  <c r="K39" i="3"/>
  <c r="L39" i="3"/>
  <c r="J40" i="3"/>
  <c r="AA40" i="3"/>
  <c r="B43" i="3"/>
  <c r="C43" i="3"/>
  <c r="D43" i="3"/>
  <c r="E43" i="3"/>
  <c r="F43" i="3"/>
  <c r="G43" i="3"/>
  <c r="H43" i="3"/>
  <c r="K43" i="3"/>
  <c r="L43" i="3"/>
  <c r="B44" i="3"/>
  <c r="C44" i="3"/>
  <c r="D44" i="3"/>
  <c r="E44" i="3"/>
  <c r="F44" i="3"/>
  <c r="G44" i="3"/>
  <c r="H44" i="3"/>
  <c r="K44" i="3"/>
  <c r="L44" i="3"/>
  <c r="B45" i="3"/>
  <c r="C45" i="3"/>
  <c r="D45" i="3"/>
  <c r="E45" i="3"/>
  <c r="F45" i="3"/>
  <c r="G45" i="3"/>
  <c r="H45" i="3"/>
  <c r="K45" i="3"/>
  <c r="L45" i="3"/>
  <c r="B46" i="3"/>
  <c r="C46" i="3"/>
  <c r="D46" i="3"/>
  <c r="E46" i="3"/>
  <c r="F46" i="3"/>
  <c r="G46" i="3"/>
  <c r="H46" i="3"/>
  <c r="K46" i="3"/>
  <c r="L46" i="3"/>
  <c r="B47" i="3"/>
  <c r="C47" i="3"/>
  <c r="D47" i="3"/>
  <c r="E47" i="3"/>
  <c r="F47" i="3"/>
  <c r="G47" i="3"/>
  <c r="H47" i="3"/>
  <c r="K47" i="3"/>
  <c r="L47" i="3"/>
  <c r="B48" i="3"/>
  <c r="C48" i="3"/>
  <c r="D48" i="3"/>
  <c r="E48" i="3"/>
  <c r="F48" i="3"/>
  <c r="G48" i="3"/>
  <c r="H48" i="3"/>
  <c r="K48" i="3"/>
  <c r="L48" i="3"/>
  <c r="B49" i="3"/>
  <c r="C49" i="3"/>
  <c r="D49" i="3"/>
  <c r="E49" i="3"/>
  <c r="F49" i="3"/>
  <c r="G49" i="3"/>
  <c r="H49" i="3"/>
  <c r="K49" i="3"/>
  <c r="L49" i="3"/>
  <c r="B50" i="3"/>
  <c r="C50" i="3"/>
  <c r="D50" i="3"/>
  <c r="E50" i="3"/>
  <c r="F50" i="3"/>
  <c r="G50" i="3"/>
  <c r="H50" i="3"/>
  <c r="B51" i="3"/>
  <c r="C51" i="3"/>
  <c r="D51" i="3"/>
  <c r="E51" i="3"/>
  <c r="F51" i="3"/>
  <c r="G51" i="3"/>
  <c r="H51" i="3"/>
  <c r="K51" i="3"/>
  <c r="L51" i="3"/>
  <c r="B53" i="3"/>
  <c r="C53" i="3"/>
  <c r="D53" i="3"/>
  <c r="E53" i="3"/>
  <c r="F53" i="3"/>
  <c r="G53" i="3"/>
  <c r="H53" i="3"/>
  <c r="B54" i="3"/>
  <c r="C54" i="3"/>
  <c r="D54" i="3"/>
  <c r="E54" i="3"/>
  <c r="F54" i="3"/>
  <c r="G54" i="3"/>
  <c r="H54" i="3"/>
  <c r="K54" i="3"/>
  <c r="L54" i="3"/>
  <c r="AA54" i="3"/>
  <c r="AA55" i="3" s="1"/>
  <c r="AB54" i="3"/>
  <c r="J55" i="3"/>
  <c r="AB55" i="3"/>
  <c r="B59" i="3"/>
  <c r="C59" i="3"/>
  <c r="D59" i="3"/>
  <c r="E59" i="3"/>
  <c r="F59" i="3"/>
  <c r="G59" i="3"/>
  <c r="H59" i="3"/>
  <c r="K59" i="3"/>
  <c r="L59" i="3"/>
  <c r="B60" i="3"/>
  <c r="C60" i="3"/>
  <c r="D60" i="3"/>
  <c r="E60" i="3"/>
  <c r="F60" i="3"/>
  <c r="G60" i="3"/>
  <c r="H60" i="3"/>
  <c r="K60" i="3"/>
  <c r="L60" i="3"/>
  <c r="B61" i="3"/>
  <c r="C61" i="3"/>
  <c r="D61" i="3"/>
  <c r="E61" i="3"/>
  <c r="F61" i="3"/>
  <c r="G61" i="3"/>
  <c r="H61" i="3"/>
  <c r="K61" i="3"/>
  <c r="L61" i="3"/>
  <c r="B62" i="3"/>
  <c r="C62" i="3"/>
  <c r="D62" i="3"/>
  <c r="E62" i="3"/>
  <c r="F62" i="3"/>
  <c r="G62" i="3"/>
  <c r="H62" i="3"/>
  <c r="K62" i="3"/>
  <c r="L62" i="3"/>
  <c r="B63" i="3"/>
  <c r="C63" i="3"/>
  <c r="D63" i="3"/>
  <c r="E63" i="3"/>
  <c r="F63" i="3"/>
  <c r="G63" i="3"/>
  <c r="H63" i="3"/>
  <c r="K63" i="3"/>
  <c r="L63" i="3"/>
  <c r="B64" i="3"/>
  <c r="C64" i="3"/>
  <c r="D64" i="3"/>
  <c r="E64" i="3"/>
  <c r="F64" i="3"/>
  <c r="G64" i="3"/>
  <c r="H64" i="3"/>
  <c r="K64" i="3"/>
  <c r="L64" i="3"/>
  <c r="B65" i="3"/>
  <c r="C65" i="3"/>
  <c r="D65" i="3"/>
  <c r="E65" i="3"/>
  <c r="F65" i="3"/>
  <c r="G65" i="3"/>
  <c r="H65" i="3"/>
  <c r="K65" i="3"/>
  <c r="L65" i="3"/>
  <c r="B66" i="3"/>
  <c r="C66" i="3"/>
  <c r="D66" i="3"/>
  <c r="E66" i="3"/>
  <c r="F66" i="3"/>
  <c r="G66" i="3"/>
  <c r="H66" i="3"/>
  <c r="K66" i="3"/>
  <c r="L66" i="3"/>
  <c r="B67" i="3"/>
  <c r="C67" i="3"/>
  <c r="D67" i="3"/>
  <c r="E67" i="3"/>
  <c r="F67" i="3"/>
  <c r="G67" i="3"/>
  <c r="H67" i="3"/>
  <c r="K67" i="3"/>
  <c r="L67" i="3"/>
  <c r="B68" i="3"/>
  <c r="C68" i="3"/>
  <c r="D68" i="3"/>
  <c r="E68" i="3"/>
  <c r="F68" i="3"/>
  <c r="G68" i="3"/>
  <c r="H68" i="3"/>
  <c r="K68" i="3"/>
  <c r="L68" i="3"/>
  <c r="B69" i="3"/>
  <c r="C69" i="3"/>
  <c r="D69" i="3"/>
  <c r="E69" i="3"/>
  <c r="F69" i="3"/>
  <c r="G69" i="3"/>
  <c r="H69" i="3"/>
  <c r="K69" i="3"/>
  <c r="L69" i="3"/>
  <c r="B70" i="3"/>
  <c r="C70" i="3"/>
  <c r="D70" i="3"/>
  <c r="E70" i="3"/>
  <c r="F70" i="3"/>
  <c r="G70" i="3"/>
  <c r="H70" i="3"/>
  <c r="K70" i="3"/>
  <c r="L70" i="3"/>
  <c r="B71" i="3"/>
  <c r="C71" i="3"/>
  <c r="D71" i="3"/>
  <c r="E71" i="3"/>
  <c r="F71" i="3"/>
  <c r="G71" i="3"/>
  <c r="H71" i="3"/>
  <c r="K71" i="3"/>
  <c r="L71" i="3"/>
  <c r="B72" i="3"/>
  <c r="C72" i="3"/>
  <c r="D72" i="3"/>
  <c r="E72" i="3"/>
  <c r="F72" i="3"/>
  <c r="G72" i="3"/>
  <c r="H72" i="3"/>
  <c r="K72" i="3"/>
  <c r="L72" i="3"/>
  <c r="B73" i="3"/>
  <c r="C73" i="3"/>
  <c r="D73" i="3"/>
  <c r="E73" i="3"/>
  <c r="F73" i="3"/>
  <c r="G73" i="3"/>
  <c r="H73" i="3"/>
  <c r="K73" i="3"/>
  <c r="L73" i="3"/>
  <c r="J76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41" i="3"/>
  <c r="R146" i="3"/>
  <c r="R147" i="3"/>
  <c r="R148" i="3"/>
  <c r="R149" i="3"/>
  <c r="R150" i="3"/>
  <c r="R151" i="3"/>
  <c r="R152" i="3"/>
  <c r="R153" i="3"/>
  <c r="R154" i="3"/>
  <c r="R156" i="3"/>
  <c r="R157" i="3"/>
  <c r="R159" i="3"/>
  <c r="R160" i="3"/>
  <c r="R161" i="3"/>
  <c r="R162" i="3"/>
  <c r="R164" i="3"/>
  <c r="R165" i="3"/>
  <c r="R166" i="3"/>
  <c r="R167" i="3"/>
  <c r="R168" i="3"/>
  <c r="R169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5" i="3"/>
  <c r="R196" i="3"/>
  <c r="B15" i="2"/>
  <c r="C15" i="2"/>
  <c r="D15" i="2"/>
  <c r="E15" i="2"/>
  <c r="F15" i="2"/>
  <c r="G15" i="2"/>
  <c r="H15" i="2"/>
  <c r="K15" i="2"/>
  <c r="L15" i="2"/>
  <c r="B16" i="2"/>
  <c r="C16" i="2"/>
  <c r="D16" i="2"/>
  <c r="E16" i="2"/>
  <c r="F16" i="2"/>
  <c r="G16" i="2"/>
  <c r="H16" i="2"/>
  <c r="K16" i="2"/>
  <c r="L16" i="2"/>
  <c r="C17" i="2"/>
  <c r="D17" i="2"/>
  <c r="E17" i="2"/>
  <c r="F17" i="2"/>
  <c r="G17" i="2"/>
  <c r="H17" i="2"/>
  <c r="K17" i="2"/>
  <c r="L17" i="2"/>
  <c r="B18" i="2"/>
  <c r="C18" i="2"/>
  <c r="D18" i="2"/>
  <c r="E18" i="2"/>
  <c r="F18" i="2"/>
  <c r="G18" i="2"/>
  <c r="H18" i="2"/>
  <c r="K18" i="2"/>
  <c r="L18" i="2"/>
  <c r="B19" i="2"/>
  <c r="C19" i="2"/>
  <c r="D19" i="2"/>
  <c r="E19" i="2"/>
  <c r="F19" i="2"/>
  <c r="G19" i="2"/>
  <c r="H19" i="2"/>
  <c r="K19" i="2"/>
  <c r="L19" i="2"/>
  <c r="B20" i="2"/>
  <c r="C20" i="2"/>
  <c r="D20" i="2"/>
  <c r="E20" i="2"/>
  <c r="F20" i="2"/>
  <c r="G20" i="2"/>
  <c r="H20" i="2"/>
  <c r="K20" i="2"/>
  <c r="L20" i="2"/>
  <c r="B21" i="2"/>
  <c r="C21" i="2"/>
  <c r="D21" i="2"/>
  <c r="E21" i="2"/>
  <c r="F21" i="2"/>
  <c r="G21" i="2"/>
  <c r="H21" i="2"/>
  <c r="K21" i="2"/>
  <c r="L21" i="2"/>
  <c r="B22" i="2"/>
  <c r="C22" i="2"/>
  <c r="D22" i="2"/>
  <c r="E22" i="2"/>
  <c r="F22" i="2"/>
  <c r="G22" i="2"/>
  <c r="H22" i="2"/>
  <c r="K22" i="2"/>
  <c r="L22" i="2"/>
  <c r="B23" i="2"/>
  <c r="C23" i="2"/>
  <c r="D23" i="2"/>
  <c r="E23" i="2"/>
  <c r="F23" i="2"/>
  <c r="G23" i="2"/>
  <c r="H23" i="2"/>
  <c r="K23" i="2"/>
  <c r="L23" i="2"/>
  <c r="B24" i="2"/>
  <c r="C24" i="2"/>
  <c r="D24" i="2"/>
  <c r="E24" i="2"/>
  <c r="F24" i="2"/>
  <c r="G24" i="2"/>
  <c r="H24" i="2"/>
  <c r="K24" i="2"/>
  <c r="L24" i="2"/>
  <c r="B25" i="2"/>
  <c r="C25" i="2"/>
  <c r="D25" i="2"/>
  <c r="E25" i="2"/>
  <c r="F25" i="2"/>
  <c r="G25" i="2"/>
  <c r="H25" i="2"/>
  <c r="K25" i="2"/>
  <c r="L25" i="2"/>
  <c r="B26" i="2"/>
  <c r="C26" i="2"/>
  <c r="D26" i="2"/>
  <c r="E26" i="2"/>
  <c r="F26" i="2"/>
  <c r="G26" i="2"/>
  <c r="H26" i="2"/>
  <c r="K26" i="2"/>
  <c r="L26" i="2"/>
  <c r="B27" i="2"/>
  <c r="C27" i="2"/>
  <c r="D27" i="2"/>
  <c r="E27" i="2"/>
  <c r="F27" i="2"/>
  <c r="G27" i="2"/>
  <c r="H27" i="2"/>
  <c r="K27" i="2"/>
  <c r="L27" i="2"/>
  <c r="B28" i="2"/>
  <c r="C28" i="2"/>
  <c r="D28" i="2"/>
  <c r="E28" i="2"/>
  <c r="F28" i="2"/>
  <c r="G28" i="2"/>
  <c r="H28" i="2"/>
  <c r="K28" i="2"/>
  <c r="L28" i="2"/>
  <c r="B29" i="2"/>
  <c r="C29" i="2"/>
  <c r="D29" i="2"/>
  <c r="E29" i="2"/>
  <c r="F29" i="2"/>
  <c r="G29" i="2"/>
  <c r="H29" i="2"/>
  <c r="K29" i="2"/>
  <c r="L29" i="2"/>
  <c r="B30" i="2"/>
  <c r="C30" i="2"/>
  <c r="D30" i="2"/>
  <c r="E30" i="2"/>
  <c r="F30" i="2"/>
  <c r="G30" i="2"/>
  <c r="H30" i="2"/>
  <c r="K30" i="2"/>
  <c r="L30" i="2"/>
  <c r="B31" i="2"/>
  <c r="C31" i="2"/>
  <c r="D31" i="2"/>
  <c r="E31" i="2"/>
  <c r="F31" i="2"/>
  <c r="G31" i="2"/>
  <c r="H31" i="2"/>
  <c r="K31" i="2"/>
  <c r="L31" i="2"/>
  <c r="J32" i="2"/>
  <c r="Z34" i="2"/>
  <c r="B35" i="2"/>
  <c r="C35" i="2"/>
  <c r="D35" i="2"/>
  <c r="E35" i="2"/>
  <c r="F35" i="2"/>
  <c r="G35" i="2"/>
  <c r="H35" i="2"/>
  <c r="K35" i="2"/>
  <c r="L35" i="2"/>
  <c r="B36" i="2"/>
  <c r="C36" i="2"/>
  <c r="D36" i="2"/>
  <c r="E36" i="2"/>
  <c r="F36" i="2"/>
  <c r="G36" i="2"/>
  <c r="H36" i="2"/>
  <c r="K36" i="2"/>
  <c r="L36" i="2"/>
  <c r="B37" i="2"/>
  <c r="C37" i="2"/>
  <c r="D37" i="2"/>
  <c r="E37" i="2"/>
  <c r="F37" i="2"/>
  <c r="G37" i="2"/>
  <c r="H37" i="2"/>
  <c r="K37" i="2"/>
  <c r="L37" i="2"/>
  <c r="B38" i="2"/>
  <c r="C38" i="2"/>
  <c r="D38" i="2"/>
  <c r="E38" i="2"/>
  <c r="F38" i="2"/>
  <c r="G38" i="2"/>
  <c r="H38" i="2"/>
  <c r="K38" i="2"/>
  <c r="L38" i="2"/>
  <c r="B39" i="2"/>
  <c r="C39" i="2"/>
  <c r="D39" i="2"/>
  <c r="E39" i="2"/>
  <c r="F39" i="2"/>
  <c r="G39" i="2"/>
  <c r="H39" i="2"/>
  <c r="K39" i="2"/>
  <c r="L39" i="2"/>
  <c r="J40" i="2"/>
  <c r="J52" i="2" s="1"/>
  <c r="J58" i="2" s="1"/>
  <c r="J79" i="2" s="1"/>
  <c r="AA40" i="2"/>
  <c r="B43" i="2"/>
  <c r="C43" i="2"/>
  <c r="D43" i="2"/>
  <c r="E43" i="2"/>
  <c r="F43" i="2"/>
  <c r="G43" i="2"/>
  <c r="H43" i="2"/>
  <c r="K43" i="2"/>
  <c r="L43" i="2"/>
  <c r="B44" i="2"/>
  <c r="C44" i="2"/>
  <c r="D44" i="2"/>
  <c r="E44" i="2"/>
  <c r="F44" i="2"/>
  <c r="G44" i="2"/>
  <c r="H44" i="2"/>
  <c r="K44" i="2"/>
  <c r="L44" i="2"/>
  <c r="B45" i="2"/>
  <c r="C45" i="2"/>
  <c r="D45" i="2"/>
  <c r="E45" i="2"/>
  <c r="F45" i="2"/>
  <c r="G45" i="2"/>
  <c r="H45" i="2"/>
  <c r="K45" i="2"/>
  <c r="L45" i="2"/>
  <c r="B46" i="2"/>
  <c r="C46" i="2"/>
  <c r="D46" i="2"/>
  <c r="E46" i="2"/>
  <c r="F46" i="2"/>
  <c r="G46" i="2"/>
  <c r="H46" i="2"/>
  <c r="K46" i="2"/>
  <c r="L46" i="2"/>
  <c r="B47" i="2"/>
  <c r="C47" i="2"/>
  <c r="D47" i="2"/>
  <c r="E47" i="2"/>
  <c r="F47" i="2"/>
  <c r="G47" i="2"/>
  <c r="H47" i="2"/>
  <c r="K47" i="2"/>
  <c r="L47" i="2"/>
  <c r="B48" i="2"/>
  <c r="C48" i="2"/>
  <c r="D48" i="2"/>
  <c r="E48" i="2"/>
  <c r="F48" i="2"/>
  <c r="G48" i="2"/>
  <c r="H48" i="2"/>
  <c r="K48" i="2"/>
  <c r="L48" i="2"/>
  <c r="B49" i="2"/>
  <c r="C49" i="2"/>
  <c r="D49" i="2"/>
  <c r="E49" i="2"/>
  <c r="F49" i="2"/>
  <c r="G49" i="2"/>
  <c r="H49" i="2"/>
  <c r="K49" i="2"/>
  <c r="L49" i="2"/>
  <c r="B50" i="2"/>
  <c r="C50" i="2"/>
  <c r="D50" i="2"/>
  <c r="E50" i="2"/>
  <c r="F50" i="2"/>
  <c r="G50" i="2"/>
  <c r="H50" i="2"/>
  <c r="B51" i="2"/>
  <c r="C51" i="2"/>
  <c r="D51" i="2"/>
  <c r="E51" i="2"/>
  <c r="F51" i="2"/>
  <c r="G51" i="2"/>
  <c r="H51" i="2"/>
  <c r="K51" i="2"/>
  <c r="L51" i="2"/>
  <c r="C53" i="2"/>
  <c r="D53" i="2"/>
  <c r="F53" i="2"/>
  <c r="C54" i="2"/>
  <c r="D54" i="2"/>
  <c r="F54" i="2"/>
  <c r="B56" i="2"/>
  <c r="C56" i="2"/>
  <c r="D56" i="2"/>
  <c r="E56" i="2"/>
  <c r="F56" i="2"/>
  <c r="G56" i="2"/>
  <c r="H56" i="2"/>
  <c r="B57" i="2"/>
  <c r="C57" i="2"/>
  <c r="D57" i="2"/>
  <c r="E57" i="2"/>
  <c r="F57" i="2"/>
  <c r="G57" i="2"/>
  <c r="H57" i="2"/>
  <c r="K57" i="2"/>
  <c r="L57" i="2"/>
  <c r="AA57" i="2"/>
  <c r="AB57" i="2"/>
  <c r="AB58" i="2" s="1"/>
  <c r="AA58" i="2"/>
  <c r="B62" i="2"/>
  <c r="C62" i="2"/>
  <c r="D62" i="2"/>
  <c r="E62" i="2"/>
  <c r="F62" i="2"/>
  <c r="G62" i="2"/>
  <c r="H62" i="2"/>
  <c r="K62" i="2"/>
  <c r="L62" i="2"/>
  <c r="B63" i="2"/>
  <c r="C63" i="2"/>
  <c r="D63" i="2"/>
  <c r="E63" i="2"/>
  <c r="F63" i="2"/>
  <c r="G63" i="2"/>
  <c r="H63" i="2"/>
  <c r="K63" i="2"/>
  <c r="L63" i="2"/>
  <c r="B64" i="2"/>
  <c r="C64" i="2"/>
  <c r="D64" i="2"/>
  <c r="E64" i="2"/>
  <c r="F64" i="2"/>
  <c r="G64" i="2"/>
  <c r="H64" i="2"/>
  <c r="K64" i="2"/>
  <c r="L64" i="2"/>
  <c r="B65" i="2"/>
  <c r="C65" i="2"/>
  <c r="D65" i="2"/>
  <c r="E65" i="2"/>
  <c r="F65" i="2"/>
  <c r="G65" i="2"/>
  <c r="H65" i="2"/>
  <c r="K65" i="2"/>
  <c r="L65" i="2"/>
  <c r="B66" i="2"/>
  <c r="C66" i="2"/>
  <c r="D66" i="2"/>
  <c r="E66" i="2"/>
  <c r="F66" i="2"/>
  <c r="G66" i="2"/>
  <c r="H66" i="2"/>
  <c r="K66" i="2"/>
  <c r="L66" i="2"/>
  <c r="B67" i="2"/>
  <c r="C67" i="2"/>
  <c r="D67" i="2"/>
  <c r="E67" i="2"/>
  <c r="F67" i="2"/>
  <c r="G67" i="2"/>
  <c r="H67" i="2"/>
  <c r="K67" i="2"/>
  <c r="L67" i="2"/>
  <c r="B68" i="2"/>
  <c r="C68" i="2"/>
  <c r="D68" i="2"/>
  <c r="E68" i="2"/>
  <c r="F68" i="2"/>
  <c r="G68" i="2"/>
  <c r="H68" i="2"/>
  <c r="K68" i="2"/>
  <c r="L68" i="2"/>
  <c r="B69" i="2"/>
  <c r="C69" i="2"/>
  <c r="D69" i="2"/>
  <c r="E69" i="2"/>
  <c r="F69" i="2"/>
  <c r="G69" i="2"/>
  <c r="H69" i="2"/>
  <c r="K69" i="2"/>
  <c r="L69" i="2"/>
  <c r="B70" i="2"/>
  <c r="C70" i="2"/>
  <c r="D70" i="2"/>
  <c r="E70" i="2"/>
  <c r="F70" i="2"/>
  <c r="G70" i="2"/>
  <c r="H70" i="2"/>
  <c r="K70" i="2"/>
  <c r="L70" i="2"/>
  <c r="B71" i="2"/>
  <c r="C71" i="2"/>
  <c r="D71" i="2"/>
  <c r="E71" i="2"/>
  <c r="F71" i="2"/>
  <c r="G71" i="2"/>
  <c r="H71" i="2"/>
  <c r="K71" i="2"/>
  <c r="L71" i="2"/>
  <c r="B72" i="2"/>
  <c r="C72" i="2"/>
  <c r="D72" i="2"/>
  <c r="E72" i="2"/>
  <c r="F72" i="2"/>
  <c r="G72" i="2"/>
  <c r="H72" i="2"/>
  <c r="K72" i="2"/>
  <c r="L72" i="2"/>
  <c r="B73" i="2"/>
  <c r="C73" i="2"/>
  <c r="D73" i="2"/>
  <c r="E73" i="2"/>
  <c r="F73" i="2"/>
  <c r="G73" i="2"/>
  <c r="H73" i="2"/>
  <c r="K73" i="2"/>
  <c r="L73" i="2"/>
  <c r="B74" i="2"/>
  <c r="C74" i="2"/>
  <c r="D74" i="2"/>
  <c r="E74" i="2"/>
  <c r="F74" i="2"/>
  <c r="G74" i="2"/>
  <c r="H74" i="2"/>
  <c r="K74" i="2"/>
  <c r="L74" i="2"/>
  <c r="B75" i="2"/>
  <c r="C75" i="2"/>
  <c r="D75" i="2"/>
  <c r="E75" i="2"/>
  <c r="F75" i="2"/>
  <c r="G75" i="2"/>
  <c r="H75" i="2"/>
  <c r="K75" i="2"/>
  <c r="L75" i="2"/>
  <c r="B76" i="2"/>
  <c r="C76" i="2"/>
  <c r="D76" i="2"/>
  <c r="E76" i="2"/>
  <c r="F76" i="2"/>
  <c r="G76" i="2"/>
  <c r="H76" i="2"/>
  <c r="K76" i="2"/>
  <c r="L76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4" i="2"/>
  <c r="R149" i="2"/>
  <c r="R150" i="2"/>
  <c r="R151" i="2"/>
  <c r="R152" i="2"/>
  <c r="R153" i="2"/>
  <c r="R154" i="2"/>
  <c r="R155" i="2"/>
  <c r="R156" i="2"/>
  <c r="R157" i="2"/>
  <c r="R159" i="2"/>
  <c r="R160" i="2"/>
  <c r="R162" i="2"/>
  <c r="R163" i="2"/>
  <c r="R164" i="2"/>
  <c r="R165" i="2"/>
  <c r="R167" i="2"/>
  <c r="R168" i="2"/>
  <c r="R169" i="2"/>
  <c r="R170" i="2"/>
  <c r="R171" i="2"/>
  <c r="R172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8" i="2"/>
  <c r="R199" i="2"/>
  <c r="B17" i="6" l="1"/>
  <c r="B33" i="6" s="1"/>
  <c r="I54" i="2"/>
  <c r="M54" i="2" s="1"/>
  <c r="M30" i="3"/>
  <c r="I48" i="6"/>
  <c r="M48" i="6" s="1"/>
  <c r="M17" i="5"/>
  <c r="R148" i="2"/>
  <c r="R158" i="2" s="1"/>
  <c r="H40" i="3"/>
  <c r="I32" i="5"/>
  <c r="M32" i="5" s="1"/>
  <c r="Z32" i="5" s="1"/>
  <c r="L52" i="5"/>
  <c r="L56" i="5" s="1"/>
  <c r="L78" i="5" s="1"/>
  <c r="D40" i="6"/>
  <c r="R145" i="3"/>
  <c r="R155" i="3" s="1"/>
  <c r="R158" i="3" s="1"/>
  <c r="R163" i="3" s="1"/>
  <c r="R170" i="3" s="1"/>
  <c r="I44" i="3"/>
  <c r="M44" i="3" s="1"/>
  <c r="Z44" i="3" s="1"/>
  <c r="I38" i="3"/>
  <c r="M38" i="3" s="1"/>
  <c r="Z38" i="3" s="1"/>
  <c r="I16" i="4"/>
  <c r="M68" i="5"/>
  <c r="C33" i="5"/>
  <c r="C52" i="5" s="1"/>
  <c r="C56" i="5" s="1"/>
  <c r="C78" i="5" s="1"/>
  <c r="M23" i="5"/>
  <c r="Z23" i="5" s="1"/>
  <c r="I47" i="6"/>
  <c r="C40" i="6"/>
  <c r="R161" i="2"/>
  <c r="R166" i="2" s="1"/>
  <c r="R173" i="2" s="1"/>
  <c r="I38" i="2"/>
  <c r="M38" i="2" s="1"/>
  <c r="Z38" i="2" s="1"/>
  <c r="I25" i="2"/>
  <c r="M25" i="2" s="1"/>
  <c r="Z25" i="2" s="1"/>
  <c r="C40" i="4"/>
  <c r="R141" i="5"/>
  <c r="R151" i="5" s="1"/>
  <c r="R154" i="5" s="1"/>
  <c r="R159" i="5" s="1"/>
  <c r="R166" i="5" s="1"/>
  <c r="I75" i="5"/>
  <c r="M75" i="5" s="1"/>
  <c r="D40" i="5"/>
  <c r="D52" i="5" s="1"/>
  <c r="D56" i="5" s="1"/>
  <c r="D78" i="5" s="1"/>
  <c r="H52" i="5"/>
  <c r="H56" i="5" s="1"/>
  <c r="H78" i="5" s="1"/>
  <c r="I50" i="4"/>
  <c r="M50" i="4" s="1"/>
  <c r="Q50" i="4" s="1"/>
  <c r="E78" i="5"/>
  <c r="G52" i="5"/>
  <c r="G56" i="5" s="1"/>
  <c r="L40" i="6"/>
  <c r="I16" i="6"/>
  <c r="M16" i="6" s="1"/>
  <c r="I25" i="6"/>
  <c r="M25" i="6" s="1"/>
  <c r="G32" i="3"/>
  <c r="I75" i="4"/>
  <c r="M75" i="4" s="1"/>
  <c r="Q75" i="4" s="1"/>
  <c r="S75" i="4" s="1"/>
  <c r="E40" i="4"/>
  <c r="G40" i="4"/>
  <c r="I19" i="4"/>
  <c r="M19" i="4" s="1"/>
  <c r="Q19" i="4" s="1"/>
  <c r="S19" i="4" s="1"/>
  <c r="I73" i="6"/>
  <c r="M73" i="6" s="1"/>
  <c r="M53" i="6"/>
  <c r="I32" i="6"/>
  <c r="M32" i="6" s="1"/>
  <c r="I63" i="3"/>
  <c r="M63" i="3" s="1"/>
  <c r="I29" i="4"/>
  <c r="M29" i="4" s="1"/>
  <c r="Q29" i="4" s="1"/>
  <c r="S29" i="4" s="1"/>
  <c r="I54" i="6"/>
  <c r="M54" i="6" s="1"/>
  <c r="I45" i="2"/>
  <c r="M45" i="2" s="1"/>
  <c r="I70" i="3"/>
  <c r="M70" i="3" s="1"/>
  <c r="I46" i="2"/>
  <c r="M46" i="2" s="1"/>
  <c r="I24" i="6"/>
  <c r="M24" i="6" s="1"/>
  <c r="I67" i="2"/>
  <c r="I57" i="2"/>
  <c r="M57" i="2" s="1"/>
  <c r="Z57" i="2" s="1"/>
  <c r="M31" i="4"/>
  <c r="Q31" i="4" s="1"/>
  <c r="S31" i="4" s="1"/>
  <c r="I53" i="3"/>
  <c r="M53" i="3" s="1"/>
  <c r="I25" i="3"/>
  <c r="M25" i="3" s="1"/>
  <c r="Z25" i="3" s="1"/>
  <c r="I44" i="2"/>
  <c r="M44" i="2" s="1"/>
  <c r="Z44" i="2" s="1"/>
  <c r="I69" i="3"/>
  <c r="I68" i="4"/>
  <c r="M68" i="4" s="1"/>
  <c r="Q68" i="4" s="1"/>
  <c r="S68" i="4" s="1"/>
  <c r="I23" i="6"/>
  <c r="M23" i="6" s="1"/>
  <c r="I74" i="2"/>
  <c r="M74" i="2" s="1"/>
  <c r="L32" i="2"/>
  <c r="I31" i="2"/>
  <c r="M31" i="2" s="1"/>
  <c r="Z31" i="2" s="1"/>
  <c r="I66" i="3"/>
  <c r="M66" i="3" s="1"/>
  <c r="M53" i="4"/>
  <c r="Q53" i="4" s="1"/>
  <c r="F40" i="6"/>
  <c r="B77" i="2"/>
  <c r="K33" i="4"/>
  <c r="I62" i="3"/>
  <c r="I19" i="2"/>
  <c r="M19" i="2" s="1"/>
  <c r="Z19" i="2" s="1"/>
  <c r="L40" i="3"/>
  <c r="I37" i="3"/>
  <c r="M37" i="3" s="1"/>
  <c r="C40" i="3"/>
  <c r="K40" i="4"/>
  <c r="B17" i="4"/>
  <c r="B33" i="4" s="1"/>
  <c r="M67" i="2"/>
  <c r="G77" i="2"/>
  <c r="C32" i="2"/>
  <c r="M69" i="3"/>
  <c r="M16" i="4"/>
  <c r="Q16" i="4" s="1"/>
  <c r="S16" i="4" s="1"/>
  <c r="M47" i="6"/>
  <c r="I72" i="2"/>
  <c r="M72" i="2" s="1"/>
  <c r="K77" i="2"/>
  <c r="I66" i="2"/>
  <c r="M66" i="2" s="1"/>
  <c r="I23" i="3"/>
  <c r="M23" i="3" s="1"/>
  <c r="Z23" i="3" s="1"/>
  <c r="I23" i="4"/>
  <c r="M23" i="4" s="1"/>
  <c r="Z23" i="4" s="1"/>
  <c r="G76" i="6"/>
  <c r="K76" i="6"/>
  <c r="I73" i="2"/>
  <c r="M73" i="2" s="1"/>
  <c r="I23" i="2"/>
  <c r="M23" i="2" s="1"/>
  <c r="Z23" i="2" s="1"/>
  <c r="I46" i="3"/>
  <c r="M46" i="3" s="1"/>
  <c r="I24" i="3"/>
  <c r="M24" i="3" s="1"/>
  <c r="Z24" i="3" s="1"/>
  <c r="H32" i="3"/>
  <c r="I60" i="4"/>
  <c r="M60" i="4" s="1"/>
  <c r="C76" i="4"/>
  <c r="I49" i="4"/>
  <c r="M49" i="4" s="1"/>
  <c r="H76" i="6"/>
  <c r="C33" i="6"/>
  <c r="C52" i="6" s="1"/>
  <c r="C56" i="6" s="1"/>
  <c r="K76" i="4"/>
  <c r="L33" i="6"/>
  <c r="I28" i="2"/>
  <c r="M28" i="2" s="1"/>
  <c r="G32" i="2"/>
  <c r="H32" i="2"/>
  <c r="I65" i="6"/>
  <c r="M65" i="6" s="1"/>
  <c r="I15" i="6"/>
  <c r="M15" i="6" s="1"/>
  <c r="I37" i="2"/>
  <c r="M37" i="2" s="1"/>
  <c r="C40" i="2"/>
  <c r="F74" i="3"/>
  <c r="I43" i="3"/>
  <c r="M43" i="3" s="1"/>
  <c r="Z43" i="3" s="1"/>
  <c r="I27" i="3"/>
  <c r="M27" i="3" s="1"/>
  <c r="Z27" i="3" s="1"/>
  <c r="D32" i="3"/>
  <c r="I39" i="4"/>
  <c r="M39" i="4" s="1"/>
  <c r="Z39" i="4" s="1"/>
  <c r="I21" i="3"/>
  <c r="M21" i="3" s="1"/>
  <c r="Z21" i="3" s="1"/>
  <c r="I21" i="2"/>
  <c r="M21" i="2" s="1"/>
  <c r="Z21" i="2" s="1"/>
  <c r="B40" i="3"/>
  <c r="B40" i="2"/>
  <c r="I27" i="2"/>
  <c r="M27" i="2" s="1"/>
  <c r="Z27" i="2" s="1"/>
  <c r="I18" i="2"/>
  <c r="M18" i="2" s="1"/>
  <c r="Z18" i="2" s="1"/>
  <c r="M62" i="3"/>
  <c r="E74" i="3"/>
  <c r="I50" i="3"/>
  <c r="M50" i="3" s="1"/>
  <c r="I19" i="3"/>
  <c r="M19" i="3" s="1"/>
  <c r="Z19" i="3" s="1"/>
  <c r="C32" i="3"/>
  <c r="C52" i="3" s="1"/>
  <c r="C55" i="3" s="1"/>
  <c r="D76" i="4"/>
  <c r="D33" i="6"/>
  <c r="F40" i="4"/>
  <c r="I72" i="6"/>
  <c r="M72" i="6" s="1"/>
  <c r="F76" i="6"/>
  <c r="I46" i="6"/>
  <c r="M46" i="6" s="1"/>
  <c r="I39" i="6"/>
  <c r="M39" i="6" s="1"/>
  <c r="E40" i="6"/>
  <c r="I65" i="2"/>
  <c r="M65" i="2" s="1"/>
  <c r="F77" i="2"/>
  <c r="I56" i="2"/>
  <c r="M56" i="2" s="1"/>
  <c r="I53" i="2"/>
  <c r="M53" i="2" s="1"/>
  <c r="I50" i="2"/>
  <c r="M50" i="2" s="1"/>
  <c r="I43" i="2"/>
  <c r="M43" i="2" s="1"/>
  <c r="Z43" i="2" s="1"/>
  <c r="L40" i="2"/>
  <c r="M30" i="2"/>
  <c r="I29" i="2"/>
  <c r="M29" i="2" s="1"/>
  <c r="Z29" i="2" s="1"/>
  <c r="I22" i="2"/>
  <c r="M22" i="2" s="1"/>
  <c r="Z22" i="2" s="1"/>
  <c r="I68" i="3"/>
  <c r="M68" i="3" s="1"/>
  <c r="I67" i="3"/>
  <c r="M67" i="3" s="1"/>
  <c r="I61" i="3"/>
  <c r="M61" i="3" s="1"/>
  <c r="C74" i="3"/>
  <c r="D74" i="3"/>
  <c r="I54" i="3"/>
  <c r="M54" i="3" s="1"/>
  <c r="Z54" i="3" s="1"/>
  <c r="I51" i="3"/>
  <c r="M51" i="3" s="1"/>
  <c r="I49" i="3"/>
  <c r="M49" i="3" s="1"/>
  <c r="Z49" i="3" s="1"/>
  <c r="I35" i="3"/>
  <c r="I29" i="3"/>
  <c r="M29" i="3" s="1"/>
  <c r="Z29" i="3" s="1"/>
  <c r="L32" i="3"/>
  <c r="I18" i="3"/>
  <c r="M18" i="3" s="1"/>
  <c r="Z18" i="3" s="1"/>
  <c r="I15" i="3"/>
  <c r="M15" i="3" s="1"/>
  <c r="Z15" i="3" s="1"/>
  <c r="I66" i="4"/>
  <c r="M66" i="4" s="1"/>
  <c r="Q66" i="4" s="1"/>
  <c r="S66" i="4" s="1"/>
  <c r="I55" i="4"/>
  <c r="M55" i="4" s="1"/>
  <c r="Q55" i="4" s="1"/>
  <c r="S55" i="4" s="1"/>
  <c r="I48" i="4"/>
  <c r="M48" i="4" s="1"/>
  <c r="Q48" i="4" s="1"/>
  <c r="G33" i="4"/>
  <c r="H33" i="4"/>
  <c r="I71" i="6"/>
  <c r="M71" i="6" s="1"/>
  <c r="I55" i="6"/>
  <c r="M55" i="6" s="1"/>
  <c r="I45" i="6"/>
  <c r="M45" i="6" s="1"/>
  <c r="B40" i="6"/>
  <c r="M31" i="6"/>
  <c r="I30" i="6"/>
  <c r="M30" i="6" s="1"/>
  <c r="D77" i="2"/>
  <c r="E77" i="2"/>
  <c r="I51" i="2"/>
  <c r="M51" i="2" s="1"/>
  <c r="I49" i="2"/>
  <c r="M49" i="2" s="1"/>
  <c r="Z49" i="2" s="1"/>
  <c r="H40" i="2"/>
  <c r="I35" i="2"/>
  <c r="M35" i="2" s="1"/>
  <c r="I16" i="2"/>
  <c r="M16" i="2" s="1"/>
  <c r="I15" i="2"/>
  <c r="M15" i="2" s="1"/>
  <c r="Z15" i="2" s="1"/>
  <c r="L74" i="3"/>
  <c r="I60" i="3"/>
  <c r="M60" i="3" s="1"/>
  <c r="I59" i="3"/>
  <c r="M59" i="3" s="1"/>
  <c r="I48" i="3"/>
  <c r="M48" i="3" s="1"/>
  <c r="K40" i="3"/>
  <c r="I28" i="3"/>
  <c r="M28" i="3" s="1"/>
  <c r="I16" i="3"/>
  <c r="M16" i="3" s="1"/>
  <c r="I73" i="4"/>
  <c r="M73" i="4" s="1"/>
  <c r="Q73" i="4" s="1"/>
  <c r="I47" i="4"/>
  <c r="M47" i="4" s="1"/>
  <c r="Q47" i="4" s="1"/>
  <c r="I38" i="4"/>
  <c r="M38" i="4" s="1"/>
  <c r="Q38" i="4" s="1"/>
  <c r="S38" i="4" s="1"/>
  <c r="D40" i="4"/>
  <c r="C33" i="4"/>
  <c r="I70" i="6"/>
  <c r="M70" i="6" s="1"/>
  <c r="I44" i="6"/>
  <c r="M44" i="6" s="1"/>
  <c r="I43" i="6"/>
  <c r="M43" i="6" s="1"/>
  <c r="K40" i="6"/>
  <c r="I37" i="6"/>
  <c r="M37" i="6" s="1"/>
  <c r="I36" i="6"/>
  <c r="I29" i="6"/>
  <c r="M29" i="6" s="1"/>
  <c r="G33" i="6"/>
  <c r="H33" i="6"/>
  <c r="I76" i="2"/>
  <c r="M76" i="2" s="1"/>
  <c r="I70" i="2"/>
  <c r="M70" i="2" s="1"/>
  <c r="I48" i="2"/>
  <c r="M48" i="2" s="1"/>
  <c r="K40" i="2"/>
  <c r="H74" i="3"/>
  <c r="I47" i="3"/>
  <c r="M47" i="3" s="1"/>
  <c r="G40" i="3"/>
  <c r="K32" i="3"/>
  <c r="K52" i="3" s="1"/>
  <c r="K55" i="3" s="1"/>
  <c r="I46" i="4"/>
  <c r="M46" i="4" s="1"/>
  <c r="Q46" i="4" s="1"/>
  <c r="I37" i="4"/>
  <c r="I69" i="6"/>
  <c r="M69" i="6" s="1"/>
  <c r="E76" i="6"/>
  <c r="I49" i="6"/>
  <c r="M49" i="6" s="1"/>
  <c r="I22" i="6"/>
  <c r="M22" i="6" s="1"/>
  <c r="I68" i="2"/>
  <c r="M68" i="2" s="1"/>
  <c r="I64" i="2"/>
  <c r="M64" i="2" s="1"/>
  <c r="I63" i="2"/>
  <c r="M63" i="2" s="1"/>
  <c r="G40" i="2"/>
  <c r="F32" i="2"/>
  <c r="I20" i="2"/>
  <c r="M20" i="2" s="1"/>
  <c r="Z20" i="2" s="1"/>
  <c r="I73" i="3"/>
  <c r="M73" i="3" s="1"/>
  <c r="G74" i="3"/>
  <c r="K74" i="3"/>
  <c r="F32" i="3"/>
  <c r="I71" i="4"/>
  <c r="M71" i="4" s="1"/>
  <c r="Q71" i="4" s="1"/>
  <c r="I75" i="6"/>
  <c r="M75" i="6" s="1"/>
  <c r="I63" i="6"/>
  <c r="M63" i="6" s="1"/>
  <c r="I51" i="6"/>
  <c r="M51" i="6" s="1"/>
  <c r="F33" i="6"/>
  <c r="I69" i="2"/>
  <c r="M69" i="2" s="1"/>
  <c r="H77" i="2"/>
  <c r="L77" i="2"/>
  <c r="F40" i="2"/>
  <c r="I65" i="3"/>
  <c r="M65" i="3" s="1"/>
  <c r="E40" i="3"/>
  <c r="I26" i="3"/>
  <c r="M26" i="3" s="1"/>
  <c r="Z26" i="3" s="1"/>
  <c r="I63" i="4"/>
  <c r="M63" i="4" s="1"/>
  <c r="Q63" i="4" s="1"/>
  <c r="S63" i="4" s="1"/>
  <c r="D33" i="4"/>
  <c r="D52" i="4" s="1"/>
  <c r="D56" i="4" s="1"/>
  <c r="I67" i="6"/>
  <c r="M67" i="6" s="1"/>
  <c r="I66" i="6"/>
  <c r="M66" i="6" s="1"/>
  <c r="I62" i="6"/>
  <c r="M62" i="6" s="1"/>
  <c r="C76" i="6"/>
  <c r="H40" i="6"/>
  <c r="I20" i="6"/>
  <c r="M20" i="6" s="1"/>
  <c r="I71" i="2"/>
  <c r="M71" i="2" s="1"/>
  <c r="I39" i="2"/>
  <c r="M39" i="2" s="1"/>
  <c r="I26" i="2"/>
  <c r="M26" i="2" s="1"/>
  <c r="Z26" i="2" s="1"/>
  <c r="K32" i="2"/>
  <c r="I72" i="3"/>
  <c r="M72" i="3" s="1"/>
  <c r="B74" i="3"/>
  <c r="I22" i="3"/>
  <c r="M22" i="3" s="1"/>
  <c r="Z22" i="3" s="1"/>
  <c r="L40" i="4"/>
  <c r="I32" i="4"/>
  <c r="M32" i="4" s="1"/>
  <c r="Q32" i="4" s="1"/>
  <c r="F33" i="4"/>
  <c r="I68" i="6"/>
  <c r="M68" i="6" s="1"/>
  <c r="I50" i="6"/>
  <c r="M50" i="6" s="1"/>
  <c r="I28" i="6"/>
  <c r="M28" i="6" s="1"/>
  <c r="C77" i="2"/>
  <c r="I47" i="2"/>
  <c r="M47" i="2" s="1"/>
  <c r="I64" i="3"/>
  <c r="M64" i="3" s="1"/>
  <c r="I39" i="3"/>
  <c r="M39" i="3" s="1"/>
  <c r="F40" i="3"/>
  <c r="I62" i="4"/>
  <c r="M62" i="4" s="1"/>
  <c r="Q62" i="4" s="1"/>
  <c r="S62" i="4" s="1"/>
  <c r="F76" i="4"/>
  <c r="I36" i="4"/>
  <c r="M36" i="4" s="1"/>
  <c r="I74" i="6"/>
  <c r="M74" i="6" s="1"/>
  <c r="D76" i="6"/>
  <c r="I27" i="6"/>
  <c r="M27" i="6" s="1"/>
  <c r="I21" i="6"/>
  <c r="M21" i="6" s="1"/>
  <c r="E33" i="6"/>
  <c r="I75" i="2"/>
  <c r="M75" i="2" s="1"/>
  <c r="D40" i="2"/>
  <c r="E40" i="2"/>
  <c r="I24" i="2"/>
  <c r="M24" i="2" s="1"/>
  <c r="Z24" i="2" s="1"/>
  <c r="E32" i="2"/>
  <c r="I71" i="3"/>
  <c r="M71" i="3" s="1"/>
  <c r="I45" i="3"/>
  <c r="M45" i="3" s="1"/>
  <c r="I36" i="3"/>
  <c r="M36" i="3" s="1"/>
  <c r="I31" i="3"/>
  <c r="M31" i="3" s="1"/>
  <c r="Z31" i="3" s="1"/>
  <c r="I20" i="3"/>
  <c r="M20" i="3" s="1"/>
  <c r="Z20" i="3" s="1"/>
  <c r="E32" i="3"/>
  <c r="L76" i="4"/>
  <c r="I69" i="4"/>
  <c r="M69" i="4" s="1"/>
  <c r="Q69" i="4" s="1"/>
  <c r="B40" i="4"/>
  <c r="H40" i="4"/>
  <c r="H52" i="4" s="1"/>
  <c r="H56" i="4" s="1"/>
  <c r="L76" i="6"/>
  <c r="B76" i="6"/>
  <c r="I60" i="6"/>
  <c r="M60" i="6" s="1"/>
  <c r="G40" i="6"/>
  <c r="K33" i="6"/>
  <c r="I19" i="6"/>
  <c r="M19" i="6" s="1"/>
  <c r="I18" i="6"/>
  <c r="M18" i="6" s="1"/>
  <c r="M36" i="6"/>
  <c r="I17" i="6"/>
  <c r="I61" i="6"/>
  <c r="M61" i="6" s="1"/>
  <c r="I38" i="6"/>
  <c r="M38" i="6" s="1"/>
  <c r="M36" i="5"/>
  <c r="M40" i="5" s="1"/>
  <c r="I40" i="5"/>
  <c r="G70" i="5"/>
  <c r="M33" i="5"/>
  <c r="H6" i="1" s="1"/>
  <c r="Z19" i="5"/>
  <c r="M60" i="5"/>
  <c r="F33" i="5"/>
  <c r="F52" i="5" s="1"/>
  <c r="F56" i="5" s="1"/>
  <c r="F78" i="5" s="1"/>
  <c r="K33" i="5"/>
  <c r="K52" i="5" s="1"/>
  <c r="K56" i="5" s="1"/>
  <c r="I65" i="4"/>
  <c r="M65" i="4" s="1"/>
  <c r="Q65" i="4" s="1"/>
  <c r="S65" i="4" s="1"/>
  <c r="M37" i="4"/>
  <c r="Q37" i="4" s="1"/>
  <c r="S37" i="4" s="1"/>
  <c r="I18" i="4"/>
  <c r="M18" i="4" s="1"/>
  <c r="I72" i="4"/>
  <c r="M72" i="4" s="1"/>
  <c r="Q72" i="4" s="1"/>
  <c r="I45" i="4"/>
  <c r="M45" i="4" s="1"/>
  <c r="Q45" i="4" s="1"/>
  <c r="I27" i="4"/>
  <c r="M27" i="4" s="1"/>
  <c r="I22" i="4"/>
  <c r="M22" i="4" s="1"/>
  <c r="E33" i="4"/>
  <c r="I70" i="4"/>
  <c r="M70" i="4" s="1"/>
  <c r="Q70" i="4" s="1"/>
  <c r="S70" i="4" s="1"/>
  <c r="I51" i="4"/>
  <c r="M51" i="4" s="1"/>
  <c r="Q51" i="4" s="1"/>
  <c r="I44" i="4"/>
  <c r="M44" i="4" s="1"/>
  <c r="I21" i="4"/>
  <c r="M21" i="4" s="1"/>
  <c r="R147" i="4"/>
  <c r="R157" i="4" s="1"/>
  <c r="R160" i="4" s="1"/>
  <c r="R165" i="4" s="1"/>
  <c r="R172" i="4" s="1"/>
  <c r="G76" i="4"/>
  <c r="I54" i="4"/>
  <c r="M54" i="4" s="1"/>
  <c r="Q54" i="4" s="1"/>
  <c r="I43" i="4"/>
  <c r="M43" i="4" s="1"/>
  <c r="I25" i="4"/>
  <c r="M25" i="4" s="1"/>
  <c r="L33" i="4"/>
  <c r="E76" i="4"/>
  <c r="I20" i="4"/>
  <c r="M20" i="4" s="1"/>
  <c r="H76" i="4"/>
  <c r="I28" i="4"/>
  <c r="M28" i="4" s="1"/>
  <c r="I24" i="4"/>
  <c r="M24" i="4" s="1"/>
  <c r="I15" i="4"/>
  <c r="M15" i="4" s="1"/>
  <c r="I67" i="4"/>
  <c r="M67" i="4" s="1"/>
  <c r="Q67" i="4" s="1"/>
  <c r="S67" i="4" s="1"/>
  <c r="I30" i="4"/>
  <c r="M30" i="4" s="1"/>
  <c r="I74" i="4"/>
  <c r="M74" i="4" s="1"/>
  <c r="Q74" i="4" s="1"/>
  <c r="S74" i="4" s="1"/>
  <c r="B76" i="4"/>
  <c r="I61" i="4"/>
  <c r="M61" i="4" s="1"/>
  <c r="Q61" i="4" s="1"/>
  <c r="S61" i="4" s="1"/>
  <c r="D40" i="3"/>
  <c r="B17" i="3"/>
  <c r="I62" i="2"/>
  <c r="I36" i="2"/>
  <c r="M36" i="2" s="1"/>
  <c r="B17" i="2"/>
  <c r="D32" i="2"/>
  <c r="Z55" i="4" l="1"/>
  <c r="G52" i="4"/>
  <c r="G56" i="4" s="1"/>
  <c r="H23" i="1"/>
  <c r="H19" i="1"/>
  <c r="C106" i="19" s="1"/>
  <c r="H15" i="1"/>
  <c r="H11" i="1"/>
  <c r="H52" i="2"/>
  <c r="H55" i="2" s="1"/>
  <c r="H58" i="2" s="1"/>
  <c r="H79" i="2" s="1"/>
  <c r="F52" i="6"/>
  <c r="F56" i="6" s="1"/>
  <c r="F78" i="6" s="1"/>
  <c r="L52" i="6"/>
  <c r="L56" i="6" s="1"/>
  <c r="H52" i="3"/>
  <c r="H55" i="3" s="1"/>
  <c r="K76" i="3"/>
  <c r="K52" i="4"/>
  <c r="K56" i="4" s="1"/>
  <c r="D52" i="6"/>
  <c r="D56" i="6" s="1"/>
  <c r="D78" i="6" s="1"/>
  <c r="I17" i="4"/>
  <c r="I33" i="4" s="1"/>
  <c r="E52" i="2"/>
  <c r="E55" i="2" s="1"/>
  <c r="E58" i="2" s="1"/>
  <c r="E79" i="2" s="1"/>
  <c r="C52" i="4"/>
  <c r="C56" i="4" s="1"/>
  <c r="C78" i="4" s="1"/>
  <c r="Z32" i="4"/>
  <c r="L52" i="3"/>
  <c r="L55" i="3" s="1"/>
  <c r="L76" i="3" s="1"/>
  <c r="Q39" i="4"/>
  <c r="S39" i="4" s="1"/>
  <c r="D52" i="3"/>
  <c r="D55" i="3" s="1"/>
  <c r="D76" i="3" s="1"/>
  <c r="E52" i="4"/>
  <c r="E56" i="4" s="1"/>
  <c r="F52" i="3"/>
  <c r="F55" i="3" s="1"/>
  <c r="F76" i="3" s="1"/>
  <c r="Z40" i="5"/>
  <c r="H26" i="1"/>
  <c r="K52" i="2"/>
  <c r="K55" i="2" s="1"/>
  <c r="K58" i="2" s="1"/>
  <c r="K79" i="2" s="1"/>
  <c r="I40" i="3"/>
  <c r="C76" i="3"/>
  <c r="F52" i="4"/>
  <c r="F56" i="4" s="1"/>
  <c r="F78" i="4" s="1"/>
  <c r="I33" i="5"/>
  <c r="I52" i="5" s="1"/>
  <c r="I56" i="5" s="1"/>
  <c r="I83" i="5" s="1"/>
  <c r="K83" i="5" s="1"/>
  <c r="K90" i="5" s="1"/>
  <c r="I74" i="3"/>
  <c r="N74" i="3" s="1"/>
  <c r="K78" i="4"/>
  <c r="C78" i="6"/>
  <c r="H76" i="3"/>
  <c r="C52" i="2"/>
  <c r="C55" i="2" s="1"/>
  <c r="C58" i="2" s="1"/>
  <c r="C79" i="2" s="1"/>
  <c r="E52" i="3"/>
  <c r="E55" i="3" s="1"/>
  <c r="E76" i="3" s="1"/>
  <c r="G52" i="3"/>
  <c r="G55" i="3" s="1"/>
  <c r="G76" i="3" s="1"/>
  <c r="G52" i="6"/>
  <c r="G56" i="6" s="1"/>
  <c r="G78" i="6" s="1"/>
  <c r="L52" i="4"/>
  <c r="L56" i="4" s="1"/>
  <c r="L78" i="4" s="1"/>
  <c r="H52" i="6"/>
  <c r="H56" i="6" s="1"/>
  <c r="H78" i="6" s="1"/>
  <c r="Z19" i="4"/>
  <c r="I40" i="6"/>
  <c r="L52" i="2"/>
  <c r="L55" i="2" s="1"/>
  <c r="L58" i="2" s="1"/>
  <c r="L79" i="2" s="1"/>
  <c r="Q23" i="4"/>
  <c r="S23" i="4" s="1"/>
  <c r="Q49" i="4"/>
  <c r="Z49" i="4"/>
  <c r="B52" i="4"/>
  <c r="B56" i="4" s="1"/>
  <c r="B78" i="4" s="1"/>
  <c r="F52" i="2"/>
  <c r="F55" i="2" s="1"/>
  <c r="F58" i="2" s="1"/>
  <c r="F79" i="2" s="1"/>
  <c r="K52" i="6"/>
  <c r="K56" i="6" s="1"/>
  <c r="K78" i="6" s="1"/>
  <c r="G52" i="2"/>
  <c r="G55" i="2" s="1"/>
  <c r="G58" i="2" s="1"/>
  <c r="G79" i="2" s="1"/>
  <c r="L78" i="6"/>
  <c r="M74" i="3"/>
  <c r="I40" i="4"/>
  <c r="D52" i="2"/>
  <c r="D55" i="2" s="1"/>
  <c r="D58" i="2" s="1"/>
  <c r="D79" i="2" s="1"/>
  <c r="M35" i="3"/>
  <c r="M40" i="3" s="1"/>
  <c r="E52" i="6"/>
  <c r="E56" i="6" s="1"/>
  <c r="E78" i="6" s="1"/>
  <c r="D78" i="4"/>
  <c r="B52" i="6"/>
  <c r="B56" i="6" s="1"/>
  <c r="B78" i="6" s="1"/>
  <c r="M40" i="6"/>
  <c r="J26" i="1" s="1"/>
  <c r="J31" i="1" s="1"/>
  <c r="M17" i="6"/>
  <c r="M33" i="6" s="1"/>
  <c r="I33" i="6"/>
  <c r="M76" i="6"/>
  <c r="I76" i="6"/>
  <c r="K62" i="5"/>
  <c r="I70" i="5"/>
  <c r="G76" i="5"/>
  <c r="G78" i="5" s="1"/>
  <c r="M52" i="5"/>
  <c r="Z33" i="5"/>
  <c r="Q15" i="4"/>
  <c r="S15" i="4" s="1"/>
  <c r="Z15" i="4"/>
  <c r="Z20" i="4"/>
  <c r="Q20" i="4"/>
  <c r="S20" i="4" s="1"/>
  <c r="Z24" i="4"/>
  <c r="Q24" i="4"/>
  <c r="S24" i="4" s="1"/>
  <c r="Z28" i="4"/>
  <c r="Q28" i="4"/>
  <c r="S28" i="4" s="1"/>
  <c r="Z21" i="4"/>
  <c r="Q21" i="4"/>
  <c r="S21" i="4" s="1"/>
  <c r="Z27" i="4"/>
  <c r="Q27" i="4"/>
  <c r="S27" i="4" s="1"/>
  <c r="Q30" i="4"/>
  <c r="S30" i="4" s="1"/>
  <c r="Z30" i="4"/>
  <c r="Z44" i="4"/>
  <c r="Q44" i="4"/>
  <c r="Q22" i="4"/>
  <c r="S22" i="4" s="1"/>
  <c r="Z22" i="4"/>
  <c r="Q18" i="4"/>
  <c r="S18" i="4" s="1"/>
  <c r="Z18" i="4"/>
  <c r="I76" i="4"/>
  <c r="N76" i="4" s="1"/>
  <c r="G78" i="4"/>
  <c r="Z25" i="4"/>
  <c r="Q25" i="4"/>
  <c r="S25" i="4" s="1"/>
  <c r="Q60" i="4"/>
  <c r="S60" i="4" s="1"/>
  <c r="M76" i="4"/>
  <c r="Q76" i="4" s="1"/>
  <c r="S76" i="4" s="1"/>
  <c r="H78" i="4"/>
  <c r="Q43" i="4"/>
  <c r="Z43" i="4"/>
  <c r="E78" i="4"/>
  <c r="Q36" i="4"/>
  <c r="S36" i="4" s="1"/>
  <c r="M40" i="4"/>
  <c r="F26" i="1" s="1"/>
  <c r="F31" i="1" s="1"/>
  <c r="I17" i="3"/>
  <c r="B32" i="3"/>
  <c r="B52" i="3" s="1"/>
  <c r="B55" i="3" s="1"/>
  <c r="B76" i="3" s="1"/>
  <c r="I17" i="2"/>
  <c r="B32" i="2"/>
  <c r="B52" i="2" s="1"/>
  <c r="B55" i="2" s="1"/>
  <c r="B58" i="2" s="1"/>
  <c r="B79" i="2" s="1"/>
  <c r="I77" i="2"/>
  <c r="N77" i="2" s="1"/>
  <c r="M62" i="2"/>
  <c r="M77" i="2" s="1"/>
  <c r="I40" i="2"/>
  <c r="M40" i="2"/>
  <c r="I52" i="6" l="1"/>
  <c r="I56" i="6" s="1"/>
  <c r="M17" i="4"/>
  <c r="I52" i="4"/>
  <c r="I56" i="4" s="1"/>
  <c r="J27" i="1"/>
  <c r="K27" i="1"/>
  <c r="Z40" i="2"/>
  <c r="C26" i="1"/>
  <c r="H27" i="1"/>
  <c r="Z40" i="3"/>
  <c r="D26" i="1"/>
  <c r="D31" i="1" s="1"/>
  <c r="M52" i="6"/>
  <c r="M56" i="6" s="1"/>
  <c r="M78" i="6" s="1"/>
  <c r="J6" i="1"/>
  <c r="I78" i="6"/>
  <c r="K76" i="5"/>
  <c r="K78" i="5" s="1"/>
  <c r="M62" i="5"/>
  <c r="M76" i="5" s="1"/>
  <c r="M56" i="5"/>
  <c r="N56" i="5"/>
  <c r="M70" i="5"/>
  <c r="I76" i="5"/>
  <c r="Q40" i="4"/>
  <c r="S40" i="4" s="1"/>
  <c r="Z40" i="4"/>
  <c r="Q17" i="4"/>
  <c r="S17" i="4" s="1"/>
  <c r="M33" i="4"/>
  <c r="F6" i="1" s="1"/>
  <c r="I78" i="4"/>
  <c r="M17" i="3"/>
  <c r="M32" i="3" s="1"/>
  <c r="D6" i="1" s="1"/>
  <c r="I32" i="3"/>
  <c r="I52" i="3" s="1"/>
  <c r="I55" i="3" s="1"/>
  <c r="I76" i="3" s="1"/>
  <c r="M17" i="2"/>
  <c r="M32" i="2" s="1"/>
  <c r="C6" i="1" s="1"/>
  <c r="I32" i="2"/>
  <c r="I52" i="2" s="1"/>
  <c r="I55" i="2" s="1"/>
  <c r="I58" i="2" s="1"/>
  <c r="I79" i="2" s="1"/>
  <c r="Q28" i="1" l="1"/>
  <c r="D35" i="1" s="1"/>
  <c r="C31" i="1"/>
  <c r="Q32" i="1" s="1"/>
  <c r="J23" i="1"/>
  <c r="J11" i="1"/>
  <c r="J19" i="1"/>
  <c r="C107" i="19" s="1"/>
  <c r="J15" i="1"/>
  <c r="C19" i="1"/>
  <c r="C11" i="1"/>
  <c r="Q12" i="1" s="1"/>
  <c r="C15" i="1"/>
  <c r="Q16" i="1" s="1"/>
  <c r="C23" i="1"/>
  <c r="Q24" i="1" s="1"/>
  <c r="F34" i="1" s="1"/>
  <c r="F23" i="1"/>
  <c r="F19" i="1"/>
  <c r="C105" i="19" s="1"/>
  <c r="F15" i="1"/>
  <c r="F11" i="1"/>
  <c r="D11" i="1"/>
  <c r="D23" i="1"/>
  <c r="D19" i="1"/>
  <c r="D15" i="1"/>
  <c r="Q20" i="1"/>
  <c r="C104" i="19"/>
  <c r="Q8" i="1"/>
  <c r="D34" i="1" s="1"/>
  <c r="D27" i="1"/>
  <c r="D7" i="1"/>
  <c r="F7" i="1"/>
  <c r="H7" i="1"/>
  <c r="F27" i="1"/>
  <c r="J7" i="1"/>
  <c r="K7" i="1"/>
  <c r="Z56" i="5"/>
  <c r="M78" i="5"/>
  <c r="N83" i="5"/>
  <c r="O83" i="5" s="1"/>
  <c r="O90" i="5" s="1"/>
  <c r="Q90" i="5" s="1"/>
  <c r="N76" i="5"/>
  <c r="I78" i="5"/>
  <c r="Q33" i="4"/>
  <c r="S33" i="4" s="1"/>
  <c r="Z33" i="4"/>
  <c r="M52" i="4"/>
  <c r="Z32" i="3"/>
  <c r="M52" i="3"/>
  <c r="M52" i="2"/>
  <c r="Z32" i="2"/>
  <c r="Q52" i="4" l="1"/>
  <c r="S52" i="4" s="1"/>
  <c r="M56" i="4"/>
  <c r="N56" i="4"/>
  <c r="N55" i="3"/>
  <c r="M55" i="3"/>
  <c r="M55" i="2"/>
  <c r="Z52" i="2"/>
  <c r="C103" i="19" l="1"/>
  <c r="C114" i="19"/>
  <c r="S19" i="1" s="1"/>
  <c r="Q56" i="4"/>
  <c r="S56" i="4" s="1"/>
  <c r="M78" i="4"/>
  <c r="Z56" i="4"/>
  <c r="Z55" i="3"/>
  <c r="M76" i="3"/>
  <c r="M58" i="2"/>
  <c r="N58" i="2"/>
  <c r="C115" i="19" l="1"/>
  <c r="T19" i="1" s="1"/>
  <c r="M79" i="2"/>
  <c r="Z58" i="2"/>
  <c r="C116" i="19" l="1"/>
  <c r="U19" i="1" s="1"/>
  <c r="C117" i="19" l="1"/>
  <c r="V19" i="1" s="1"/>
  <c r="C118" i="19" l="1"/>
  <c r="C119" i="19" s="1"/>
  <c r="C120" i="19" s="1"/>
  <c r="C121" i="19" l="1"/>
  <c r="S11" i="1"/>
  <c r="C122" i="19" l="1"/>
  <c r="T11" i="1"/>
  <c r="C123" i="19" l="1"/>
  <c r="V11" i="1" s="1"/>
  <c r="U11" i="1"/>
</calcChain>
</file>

<file path=xl/comments1.xml><?xml version="1.0" encoding="utf-8"?>
<comments xmlns="http://schemas.openxmlformats.org/spreadsheetml/2006/main">
  <authors>
    <author>Author</author>
  </authors>
  <commentList>
    <comment ref="H19" authorId="0" shapeId="0">
      <text>
        <r>
          <rPr>
            <sz val="8"/>
            <color indexed="81"/>
            <rFont val="Tahoma"/>
            <family val="2"/>
          </rPr>
          <t xml:space="preserve">Student Loans - Investment and Other:
     $176,175 -  Total Revenues (SUDL &amp; SFMR)
($1,728,474) - Total Expenses (SUDL &amp; SFMR)
   </t>
        </r>
        <r>
          <rPr>
            <u/>
            <sz val="8"/>
            <color indexed="81"/>
            <rFont val="Tahoma"/>
            <family val="2"/>
          </rPr>
          <t>($695,529)</t>
        </r>
        <r>
          <rPr>
            <sz val="8"/>
            <color indexed="81"/>
            <rFont val="Tahoma"/>
            <family val="2"/>
          </rPr>
          <t xml:space="preserve"> -  Reserve for Doubtful Accts (SUDL &amp; SFMR)
($2,247,828)</t>
        </r>
      </text>
    </comment>
    <comment ref="D21" authorId="0" shapeId="0">
      <text>
        <r>
          <rPr>
            <sz val="9"/>
            <color indexed="81"/>
            <rFont val="Tahoma"/>
            <family val="2"/>
          </rPr>
          <t>Sponsored Research &amp; Departmental - Government contracts &amp; grants:
Remove CIRM Grant (69-5719-1000/90415) $464,934.19 and from SPA (54-5178-2000/15594)</t>
        </r>
      </text>
    </comment>
    <comment ref="D36" authorId="0" shapeId="0">
      <text>
        <r>
          <rPr>
            <sz val="9"/>
            <color indexed="81"/>
            <rFont val="Tahoma"/>
            <family val="2"/>
          </rPr>
          <t>Sponsored Research &amp; Departmental - Expenses:
Remove CIRM Grant (69-5719-1000/90415) $464,934.19 and from SPA (54-5178-2000/15594)</t>
        </r>
      </text>
    </comment>
    <comment ref="D43" authorId="0" shapeId="0">
      <text>
        <r>
          <rPr>
            <sz val="8"/>
            <color indexed="81"/>
            <rFont val="Tahoma"/>
            <family val="2"/>
          </rPr>
          <t>Sponsored Research &amp; Departmental - Mandatory transfers for external debt service:
Beginning in FY 04 we changed the way we charge debt service payments from departments.  The credit was going to a reserve account in PDB, since FY 04 all credits go into a 92 account.  This reclass is to show how it should flow through the statment of activites.  See object codes 90508 &amp; 90509.</t>
        </r>
      </text>
    </comment>
    <comment ref="E43" authorId="0" shapeId="0">
      <text>
        <r>
          <rPr>
            <sz val="8"/>
            <color indexed="81"/>
            <rFont val="Tahoma"/>
            <family val="2"/>
          </rPr>
          <t>Unexpended plant and debt service - Property, plant and equipment acquisitions:
Beginning in FY 04 we changed the way we charge debt service payments from departments.  The credit was going to a reserve account in PDB, since FY 04 all credits go into a 92 account.  This reclass is to show how it should flow through the statment of activites. (See Property, plant and equipment acquistions cell below.)  See object codes 90508 &amp; 90509.</t>
        </r>
      </text>
    </comment>
    <comment ref="D49" authorId="0" shapeId="0">
      <text>
        <r>
          <rPr>
            <sz val="9"/>
            <color indexed="81"/>
            <rFont val="Tahoma"/>
            <family val="2"/>
          </rPr>
          <t>Sponsored Research &amp; Departmental - MNT:
Remove CIRM Grant (69-5719-1000/90415) $464,934.19 and from SPA (54-5178-2000/15594)</t>
        </r>
      </text>
    </comment>
    <comment ref="E49" authorId="0" shapeId="0">
      <text>
        <r>
          <rPr>
            <sz val="9"/>
            <color indexed="81"/>
            <rFont val="Tahoma"/>
            <family val="2"/>
          </rPr>
          <t>Unexpended Plant - NMT:
Remove CIRM Grant (69-5719-1000/90415) $464,934.19 and from SPA (54-5178-2000/15594)</t>
        </r>
      </text>
    </comment>
    <comment ref="D51" authorId="0" shapeId="0">
      <text>
        <r>
          <rPr>
            <sz val="8"/>
            <color indexed="81"/>
            <rFont val="Tahoma"/>
            <family val="2"/>
          </rPr>
          <t xml:space="preserve">Sponsored Research &amp; Departmental - Property, plant and equipment acquisitions:
Beginning in FY 04 we changed the way we charge debt service payments from departments.  The credit was going to a reserve account in PDB, since FY 04 all credits go into a 92 account.  This reclass is to show how it should flow through the statment of activites. (See mandatory transfers for external debt service cell above.)  Object codes 90508 &amp; 90509.
</t>
        </r>
      </text>
    </comment>
    <comment ref="E51" authorId="0" shapeId="0">
      <text>
        <r>
          <rPr>
            <sz val="8"/>
            <color indexed="81"/>
            <rFont val="Tahoma"/>
            <family val="2"/>
          </rPr>
          <t>Unexpended plant and debt service- Property, plant and equipment acquisitions:
Beginning in FY 04 we changed the way we charge debt service payments from departments.  The credit was going to a reserve account in PDB, since FY 04 all credits go into a 92 account.  This reclass is to show how it should flow through the statment of activites. (See mandatory transfers for external debt service cell above.)  See object codes 90508 &amp; 90509.</t>
        </r>
      </text>
    </comment>
    <comment ref="E61" authorId="0" shapeId="0">
      <text>
        <r>
          <rPr>
            <sz val="9"/>
            <color indexed="81"/>
            <rFont val="Tahoma"/>
            <family val="2"/>
          </rPr>
          <t>Unexpended Plant - Natures - Gift &amp; Departmental:
Remove CIRM Grant (69-5719-1000/90415) $26,016,500 and from SPA (54-5178-2000/15594)</t>
        </r>
      </text>
    </comment>
    <comment ref="L62" authorId="0" shapeId="0">
      <text>
        <r>
          <rPr>
            <sz val="8"/>
            <color indexed="81"/>
            <rFont val="Tahoma"/>
            <family val="2"/>
          </rPr>
          <t>From SL_CHGS_FY201015series_.xls</t>
        </r>
      </text>
    </comment>
    <comment ref="K63" authorId="0" shapeId="0">
      <text>
        <r>
          <rPr>
            <sz val="8"/>
            <color indexed="81"/>
            <rFont val="Tahoma"/>
            <family val="2"/>
          </rPr>
          <t>From Pledge Receivable (PLDG_ENT.XLS)</t>
        </r>
      </text>
    </comment>
    <comment ref="L63" authorId="0" shapeId="0">
      <text>
        <r>
          <rPr>
            <sz val="8"/>
            <color indexed="81"/>
            <rFont val="Tahoma"/>
            <family val="2"/>
          </rPr>
          <t xml:space="preserve">From Pledge Receivable (PLDG_ENT.XLS) </t>
        </r>
      </text>
    </comment>
    <comment ref="K67" authorId="0" shapeId="0">
      <text>
        <r>
          <rPr>
            <sz val="8"/>
            <color indexed="81"/>
            <rFont val="Tahoma"/>
            <family val="2"/>
          </rPr>
          <t>From ALT10.XLS - Temporary Column.</t>
        </r>
      </text>
    </comment>
    <comment ref="L67" authorId="0" shapeId="0">
      <text>
        <r>
          <rPr>
            <sz val="8"/>
            <color indexed="81"/>
            <rFont val="Tahoma"/>
            <family val="2"/>
          </rPr>
          <t>From ALT10.XLS - Permanent Column.</t>
        </r>
      </text>
    </comment>
    <comment ref="K68" authorId="0" shapeId="0">
      <text>
        <r>
          <rPr>
            <sz val="8"/>
            <color indexed="81"/>
            <rFont val="Tahoma"/>
            <family val="2"/>
          </rPr>
          <t>From PWC231.xls Temporarily Column.</t>
        </r>
      </text>
    </comment>
    <comment ref="L68" authorId="0" shapeId="0">
      <text>
        <r>
          <rPr>
            <sz val="8"/>
            <color indexed="81"/>
            <rFont val="Tahoma"/>
            <family val="2"/>
          </rPr>
          <t>From PWC231.xls Permanent Column LESS Permanent Pledges.</t>
        </r>
      </text>
    </comment>
  </commentList>
</comments>
</file>

<file path=xl/sharedStrings.xml><?xml version="1.0" encoding="utf-8"?>
<sst xmlns="http://schemas.openxmlformats.org/spreadsheetml/2006/main" count="1273" uniqueCount="235">
  <si>
    <t>variance</t>
  </si>
  <si>
    <t>Tha accompanying notes are an integral part of this statement.</t>
  </si>
  <si>
    <t>Invested in plant</t>
  </si>
  <si>
    <t>Debt service funds</t>
  </si>
  <si>
    <t xml:space="preserve">   Unrealized gains</t>
  </si>
  <si>
    <t xml:space="preserve">   Realized gains</t>
  </si>
  <si>
    <t xml:space="preserve">   Reinvested income</t>
  </si>
  <si>
    <t xml:space="preserve">   Principal</t>
  </si>
  <si>
    <t>Funds functioning as endowment:</t>
  </si>
  <si>
    <t>True endowment</t>
  </si>
  <si>
    <t>Annuity and living trusts</t>
  </si>
  <si>
    <t>Unexpended endowment income</t>
  </si>
  <si>
    <t>Kenneth Norris Jr. Cancer Hospital</t>
  </si>
  <si>
    <t>Pledges</t>
  </si>
  <si>
    <t>Externally restricted</t>
  </si>
  <si>
    <t xml:space="preserve">Gift and departmental </t>
  </si>
  <si>
    <t>Internally designated</t>
  </si>
  <si>
    <t>Natures of specific net assets:</t>
  </si>
  <si>
    <t>Ending Net Assets</t>
  </si>
  <si>
    <t>Beginning Net Assets</t>
  </si>
  <si>
    <t xml:space="preserve">Transfer operating surplus to departmental net assets </t>
  </si>
  <si>
    <t>Increase (decrease) in Net Assets</t>
  </si>
  <si>
    <t>Affiliation with HRA</t>
  </si>
  <si>
    <t>Cumulative effect of change in accounting principle, [see Note 16]</t>
  </si>
  <si>
    <t>Increase (decrease) in net assets before cummulative effect</t>
  </si>
  <si>
    <t>Property, plant and equipment acquisitions</t>
  </si>
  <si>
    <t>Sale of plant assets</t>
  </si>
  <si>
    <t>Other miscellaneous nonmandatory transfers</t>
  </si>
  <si>
    <t>Designated support for student aid</t>
  </si>
  <si>
    <t>Accumulated gains used for spending rule</t>
  </si>
  <si>
    <t>Internal loan repayments</t>
  </si>
  <si>
    <t xml:space="preserve">Unrestricted gifts to long-term investment </t>
  </si>
  <si>
    <t>Student loan matching requirement</t>
  </si>
  <si>
    <t>Mandatory transfers for external debt service</t>
  </si>
  <si>
    <t>Transfers within Unrestricted Net Assets:</t>
  </si>
  <si>
    <t>Total Expenses</t>
  </si>
  <si>
    <t>Loss on refunding</t>
  </si>
  <si>
    <t>Interest on indebtedness</t>
  </si>
  <si>
    <t xml:space="preserve">Depreciation </t>
  </si>
  <si>
    <t>Patient care services</t>
  </si>
  <si>
    <t>Educational and general activities</t>
  </si>
  <si>
    <t>Expenses:</t>
  </si>
  <si>
    <t>Total Reveunes</t>
  </si>
  <si>
    <t>Net assets released from restrictions</t>
  </si>
  <si>
    <t>Present value adjustment to trust liability</t>
  </si>
  <si>
    <t>Other</t>
  </si>
  <si>
    <t>Loss on sale/disposal of plant assets</t>
  </si>
  <si>
    <t>Clinical practices</t>
  </si>
  <si>
    <t>Professional Services Agreement</t>
  </si>
  <si>
    <t>Auxiliary enterprises</t>
  </si>
  <si>
    <t>Sales and service</t>
  </si>
  <si>
    <t>Gifts and pledges</t>
  </si>
  <si>
    <t>Recovery of indirect costs</t>
  </si>
  <si>
    <t>Government contracts and grants</t>
  </si>
  <si>
    <t>Net appreciation (loss) on investments</t>
  </si>
  <si>
    <t>Investment and other income</t>
  </si>
  <si>
    <t>Endowment income</t>
  </si>
  <si>
    <t>Net student tuition and fees</t>
  </si>
  <si>
    <t xml:space="preserve">  Less financial aid</t>
  </si>
  <si>
    <t>Student tuition and fees</t>
  </si>
  <si>
    <t>Revenues:</t>
  </si>
  <si>
    <t>TOTAL</t>
  </si>
  <si>
    <t>Net Assets</t>
  </si>
  <si>
    <t>Loan</t>
  </si>
  <si>
    <t>Investment</t>
  </si>
  <si>
    <t>Plant</t>
  </si>
  <si>
    <t>Debt Service</t>
  </si>
  <si>
    <t>Departmental</t>
  </si>
  <si>
    <t>Services</t>
  </si>
  <si>
    <t>and General</t>
  </si>
  <si>
    <t>PROOF</t>
  </si>
  <si>
    <t>Total</t>
  </si>
  <si>
    <t>Restricted</t>
  </si>
  <si>
    <t>Unrestricted</t>
  </si>
  <si>
    <t>Student</t>
  </si>
  <si>
    <t>Long Term</t>
  </si>
  <si>
    <t>Invested in</t>
  </si>
  <si>
    <t>and</t>
  </si>
  <si>
    <t>Health Care</t>
  </si>
  <si>
    <t>Education</t>
  </si>
  <si>
    <t>PERM. REST.</t>
  </si>
  <si>
    <t>Permanently</t>
  </si>
  <si>
    <t>Temporarily</t>
  </si>
  <si>
    <t>Unexpended  Plant</t>
  </si>
  <si>
    <t>Research</t>
  </si>
  <si>
    <t>Sponsored</t>
  </si>
  <si>
    <t xml:space="preserve"> June 30, 2007</t>
  </si>
  <si>
    <t>Year Ended</t>
  </si>
  <si>
    <t xml:space="preserve"> June 30, 2008</t>
  </si>
  <si>
    <t xml:space="preserve"> </t>
  </si>
  <si>
    <t>University Hospitals</t>
  </si>
  <si>
    <t>Cumulative effect of change in accounting principal</t>
  </si>
  <si>
    <t>Net patient service</t>
  </si>
  <si>
    <t>Variance</t>
  </si>
  <si>
    <t>Percentage</t>
  </si>
  <si>
    <t>Dollar</t>
  </si>
  <si>
    <t>2008 Total</t>
  </si>
  <si>
    <t xml:space="preserve"> June 30, 2009</t>
  </si>
  <si>
    <t>Hospitals</t>
  </si>
  <si>
    <t>IRI</t>
  </si>
  <si>
    <t>HRA</t>
  </si>
  <si>
    <t>USC CARE</t>
  </si>
  <si>
    <t>REDC-on PIB Schedule</t>
  </si>
  <si>
    <t>Norris</t>
  </si>
  <si>
    <t>changes</t>
  </si>
  <si>
    <t>bal sheet</t>
  </si>
  <si>
    <t>Total Consolidated</t>
  </si>
  <si>
    <t>Unrestricted NA</t>
  </si>
  <si>
    <t>Transfer operating surplus to departmental net assets</t>
  </si>
  <si>
    <t>Increase (decrease) in net assets</t>
  </si>
  <si>
    <t>Total Expenes</t>
  </si>
  <si>
    <t>Health care services</t>
  </si>
  <si>
    <t>Total Revenues</t>
  </si>
  <si>
    <t>Loss on disposal/sale of plant assets</t>
  </si>
  <si>
    <t xml:space="preserve"> June 30, 2010</t>
  </si>
  <si>
    <t xml:space="preserve"> June 30, 2012</t>
  </si>
  <si>
    <t xml:space="preserve"> June 30, 2013</t>
  </si>
  <si>
    <t xml:space="preserve"> June 30, 2014</t>
  </si>
  <si>
    <t xml:space="preserve"> June 30, 2015</t>
  </si>
  <si>
    <t xml:space="preserve"> June 30, 2016</t>
  </si>
  <si>
    <t>Cummulative effect of accounting change</t>
  </si>
  <si>
    <t>CPRN</t>
  </si>
  <si>
    <t>DEI use</t>
  </si>
  <si>
    <t>DEI Capital Lease</t>
  </si>
  <si>
    <t xml:space="preserve"> June 30, 2017</t>
  </si>
  <si>
    <t>FY  
2018</t>
  </si>
  <si>
    <t>FY  
2019</t>
  </si>
  <si>
    <t>FY  
2020</t>
  </si>
  <si>
    <t>FY  
2021</t>
  </si>
  <si>
    <t xml:space="preserve">Total Expense </t>
  </si>
  <si>
    <t>Total Revenue</t>
  </si>
  <si>
    <t>University of Southern California</t>
  </si>
  <si>
    <t xml:space="preserve">Financial Trend Analysis </t>
  </si>
  <si>
    <t xml:space="preserve">Executive Committee </t>
  </si>
  <si>
    <t xml:space="preserve">
2007</t>
  </si>
  <si>
    <t xml:space="preserve">
2008</t>
  </si>
  <si>
    <t xml:space="preserve"> 
2009</t>
  </si>
  <si>
    <t xml:space="preserve">
2010</t>
  </si>
  <si>
    <t xml:space="preserve">  
2011</t>
  </si>
  <si>
    <t xml:space="preserve">
2012</t>
  </si>
  <si>
    <t xml:space="preserve">  
2013</t>
  </si>
  <si>
    <t xml:space="preserve">
2014</t>
  </si>
  <si>
    <t xml:space="preserve"> 
2015</t>
  </si>
  <si>
    <t xml:space="preserve">
2016</t>
  </si>
  <si>
    <t xml:space="preserve">  
2017</t>
  </si>
  <si>
    <t xml:space="preserve">Compound Annual Growth Rate - Revenue </t>
  </si>
  <si>
    <t>A</t>
  </si>
  <si>
    <t>B</t>
  </si>
  <si>
    <t xml:space="preserve">Tick Mark Legend </t>
  </si>
  <si>
    <t>C</t>
  </si>
  <si>
    <t xml:space="preserve">Significant activity included acquisition of Verdugo Hills Hospital and Pacific Asia Museum </t>
  </si>
  <si>
    <t>D</t>
  </si>
  <si>
    <t>Revenue Growth Y/o/Y</t>
  </si>
  <si>
    <t>Expense Growth Y/o/Y</t>
  </si>
  <si>
    <t xml:space="preserve">Compound Annual Growth Rate - Expense </t>
  </si>
  <si>
    <t>E</t>
  </si>
  <si>
    <t xml:space="preserve">Total expenses increased from prior year due to acquisition of the hospitals </t>
  </si>
  <si>
    <t xml:space="preserve">Assumed savings of $54 million due to Project Renewal (FY18- FY'20), for total savings of $162 million.  Assumed expense increase of 4% as noted in the Moody's outlook on Higher Education Report. </t>
  </si>
  <si>
    <t>Other - includes "loss on sales" and "PV adj"</t>
  </si>
  <si>
    <t>Endowment &amp; investment income combined</t>
  </si>
  <si>
    <t xml:space="preserve">Investment income </t>
  </si>
  <si>
    <t xml:space="preserve">Interest </t>
  </si>
  <si>
    <t xml:space="preserve">Net Patient Service </t>
  </si>
  <si>
    <t xml:space="preserve">Clinical &amp; Professional </t>
  </si>
  <si>
    <t>Government contracts &amp; grants</t>
  </si>
  <si>
    <t>Gifts &amp; pledges</t>
  </si>
  <si>
    <t>Sales &amp; service</t>
  </si>
  <si>
    <t>Sales, Services, and Other</t>
  </si>
  <si>
    <t>Auxiliary Enterprises</t>
  </si>
  <si>
    <t>Contributions</t>
  </si>
  <si>
    <t>Contracts and Grants</t>
  </si>
  <si>
    <t>Health Care Services</t>
  </si>
  <si>
    <t>Net Student Tuition and Fees</t>
  </si>
  <si>
    <t xml:space="preserve">Financial Aid </t>
  </si>
  <si>
    <t>Student Tuition and Fees</t>
  </si>
  <si>
    <t>Fiscal
Year</t>
  </si>
  <si>
    <t>Historical Revenue Trends</t>
  </si>
  <si>
    <t>Interest on Indebtedness</t>
  </si>
  <si>
    <t>Depreciation and Amortization</t>
  </si>
  <si>
    <t>Educational and General Activities</t>
  </si>
  <si>
    <t>Historical Expense Trends</t>
  </si>
  <si>
    <t xml:space="preserve">Less: Contributions </t>
  </si>
  <si>
    <t xml:space="preserve">Adj. Revenue </t>
  </si>
  <si>
    <t>Moody's Annual Growth Rate - Expense</t>
  </si>
  <si>
    <t>Moody's Annual Growth Rate - Revenue</t>
  </si>
  <si>
    <t>Laura's More Accurate Predictions</t>
  </si>
  <si>
    <t>Total Expense</t>
  </si>
  <si>
    <t>Next 10 Years</t>
  </si>
  <si>
    <t>previous numbers</t>
  </si>
  <si>
    <t>nothing but</t>
  </si>
  <si>
    <t>estimate based on</t>
  </si>
  <si>
    <t>just a very rough</t>
  </si>
  <si>
    <t>best approach</t>
  </si>
  <si>
    <t xml:space="preserve">have been the </t>
  </si>
  <si>
    <t>*Note: may not</t>
  </si>
  <si>
    <t>expense</t>
  </si>
  <si>
    <t xml:space="preserve">revenue and </t>
  </si>
  <si>
    <t>predict future</t>
  </si>
  <si>
    <t xml:space="preserve">function to </t>
  </si>
  <si>
    <t>used the forecast</t>
  </si>
  <si>
    <t>Year</t>
  </si>
  <si>
    <t>Predictions</t>
  </si>
  <si>
    <t>Less: Appre./Depre. On Investments</t>
  </si>
  <si>
    <t xml:space="preserve">Assumed revenue increase of 3.5% as noted in the Moody's outlook on Higher Education </t>
  </si>
  <si>
    <t>Total revenue decreased from previous fiscal year due to downturn in markets (crash in '08).</t>
  </si>
  <si>
    <t xml:space="preserve">Change in Net Asset </t>
  </si>
  <si>
    <t xml:space="preserve">Change in NA </t>
  </si>
  <si>
    <t>Using excel's forecast function</t>
  </si>
  <si>
    <t>Total ADJ. Revenue</t>
  </si>
  <si>
    <t xml:space="preserve">Investment &amp; Endowment Income </t>
  </si>
  <si>
    <t xml:space="preserve">Compound Annual Growth Rate ("CAGR") - Revenue </t>
  </si>
  <si>
    <t xml:space="preserve">CAGR - Expense </t>
  </si>
  <si>
    <t>Revenue Adjusted for Investments Appre/Dep</t>
  </si>
  <si>
    <t xml:space="preserve">Revenue Adjusted for Healthcare </t>
  </si>
  <si>
    <t>Less: Healthcare</t>
  </si>
  <si>
    <t xml:space="preserve">Revenue Adjusted for Contributions  </t>
  </si>
  <si>
    <t xml:space="preserve">Revenue Adjusted for All </t>
  </si>
  <si>
    <t>Health Care, Contribution, Inv</t>
  </si>
  <si>
    <t xml:space="preserve">At total revenue &amp; expense, USC's expenses have growth faster at 9% than USC's revenue at 7.6% - this is a similar pattern as found in the Moody's report where revenues are predicted to increase 3.5% compared to expense at 4%. </t>
  </si>
  <si>
    <t xml:space="preserve">Adjusting total revenue to exclude the more revenue items outside of USC's control (Investments, Contributions), USC's adjusted revenue has grown faster at 9.5% than USC's expenses at 9%.   </t>
  </si>
  <si>
    <t xml:space="preserve">Revenue </t>
  </si>
  <si>
    <t xml:space="preserve">Expense </t>
  </si>
  <si>
    <t xml:space="preserve">Moody's </t>
  </si>
  <si>
    <t>Adj USC</t>
  </si>
  <si>
    <t xml:space="preserve">Total USC </t>
  </si>
  <si>
    <t>CAGR - Adj. for Healthcare Rev</t>
  </si>
  <si>
    <t>CAGR - Adj. for Contribution</t>
  </si>
  <si>
    <t>CAGR - Adj. for Invest Rev</t>
  </si>
  <si>
    <t xml:space="preserve">Expenes Adjusted for Healthcare </t>
  </si>
  <si>
    <t>NPSR</t>
  </si>
  <si>
    <r>
      <rPr>
        <vertAlign val="superscript"/>
        <sz val="11"/>
        <color theme="1"/>
        <rFont val="Palatino Linotype"/>
        <family val="1"/>
      </rPr>
      <t>1</t>
    </r>
    <r>
      <rPr>
        <sz val="11"/>
        <color theme="1"/>
        <rFont val="Palatino Linotype"/>
        <family val="1"/>
      </rPr>
      <t xml:space="preserve">  Contributions include unrestricted, temporarily restricted, and permanently restricted as well as operating and non-operating (Fiscal Year 2017).</t>
    </r>
  </si>
  <si>
    <r>
      <rPr>
        <vertAlign val="superscript"/>
        <sz val="11"/>
        <color theme="1"/>
        <rFont val="Palatino Linotype"/>
        <family val="1"/>
      </rPr>
      <t>2</t>
    </r>
    <r>
      <rPr>
        <sz val="11"/>
        <color theme="1"/>
        <rFont val="Palatino Linotype"/>
        <family val="1"/>
      </rPr>
      <t xml:space="preserve">  Net Assets Released from Restrictions shown include Unrestricted Assets only.</t>
    </r>
  </si>
  <si>
    <t>Average</t>
  </si>
  <si>
    <t>avg</t>
  </si>
  <si>
    <t xml:space="preserve">Compound Annual Growth 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</si>
</sst>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#,##0\ ;\(#,##0\)"/>
    <numFmt numFmtId="165" formatCode="0.0%"/>
    <numFmt numFmtId="166" formatCode="_(&quot;$&quot;* #,##0_);_(&quot;$&quot;* \(#,##0\);_(&quot;$&quot;* &quot;-&quot;??_);_(@_)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Times New Roman"/>
      <family val="1"/>
    </font>
    <font>
      <b/>
      <sz val="10"/>
      <name val="Helv"/>
    </font>
    <font>
      <b/>
      <sz val="8"/>
      <name val="Helv"/>
    </font>
    <font>
      <i/>
      <sz val="7"/>
      <name val="Helv"/>
    </font>
    <font>
      <b/>
      <sz val="9"/>
      <name val="Times New Roman"/>
      <family val="1"/>
    </font>
    <font>
      <sz val="9"/>
      <name val="Times New Roman"/>
      <family val="1"/>
    </font>
    <font>
      <b/>
      <sz val="8"/>
      <name val="Times New Roman"/>
      <family val="1"/>
    </font>
    <font>
      <sz val="10"/>
      <name val="MS Sans Serif"/>
    </font>
    <font>
      <sz val="10"/>
      <name val="MS Sans Serif"/>
      <family val="2"/>
    </font>
    <font>
      <sz val="8"/>
      <name val="Times New Roman"/>
      <family val="1"/>
    </font>
    <font>
      <sz val="8"/>
      <name val="Helv"/>
    </font>
    <font>
      <sz val="8"/>
      <color indexed="81"/>
      <name val="Tahoma"/>
      <family val="2"/>
    </font>
    <font>
      <sz val="9"/>
      <color indexed="81"/>
      <name val="Tahoma"/>
      <family val="2"/>
    </font>
    <font>
      <u/>
      <sz val="8"/>
      <color indexed="81"/>
      <name val="Tahoma"/>
      <family val="2"/>
    </font>
    <font>
      <b/>
      <sz val="8"/>
      <name val="Cambria"/>
      <family val="1"/>
      <scheme val="major"/>
    </font>
    <font>
      <b/>
      <sz val="11"/>
      <color theme="1"/>
      <name val="Georgia"/>
      <family val="1"/>
    </font>
    <font>
      <sz val="11"/>
      <color theme="1"/>
      <name val="Georgia"/>
      <family val="1"/>
    </font>
    <font>
      <b/>
      <sz val="11"/>
      <color rgb="FFFF0000"/>
      <name val="Georgia"/>
      <family val="1"/>
    </font>
    <font>
      <b/>
      <sz val="13"/>
      <color theme="1"/>
      <name val="Georgia"/>
      <family val="1"/>
    </font>
    <font>
      <b/>
      <u/>
      <sz val="11"/>
      <color theme="1"/>
      <name val="Georgia"/>
      <family val="1"/>
    </font>
    <font>
      <b/>
      <sz val="9"/>
      <name val="Helv"/>
    </font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Georgia"/>
      <family val="1"/>
    </font>
    <font>
      <b/>
      <sz val="12"/>
      <color theme="1"/>
      <name val="Georgia"/>
      <family val="1"/>
    </font>
    <font>
      <b/>
      <sz val="9"/>
      <color theme="1"/>
      <name val="Calibri"/>
      <family val="2"/>
      <scheme val="minor"/>
    </font>
    <font>
      <b/>
      <i/>
      <sz val="11"/>
      <color rgb="FF0070C0"/>
      <name val="Georgia"/>
      <family val="1"/>
    </font>
    <font>
      <b/>
      <sz val="11"/>
      <color rgb="FF0070C0"/>
      <name val="Georgia"/>
      <family val="1"/>
    </font>
    <font>
      <sz val="10"/>
      <color theme="1"/>
      <name val="Palatino Linotype"/>
      <family val="1"/>
    </font>
    <font>
      <b/>
      <sz val="16"/>
      <color theme="1"/>
      <name val="Palatino Linotype"/>
      <family val="1"/>
    </font>
    <font>
      <sz val="11"/>
      <color theme="1"/>
      <name val="Palatino Linotype"/>
      <family val="1"/>
    </font>
    <font>
      <vertAlign val="superscript"/>
      <sz val="11"/>
      <color theme="1"/>
      <name val="Palatino Linotype"/>
      <family val="1"/>
    </font>
    <font>
      <b/>
      <sz val="10"/>
      <color theme="1"/>
      <name val="Palatino Linotype"/>
      <family val="1"/>
    </font>
    <font>
      <sz val="12"/>
      <color theme="1"/>
      <name val="Palatino Linotype"/>
      <family val="1"/>
    </font>
  </fonts>
  <fills count="12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/>
    <xf numFmtId="8" fontId="9" fillId="0" borderId="0" applyFont="0" applyFill="0" applyBorder="0" applyAlignment="0" applyProtection="0"/>
    <xf numFmtId="8" fontId="10" fillId="0" borderId="0" applyFont="0" applyFill="0" applyBorder="0" applyAlignment="0" applyProtection="0"/>
    <xf numFmtId="40" fontId="10" fillId="0" borderId="0" applyFont="0" applyFill="0" applyBorder="0" applyAlignment="0" applyProtection="0"/>
    <xf numFmtId="0" fontId="24" fillId="0" borderId="0"/>
    <xf numFmtId="44" fontId="1" fillId="0" borderId="0" applyFont="0" applyFill="0" applyBorder="0" applyAlignment="0" applyProtection="0"/>
  </cellStyleXfs>
  <cellXfs count="296">
    <xf numFmtId="0" fontId="0" fillId="0" borderId="0" xfId="0"/>
    <xf numFmtId="164" fontId="2" fillId="0" borderId="0" xfId="2" applyNumberFormat="1"/>
    <xf numFmtId="0" fontId="2" fillId="0" borderId="0" xfId="2"/>
    <xf numFmtId="164" fontId="2" fillId="0" borderId="1" xfId="2" applyNumberFormat="1" applyBorder="1" applyAlignment="1">
      <alignment horizontal="left"/>
    </xf>
    <xf numFmtId="164" fontId="3" fillId="0" borderId="0" xfId="2" applyNumberFormat="1" applyFont="1"/>
    <xf numFmtId="164" fontId="4" fillId="0" borderId="0" xfId="2" applyNumberFormat="1" applyFont="1"/>
    <xf numFmtId="164" fontId="2" fillId="0" borderId="0" xfId="2" applyNumberFormat="1" applyAlignment="1">
      <alignment horizontal="left"/>
    </xf>
    <xf numFmtId="164" fontId="2" fillId="0" borderId="1" xfId="2" applyNumberFormat="1" applyBorder="1"/>
    <xf numFmtId="164" fontId="2" fillId="0" borderId="1" xfId="2" applyNumberFormat="1" applyBorder="1" applyAlignment="1">
      <alignment horizontal="right"/>
    </xf>
    <xf numFmtId="164" fontId="2" fillId="0" borderId="2" xfId="2" applyNumberFormat="1" applyBorder="1"/>
    <xf numFmtId="164" fontId="4" fillId="0" borderId="2" xfId="2" applyNumberFormat="1" applyFont="1" applyBorder="1" applyAlignment="1">
      <alignment horizontal="right"/>
    </xf>
    <xf numFmtId="164" fontId="2" fillId="0" borderId="2" xfId="2" applyNumberFormat="1" applyBorder="1" applyAlignment="1">
      <alignment horizontal="right"/>
    </xf>
    <xf numFmtId="164" fontId="2" fillId="0" borderId="0" xfId="2" applyNumberFormat="1" applyAlignment="1">
      <alignment horizontal="center"/>
    </xf>
    <xf numFmtId="164" fontId="4" fillId="0" borderId="0" xfId="2" applyNumberFormat="1" applyFont="1" applyAlignment="1">
      <alignment horizontal="right"/>
    </xf>
    <xf numFmtId="0" fontId="2" fillId="0" borderId="0" xfId="2" applyBorder="1"/>
    <xf numFmtId="164" fontId="2" fillId="0" borderId="0" xfId="2" applyNumberFormat="1" applyBorder="1"/>
    <xf numFmtId="0" fontId="2" fillId="0" borderId="0" xfId="2" applyBorder="1" applyAlignment="1">
      <alignment horizontal="center"/>
    </xf>
    <xf numFmtId="37" fontId="2" fillId="0" borderId="0" xfId="2" applyNumberFormat="1"/>
    <xf numFmtId="38" fontId="2" fillId="2" borderId="0" xfId="2" applyNumberFormat="1" applyFill="1"/>
    <xf numFmtId="38" fontId="2" fillId="0" borderId="3" xfId="2" applyNumberFormat="1" applyBorder="1"/>
    <xf numFmtId="38" fontId="2" fillId="0" borderId="0" xfId="2" applyNumberFormat="1"/>
    <xf numFmtId="0" fontId="5" fillId="0" borderId="3" xfId="2" applyFont="1" applyBorder="1"/>
    <xf numFmtId="5" fontId="2" fillId="0" borderId="0" xfId="2" applyNumberFormat="1"/>
    <xf numFmtId="6" fontId="6" fillId="3" borderId="2" xfId="2" applyNumberFormat="1" applyFont="1" applyFill="1" applyBorder="1"/>
    <xf numFmtId="6" fontId="7" fillId="3" borderId="0" xfId="2" applyNumberFormat="1" applyFont="1" applyFill="1" applyBorder="1"/>
    <xf numFmtId="6" fontId="6" fillId="0" borderId="2" xfId="2" applyNumberFormat="1" applyFont="1" applyBorder="1"/>
    <xf numFmtId="6" fontId="4" fillId="0" borderId="2" xfId="2" applyNumberFormat="1" applyFont="1" applyBorder="1"/>
    <xf numFmtId="0" fontId="2" fillId="0" borderId="2" xfId="2" applyBorder="1"/>
    <xf numFmtId="38" fontId="2" fillId="3" borderId="0" xfId="2" applyNumberFormat="1" applyFill="1" applyBorder="1"/>
    <xf numFmtId="38" fontId="2" fillId="3" borderId="0" xfId="2" applyNumberFormat="1" applyFill="1"/>
    <xf numFmtId="6" fontId="2" fillId="0" borderId="0" xfId="2" applyNumberFormat="1"/>
    <xf numFmtId="6" fontId="2" fillId="3" borderId="0" xfId="2" applyNumberFormat="1" applyFill="1"/>
    <xf numFmtId="6" fontId="2" fillId="3" borderId="0" xfId="2" applyNumberFormat="1" applyFill="1" applyBorder="1"/>
    <xf numFmtId="164" fontId="4" fillId="0" borderId="0" xfId="2" applyNumberFormat="1" applyFont="1" applyAlignment="1">
      <alignment horizontal="left"/>
    </xf>
    <xf numFmtId="38" fontId="2" fillId="3" borderId="1" xfId="2" applyNumberFormat="1" applyFill="1" applyBorder="1" applyAlignment="1">
      <alignment horizontal="right"/>
    </xf>
    <xf numFmtId="38" fontId="2" fillId="0" borderId="1" xfId="2" applyNumberFormat="1" applyBorder="1" applyAlignment="1">
      <alignment horizontal="right"/>
    </xf>
    <xf numFmtId="164" fontId="4" fillId="0" borderId="2" xfId="2" applyNumberFormat="1" applyFont="1" applyBorder="1"/>
    <xf numFmtId="164" fontId="4" fillId="0" borderId="2" xfId="2" applyNumberFormat="1" applyFont="1" applyBorder="1" applyAlignment="1">
      <alignment horizontal="left"/>
    </xf>
    <xf numFmtId="38" fontId="6" fillId="3" borderId="0" xfId="2" applyNumberFormat="1" applyFont="1" applyFill="1"/>
    <xf numFmtId="38" fontId="6" fillId="3" borderId="0" xfId="2" applyNumberFormat="1" applyFont="1" applyFill="1" applyBorder="1"/>
    <xf numFmtId="38" fontId="6" fillId="0" borderId="0" xfId="2" applyNumberFormat="1" applyFont="1"/>
    <xf numFmtId="164" fontId="4" fillId="0" borderId="4" xfId="2" applyNumberFormat="1" applyFont="1" applyBorder="1" applyAlignment="1">
      <alignment horizontal="left"/>
    </xf>
    <xf numFmtId="164" fontId="4" fillId="0" borderId="0" xfId="2" applyNumberFormat="1" applyFont="1" applyBorder="1"/>
    <xf numFmtId="38" fontId="4" fillId="3" borderId="0" xfId="2" applyNumberFormat="1" applyFont="1" applyFill="1" applyBorder="1"/>
    <xf numFmtId="38" fontId="8" fillId="0" borderId="0" xfId="2" applyNumberFormat="1" applyFont="1"/>
    <xf numFmtId="0" fontId="2" fillId="0" borderId="0" xfId="2" applyAlignment="1"/>
    <xf numFmtId="38" fontId="6" fillId="3" borderId="2" xfId="2" applyNumberFormat="1" applyFont="1" applyFill="1" applyBorder="1"/>
    <xf numFmtId="38" fontId="7" fillId="3" borderId="0" xfId="2" applyNumberFormat="1" applyFont="1" applyFill="1" applyBorder="1"/>
    <xf numFmtId="38" fontId="6" fillId="0" borderId="2" xfId="2" applyNumberFormat="1" applyFont="1" applyBorder="1"/>
    <xf numFmtId="164" fontId="4" fillId="0" borderId="0" xfId="2" applyNumberFormat="1" applyFont="1" applyBorder="1" applyAlignment="1">
      <alignment horizontal="left" wrapText="1"/>
    </xf>
    <xf numFmtId="38" fontId="6" fillId="0" borderId="0" xfId="2" applyNumberFormat="1" applyFont="1" applyBorder="1"/>
    <xf numFmtId="164" fontId="4" fillId="0" borderId="2" xfId="2" applyNumberFormat="1" applyFont="1" applyBorder="1" applyAlignment="1">
      <alignment horizontal="left" wrapText="1"/>
    </xf>
    <xf numFmtId="164" fontId="2" fillId="0" borderId="0" xfId="2" applyNumberFormat="1" applyBorder="1" applyAlignment="1">
      <alignment horizontal="left"/>
    </xf>
    <xf numFmtId="38" fontId="4" fillId="0" borderId="0" xfId="2" applyNumberFormat="1" applyFont="1" applyBorder="1"/>
    <xf numFmtId="164" fontId="4" fillId="0" borderId="0" xfId="2" applyNumberFormat="1" applyFont="1" applyBorder="1" applyAlignment="1">
      <alignment horizontal="left"/>
    </xf>
    <xf numFmtId="164" fontId="4" fillId="0" borderId="0" xfId="2" applyNumberFormat="1" applyFont="1" applyBorder="1" applyAlignment="1">
      <alignment horizontal="center"/>
    </xf>
    <xf numFmtId="38" fontId="4" fillId="3" borderId="2" xfId="2" applyNumberFormat="1" applyFont="1" applyFill="1" applyBorder="1"/>
    <xf numFmtId="38" fontId="4" fillId="0" borderId="2" xfId="2" applyNumberFormat="1" applyFont="1" applyBorder="1"/>
    <xf numFmtId="6" fontId="2" fillId="3" borderId="2" xfId="3" applyNumberFormat="1" applyFont="1" applyFill="1" applyBorder="1"/>
    <xf numFmtId="38" fontId="2" fillId="3" borderId="0" xfId="3" applyNumberFormat="1" applyFont="1" applyFill="1" applyBorder="1"/>
    <xf numFmtId="6" fontId="2" fillId="0" borderId="2" xfId="2" applyNumberFormat="1" applyBorder="1"/>
    <xf numFmtId="164" fontId="2" fillId="0" borderId="2" xfId="2" applyNumberFormat="1" applyBorder="1" applyAlignment="1">
      <alignment horizontal="left"/>
    </xf>
    <xf numFmtId="0" fontId="2" fillId="3" borderId="2" xfId="2" applyFill="1" applyBorder="1"/>
    <xf numFmtId="0" fontId="2" fillId="3" borderId="0" xfId="2" applyFill="1" applyBorder="1"/>
    <xf numFmtId="164" fontId="2" fillId="3" borderId="0" xfId="2" applyNumberFormat="1" applyFill="1" applyBorder="1"/>
    <xf numFmtId="164" fontId="4" fillId="3" borderId="4" xfId="2" applyNumberFormat="1" applyFont="1" applyFill="1" applyBorder="1" applyAlignment="1">
      <alignment horizontal="right"/>
    </xf>
    <xf numFmtId="164" fontId="4" fillId="0" borderId="4" xfId="2" applyNumberFormat="1" applyFont="1" applyBorder="1" applyAlignment="1">
      <alignment horizontal="right"/>
    </xf>
    <xf numFmtId="0" fontId="4" fillId="0" borderId="0" xfId="2" applyFont="1" applyAlignment="1">
      <alignment horizontal="right"/>
    </xf>
    <xf numFmtId="0" fontId="4" fillId="3" borderId="0" xfId="2" applyFont="1" applyFill="1" applyBorder="1" applyAlignment="1">
      <alignment horizontal="right"/>
    </xf>
    <xf numFmtId="164" fontId="4" fillId="3" borderId="0" xfId="2" applyNumberFormat="1" applyFont="1" applyFill="1" applyBorder="1" applyAlignment="1">
      <alignment horizontal="right"/>
    </xf>
    <xf numFmtId="164" fontId="2" fillId="0" borderId="0" xfId="2" applyNumberFormat="1" applyAlignment="1">
      <alignment horizontal="right"/>
    </xf>
    <xf numFmtId="0" fontId="2" fillId="0" borderId="0" xfId="2" applyAlignment="1">
      <alignment horizontal="right"/>
    </xf>
    <xf numFmtId="164" fontId="4" fillId="0" borderId="0" xfId="2" applyNumberFormat="1" applyFont="1" applyBorder="1" applyAlignment="1">
      <alignment horizontal="right"/>
    </xf>
    <xf numFmtId="0" fontId="4" fillId="3" borderId="2" xfId="2" applyFont="1" applyFill="1" applyBorder="1" applyAlignment="1">
      <alignment horizontal="right"/>
    </xf>
    <xf numFmtId="0" fontId="2" fillId="0" borderId="2" xfId="2" applyBorder="1" applyAlignment="1">
      <alignment horizontal="right"/>
    </xf>
    <xf numFmtId="0" fontId="4" fillId="0" borderId="2" xfId="2" applyFont="1" applyBorder="1" applyAlignment="1">
      <alignment horizontal="right"/>
    </xf>
    <xf numFmtId="164" fontId="4" fillId="0" borderId="4" xfId="2" applyNumberFormat="1" applyFont="1" applyFill="1" applyBorder="1" applyAlignment="1">
      <alignment horizontal="right"/>
    </xf>
    <xf numFmtId="15" fontId="4" fillId="3" borderId="0" xfId="2" applyNumberFormat="1" applyFont="1" applyFill="1" applyBorder="1" applyAlignment="1">
      <alignment horizontal="right"/>
    </xf>
    <xf numFmtId="164" fontId="4" fillId="0" borderId="0" xfId="2" applyNumberFormat="1" applyFont="1" applyFill="1" applyBorder="1" applyAlignment="1">
      <alignment horizontal="right"/>
    </xf>
    <xf numFmtId="15" fontId="4" fillId="3" borderId="5" xfId="2" applyNumberFormat="1" applyFont="1" applyFill="1" applyBorder="1" applyAlignment="1">
      <alignment horizontal="right"/>
    </xf>
    <xf numFmtId="0" fontId="2" fillId="3" borderId="5" xfId="2" applyFill="1" applyBorder="1"/>
    <xf numFmtId="0" fontId="2" fillId="3" borderId="0" xfId="2" applyFill="1"/>
    <xf numFmtId="164" fontId="2" fillId="3" borderId="0" xfId="2" applyNumberFormat="1" applyFill="1"/>
    <xf numFmtId="38" fontId="4" fillId="0" borderId="2" xfId="2" applyNumberFormat="1" applyFont="1" applyFill="1" applyBorder="1"/>
    <xf numFmtId="165" fontId="2" fillId="3" borderId="0" xfId="2" applyNumberFormat="1" applyFill="1" applyBorder="1"/>
    <xf numFmtId="6" fontId="6" fillId="0" borderId="2" xfId="2" applyNumberFormat="1" applyFont="1" applyFill="1" applyBorder="1"/>
    <xf numFmtId="38" fontId="4" fillId="0" borderId="0" xfId="2" applyNumberFormat="1" applyFont="1" applyFill="1" applyBorder="1"/>
    <xf numFmtId="6" fontId="11" fillId="3" borderId="2" xfId="4" applyNumberFormat="1" applyFont="1" applyFill="1" applyBorder="1"/>
    <xf numFmtId="38" fontId="11" fillId="3" borderId="0" xfId="4" applyNumberFormat="1" applyFont="1" applyFill="1" applyBorder="1"/>
    <xf numFmtId="8" fontId="2" fillId="0" borderId="0" xfId="2" applyNumberFormat="1"/>
    <xf numFmtId="40" fontId="2" fillId="0" borderId="0" xfId="2" applyNumberFormat="1"/>
    <xf numFmtId="164" fontId="11" fillId="0" borderId="0" xfId="2" applyNumberFormat="1" applyFont="1"/>
    <xf numFmtId="40" fontId="2" fillId="0" borderId="2" xfId="2" applyNumberFormat="1" applyBorder="1"/>
    <xf numFmtId="40" fontId="2" fillId="0" borderId="0" xfId="2" applyNumberFormat="1" applyFill="1"/>
    <xf numFmtId="0" fontId="2" fillId="0" borderId="0" xfId="2" applyFill="1"/>
    <xf numFmtId="0" fontId="2" fillId="0" borderId="0" xfId="2" applyAlignment="1">
      <alignment horizontal="center"/>
    </xf>
    <xf numFmtId="0" fontId="2" fillId="0" borderId="4" xfId="2" applyBorder="1" applyAlignment="1">
      <alignment horizontal="centerContinuous"/>
    </xf>
    <xf numFmtId="164" fontId="2" fillId="0" borderId="4" xfId="2" applyNumberFormat="1" applyBorder="1" applyAlignment="1">
      <alignment horizontal="centerContinuous"/>
    </xf>
    <xf numFmtId="37" fontId="2" fillId="0" borderId="3" xfId="2" applyNumberFormat="1" applyBorder="1"/>
    <xf numFmtId="6" fontId="4" fillId="3" borderId="2" xfId="2" applyNumberFormat="1" applyFont="1" applyFill="1" applyBorder="1"/>
    <xf numFmtId="6" fontId="4" fillId="0" borderId="2" xfId="2" applyNumberFormat="1" applyFont="1" applyFill="1" applyBorder="1"/>
    <xf numFmtId="38" fontId="2" fillId="0" borderId="0" xfId="2" applyNumberFormat="1" applyFill="1"/>
    <xf numFmtId="37" fontId="2" fillId="0" borderId="0" xfId="2" applyNumberFormat="1" applyFill="1"/>
    <xf numFmtId="38" fontId="2" fillId="3" borderId="0" xfId="2" applyNumberFormat="1" applyFill="1" applyBorder="1" applyAlignment="1">
      <alignment horizontal="right"/>
    </xf>
    <xf numFmtId="6" fontId="2" fillId="0" borderId="0" xfId="2" applyNumberFormat="1" applyFill="1"/>
    <xf numFmtId="6" fontId="0" fillId="3" borderId="0" xfId="4" applyNumberFormat="1" applyFont="1" applyFill="1" applyBorder="1"/>
    <xf numFmtId="5" fontId="2" fillId="0" borderId="0" xfId="2" applyNumberFormat="1" applyFill="1"/>
    <xf numFmtId="164" fontId="2" fillId="0" borderId="0" xfId="2" applyNumberFormat="1" applyFill="1"/>
    <xf numFmtId="164" fontId="2" fillId="3" borderId="1" xfId="2" applyNumberFormat="1" applyFill="1" applyBorder="1" applyAlignment="1">
      <alignment horizontal="right"/>
    </xf>
    <xf numFmtId="164" fontId="2" fillId="0" borderId="1" xfId="2" applyNumberFormat="1" applyFill="1" applyBorder="1" applyAlignment="1">
      <alignment horizontal="right"/>
    </xf>
    <xf numFmtId="38" fontId="4" fillId="0" borderId="0" xfId="2" applyNumberFormat="1" applyFont="1" applyFill="1"/>
    <xf numFmtId="164" fontId="12" fillId="0" borderId="0" xfId="2" applyNumberFormat="1" applyFont="1" applyFill="1" applyBorder="1" applyAlignment="1">
      <alignment horizontal="left" wrapText="1"/>
    </xf>
    <xf numFmtId="38" fontId="11" fillId="0" borderId="0" xfId="5" applyNumberFormat="1" applyFont="1" applyFill="1"/>
    <xf numFmtId="37" fontId="2" fillId="3" borderId="0" xfId="2" applyNumberFormat="1" applyFill="1" applyBorder="1"/>
    <xf numFmtId="164" fontId="4" fillId="3" borderId="0" xfId="2" applyNumberFormat="1" applyFont="1" applyFill="1" applyBorder="1"/>
    <xf numFmtId="164" fontId="4" fillId="0" borderId="0" xfId="2" applyNumberFormat="1" applyFont="1" applyFill="1" applyBorder="1"/>
    <xf numFmtId="38" fontId="4" fillId="0" borderId="2" xfId="2" applyNumberFormat="1" applyFont="1" applyBorder="1" applyAlignment="1">
      <alignment horizontal="left"/>
    </xf>
    <xf numFmtId="38" fontId="11" fillId="0" borderId="0" xfId="2" applyNumberFormat="1" applyFont="1" applyFill="1"/>
    <xf numFmtId="38" fontId="2" fillId="0" borderId="0" xfId="2" applyNumberFormat="1" applyFill="1" applyBorder="1"/>
    <xf numFmtId="6" fontId="11" fillId="0" borderId="0" xfId="4" applyNumberFormat="1" applyFont="1" applyFill="1"/>
    <xf numFmtId="6" fontId="2" fillId="0" borderId="0" xfId="2" applyNumberFormat="1" applyFill="1" applyBorder="1"/>
    <xf numFmtId="38" fontId="11" fillId="0" borderId="0" xfId="4" applyNumberFormat="1" applyFont="1" applyFill="1"/>
    <xf numFmtId="6" fontId="0" fillId="3" borderId="2" xfId="4" applyNumberFormat="1" applyFont="1" applyFill="1" applyBorder="1"/>
    <xf numFmtId="38" fontId="0" fillId="3" borderId="0" xfId="4" applyNumberFormat="1" applyFont="1" applyFill="1" applyBorder="1"/>
    <xf numFmtId="6" fontId="2" fillId="0" borderId="2" xfId="2" applyNumberFormat="1" applyFill="1" applyBorder="1"/>
    <xf numFmtId="38" fontId="2" fillId="3" borderId="2" xfId="2" applyNumberFormat="1" applyFill="1" applyBorder="1"/>
    <xf numFmtId="38" fontId="2" fillId="0" borderId="2" xfId="2" applyNumberFormat="1" applyFill="1" applyBorder="1"/>
    <xf numFmtId="0" fontId="4" fillId="0" borderId="0" xfId="2" applyFont="1" applyFill="1" applyAlignment="1">
      <alignment horizontal="right"/>
    </xf>
    <xf numFmtId="164" fontId="4" fillId="0" borderId="0" xfId="2" applyNumberFormat="1" applyFont="1" applyFill="1" applyAlignment="1">
      <alignment horizontal="right"/>
    </xf>
    <xf numFmtId="0" fontId="2" fillId="0" borderId="0" xfId="2" applyFill="1" applyAlignment="1">
      <alignment horizontal="right"/>
    </xf>
    <xf numFmtId="0" fontId="2" fillId="0" borderId="2" xfId="2" applyFill="1" applyBorder="1" applyAlignment="1">
      <alignment horizontal="right"/>
    </xf>
    <xf numFmtId="164" fontId="2" fillId="0" borderId="2" xfId="2" applyNumberFormat="1" applyFill="1" applyBorder="1" applyAlignment="1">
      <alignment horizontal="right"/>
    </xf>
    <xf numFmtId="0" fontId="4" fillId="0" borderId="2" xfId="2" applyFont="1" applyFill="1" applyBorder="1" applyAlignment="1">
      <alignment horizontal="right"/>
    </xf>
    <xf numFmtId="164" fontId="2" fillId="0" borderId="0" xfId="2" applyNumberFormat="1" applyFill="1" applyAlignment="1">
      <alignment horizontal="right"/>
    </xf>
    <xf numFmtId="38" fontId="2" fillId="0" borderId="4" xfId="2" applyNumberFormat="1" applyBorder="1"/>
    <xf numFmtId="164" fontId="16" fillId="0" borderId="0" xfId="2" applyNumberFormat="1" applyFont="1" applyFill="1" applyBorder="1" applyAlignment="1">
      <alignment horizontal="left" wrapText="1"/>
    </xf>
    <xf numFmtId="0" fontId="17" fillId="0" borderId="0" xfId="0" applyFont="1"/>
    <xf numFmtId="0" fontId="18" fillId="0" borderId="0" xfId="0" applyFont="1"/>
    <xf numFmtId="38" fontId="18" fillId="0" borderId="0" xfId="0" applyNumberFormat="1" applyFont="1"/>
    <xf numFmtId="165" fontId="18" fillId="0" borderId="0" xfId="1" applyNumberFormat="1" applyFont="1"/>
    <xf numFmtId="165" fontId="18" fillId="0" borderId="0" xfId="0" applyNumberFormat="1" applyFont="1"/>
    <xf numFmtId="0" fontId="17" fillId="5" borderId="0" xfId="0" applyFont="1" applyFill="1" applyAlignment="1">
      <alignment horizontal="center" wrapText="1"/>
    </xf>
    <xf numFmtId="0" fontId="18" fillId="0" borderId="0" xfId="0" applyFont="1" applyFill="1"/>
    <xf numFmtId="0" fontId="17" fillId="4" borderId="8" xfId="0" applyFont="1" applyFill="1" applyBorder="1"/>
    <xf numFmtId="0" fontId="18" fillId="4" borderId="9" xfId="0" applyFont="1" applyFill="1" applyBorder="1"/>
    <xf numFmtId="0" fontId="18" fillId="4" borderId="10" xfId="0" applyFont="1" applyFill="1" applyBorder="1"/>
    <xf numFmtId="0" fontId="18" fillId="4" borderId="11" xfId="0" applyFont="1" applyFill="1" applyBorder="1"/>
    <xf numFmtId="38" fontId="19" fillId="0" borderId="0" xfId="0" applyNumberFormat="1" applyFont="1"/>
    <xf numFmtId="165" fontId="18" fillId="6" borderId="6" xfId="0" applyNumberFormat="1" applyFont="1" applyFill="1" applyBorder="1"/>
    <xf numFmtId="0" fontId="17" fillId="6" borderId="1" xfId="0" applyFont="1" applyFill="1" applyBorder="1" applyAlignment="1">
      <alignment horizontal="right"/>
    </xf>
    <xf numFmtId="0" fontId="19" fillId="0" borderId="0" xfId="0" applyFont="1"/>
    <xf numFmtId="0" fontId="19" fillId="0" borderId="0" xfId="0" applyFont="1" applyAlignment="1"/>
    <xf numFmtId="0" fontId="20" fillId="0" borderId="0" xfId="0" applyFont="1"/>
    <xf numFmtId="0" fontId="21" fillId="0" borderId="0" xfId="0" applyFont="1"/>
    <xf numFmtId="0" fontId="17" fillId="5" borderId="6" xfId="0" applyFont="1" applyFill="1" applyBorder="1" applyAlignment="1">
      <alignment horizontal="center" wrapText="1"/>
    </xf>
    <xf numFmtId="0" fontId="17" fillId="5" borderId="1" xfId="0" applyFont="1" applyFill="1" applyBorder="1" applyAlignment="1">
      <alignment horizontal="center" wrapText="1"/>
    </xf>
    <xf numFmtId="0" fontId="17" fillId="5" borderId="7" xfId="0" applyFont="1" applyFill="1" applyBorder="1" applyAlignment="1">
      <alignment horizontal="center" wrapText="1"/>
    </xf>
    <xf numFmtId="164" fontId="7" fillId="0" borderId="0" xfId="2" applyNumberFormat="1" applyFont="1" applyFill="1"/>
    <xf numFmtId="0" fontId="22" fillId="0" borderId="0" xfId="2" applyFont="1" applyFill="1" applyBorder="1" applyAlignment="1">
      <alignment horizontal="right"/>
    </xf>
    <xf numFmtId="0" fontId="23" fillId="0" borderId="0" xfId="0" applyFont="1" applyFill="1"/>
    <xf numFmtId="0" fontId="7" fillId="0" borderId="0" xfId="2" applyFont="1" applyFill="1"/>
    <xf numFmtId="164" fontId="22" fillId="0" borderId="0" xfId="2" applyNumberFormat="1" applyFont="1" applyFill="1" applyAlignment="1">
      <alignment horizontal="left"/>
    </xf>
    <xf numFmtId="0" fontId="7" fillId="0" borderId="2" xfId="2" applyFont="1" applyFill="1" applyBorder="1"/>
    <xf numFmtId="38" fontId="7" fillId="0" borderId="2" xfId="2" applyNumberFormat="1" applyFont="1" applyFill="1" applyBorder="1"/>
    <xf numFmtId="164" fontId="7" fillId="0" borderId="0" xfId="2" applyNumberFormat="1" applyFont="1" applyFill="1" applyAlignment="1">
      <alignment horizontal="left"/>
    </xf>
    <xf numFmtId="6" fontId="7" fillId="0" borderId="0" xfId="2" applyNumberFormat="1" applyFont="1" applyFill="1" applyBorder="1"/>
    <xf numFmtId="38" fontId="7" fillId="0" borderId="0" xfId="2" applyNumberFormat="1" applyFont="1" applyFill="1" applyBorder="1"/>
    <xf numFmtId="164" fontId="7" fillId="0" borderId="2" xfId="2" applyNumberFormat="1" applyFont="1" applyFill="1" applyBorder="1" applyAlignment="1">
      <alignment horizontal="left"/>
    </xf>
    <xf numFmtId="6" fontId="7" fillId="0" borderId="2" xfId="3" applyNumberFormat="1" applyFont="1" applyFill="1" applyBorder="1"/>
    <xf numFmtId="6" fontId="7" fillId="0" borderId="2" xfId="4" applyNumberFormat="1" applyFont="1" applyFill="1" applyBorder="1"/>
    <xf numFmtId="6" fontId="23" fillId="0" borderId="2" xfId="4" applyNumberFormat="1" applyFont="1" applyFill="1" applyBorder="1"/>
    <xf numFmtId="164" fontId="22" fillId="0" borderId="2" xfId="2" applyNumberFormat="1" applyFont="1" applyFill="1" applyBorder="1" applyAlignment="1">
      <alignment horizontal="left"/>
    </xf>
    <xf numFmtId="38" fontId="22" fillId="0" borderId="2" xfId="2" applyNumberFormat="1" applyFont="1" applyFill="1" applyBorder="1"/>
    <xf numFmtId="164" fontId="22" fillId="0" borderId="0" xfId="2" applyNumberFormat="1" applyFont="1" applyFill="1" applyBorder="1" applyAlignment="1">
      <alignment horizontal="left"/>
    </xf>
    <xf numFmtId="38" fontId="22" fillId="0" borderId="0" xfId="2" applyNumberFormat="1" applyFont="1" applyFill="1" applyBorder="1"/>
    <xf numFmtId="164" fontId="22" fillId="0" borderId="0" xfId="2" applyNumberFormat="1" applyFont="1" applyFill="1" applyBorder="1"/>
    <xf numFmtId="164" fontId="22" fillId="0" borderId="0" xfId="2" applyNumberFormat="1" applyFont="1" applyFill="1" applyBorder="1" applyAlignment="1">
      <alignment horizontal="center"/>
    </xf>
    <xf numFmtId="0" fontId="18" fillId="0" borderId="0" xfId="0" applyFont="1" applyFill="1" applyBorder="1"/>
    <xf numFmtId="165" fontId="18" fillId="0" borderId="0" xfId="0" applyNumberFormat="1" applyFont="1" applyFill="1" applyBorder="1"/>
    <xf numFmtId="0" fontId="17" fillId="0" borderId="0" xfId="0" applyFont="1" applyFill="1" applyBorder="1" applyAlignment="1">
      <alignment horizontal="right"/>
    </xf>
    <xf numFmtId="165" fontId="17" fillId="0" borderId="0" xfId="0" applyNumberFormat="1" applyFont="1" applyFill="1" applyBorder="1"/>
    <xf numFmtId="9" fontId="18" fillId="0" borderId="0" xfId="1" applyFont="1"/>
    <xf numFmtId="9" fontId="25" fillId="0" borderId="0" xfId="1" applyFont="1"/>
    <xf numFmtId="0" fontId="25" fillId="0" borderId="0" xfId="0" applyFont="1"/>
    <xf numFmtId="0" fontId="25" fillId="6" borderId="0" xfId="0" applyFont="1" applyFill="1"/>
    <xf numFmtId="0" fontId="25" fillId="7" borderId="0" xfId="0" applyFont="1" applyFill="1"/>
    <xf numFmtId="0" fontId="25" fillId="5" borderId="0" xfId="0" applyFont="1" applyFill="1" applyAlignment="1">
      <alignment horizontal="center"/>
    </xf>
    <xf numFmtId="0" fontId="25" fillId="0" borderId="0" xfId="0" applyFont="1" applyAlignment="1"/>
    <xf numFmtId="0" fontId="26" fillId="0" borderId="0" xfId="0" applyFont="1"/>
    <xf numFmtId="1" fontId="18" fillId="8" borderId="0" xfId="0" applyNumberFormat="1" applyFont="1" applyFill="1"/>
    <xf numFmtId="0" fontId="17" fillId="0" borderId="0" xfId="0" applyFont="1" applyAlignment="1">
      <alignment horizontal="center"/>
    </xf>
    <xf numFmtId="0" fontId="18" fillId="8" borderId="0" xfId="0" applyFont="1" applyFill="1"/>
    <xf numFmtId="0" fontId="17" fillId="5" borderId="0" xfId="0" applyFont="1" applyFill="1" applyAlignment="1">
      <alignment horizontal="center"/>
    </xf>
    <xf numFmtId="1" fontId="0" fillId="0" borderId="0" xfId="0" applyNumberFormat="1"/>
    <xf numFmtId="0" fontId="0" fillId="6" borderId="0" xfId="0" applyFill="1"/>
    <xf numFmtId="1" fontId="0" fillId="6" borderId="0" xfId="0" applyNumberFormat="1" applyFill="1"/>
    <xf numFmtId="0" fontId="18" fillId="6" borderId="0" xfId="0" applyFont="1" applyFill="1"/>
    <xf numFmtId="1" fontId="18" fillId="6" borderId="0" xfId="0" applyNumberFormat="1" applyFont="1" applyFill="1"/>
    <xf numFmtId="1" fontId="18" fillId="6" borderId="0" xfId="0" applyNumberFormat="1" applyFont="1" applyFill="1" applyAlignment="1">
      <alignment horizontal="center"/>
    </xf>
    <xf numFmtId="1" fontId="18" fillId="0" borderId="0" xfId="0" applyNumberFormat="1" applyFont="1" applyAlignment="1">
      <alignment horizontal="center"/>
    </xf>
    <xf numFmtId="1" fontId="17" fillId="6" borderId="0" xfId="0" applyNumberFormat="1" applyFont="1" applyFill="1" applyAlignment="1">
      <alignment horizontal="center"/>
    </xf>
    <xf numFmtId="1" fontId="17" fillId="5" borderId="0" xfId="0" applyNumberFormat="1" applyFont="1" applyFill="1" applyAlignment="1">
      <alignment horizontal="center"/>
    </xf>
    <xf numFmtId="0" fontId="0" fillId="0" borderId="5" xfId="0" applyBorder="1"/>
    <xf numFmtId="0" fontId="18" fillId="0" borderId="5" xfId="0" applyFont="1" applyBorder="1" applyAlignment="1">
      <alignment horizontal="right"/>
    </xf>
    <xf numFmtId="0" fontId="18" fillId="0" borderId="5" xfId="0" applyFont="1" applyBorder="1"/>
    <xf numFmtId="38" fontId="18" fillId="0" borderId="5" xfId="0" applyNumberFormat="1" applyFont="1" applyFill="1" applyBorder="1"/>
    <xf numFmtId="0" fontId="17" fillId="0" borderId="5" xfId="0" applyFont="1" applyFill="1" applyBorder="1"/>
    <xf numFmtId="0" fontId="18" fillId="0" borderId="0" xfId="0" applyFont="1" applyAlignment="1">
      <alignment horizontal="right"/>
    </xf>
    <xf numFmtId="38" fontId="18" fillId="0" borderId="0" xfId="0" applyNumberFormat="1" applyFont="1" applyFill="1"/>
    <xf numFmtId="0" fontId="17" fillId="0" borderId="0" xfId="0" applyFont="1" applyFill="1"/>
    <xf numFmtId="0" fontId="17" fillId="0" borderId="0" xfId="0" applyFont="1" applyFill="1" applyAlignment="1">
      <alignment horizontal="center" wrapText="1"/>
    </xf>
    <xf numFmtId="0" fontId="18" fillId="0" borderId="4" xfId="0" applyFont="1" applyBorder="1"/>
    <xf numFmtId="164" fontId="6" fillId="0" borderId="6" xfId="2" applyNumberFormat="1" applyFont="1" applyFill="1" applyBorder="1" applyAlignment="1">
      <alignment horizontal="left"/>
    </xf>
    <xf numFmtId="0" fontId="27" fillId="0" borderId="1" xfId="0" applyFont="1" applyFill="1" applyBorder="1"/>
    <xf numFmtId="38" fontId="6" fillId="5" borderId="1" xfId="2" applyNumberFormat="1" applyFont="1" applyFill="1" applyBorder="1"/>
    <xf numFmtId="38" fontId="6" fillId="5" borderId="7" xfId="2" applyNumberFormat="1" applyFont="1" applyFill="1" applyBorder="1"/>
    <xf numFmtId="166" fontId="18" fillId="0" borderId="4" xfId="7" applyNumberFormat="1" applyFont="1" applyBorder="1"/>
    <xf numFmtId="166" fontId="18" fillId="0" borderId="0" xfId="7" applyNumberFormat="1" applyFont="1"/>
    <xf numFmtId="166" fontId="18" fillId="0" borderId="4" xfId="7" applyNumberFormat="1" applyFont="1" applyFill="1" applyBorder="1"/>
    <xf numFmtId="166" fontId="18" fillId="0" borderId="0" xfId="0" applyNumberFormat="1" applyFont="1"/>
    <xf numFmtId="166" fontId="18" fillId="0" borderId="4" xfId="7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4" borderId="12" xfId="0" applyFont="1" applyFill="1" applyBorder="1"/>
    <xf numFmtId="0" fontId="19" fillId="5" borderId="11" xfId="0" applyFont="1" applyFill="1" applyBorder="1"/>
    <xf numFmtId="0" fontId="28" fillId="0" borderId="0" xfId="0" applyFont="1"/>
    <xf numFmtId="166" fontId="18" fillId="6" borderId="0" xfId="7" applyNumberFormat="1" applyFont="1" applyFill="1"/>
    <xf numFmtId="0" fontId="29" fillId="0" borderId="0" xfId="0" applyFont="1" applyAlignment="1">
      <alignment horizontal="center"/>
    </xf>
    <xf numFmtId="38" fontId="6" fillId="0" borderId="0" xfId="2" applyNumberFormat="1" applyFont="1" applyFill="1" applyBorder="1"/>
    <xf numFmtId="38" fontId="7" fillId="5" borderId="0" xfId="2" applyNumberFormat="1" applyFont="1" applyFill="1" applyBorder="1"/>
    <xf numFmtId="38" fontId="7" fillId="9" borderId="0" xfId="2" applyNumberFormat="1" applyFont="1" applyFill="1" applyBorder="1"/>
    <xf numFmtId="10" fontId="18" fillId="0" borderId="0" xfId="0" applyNumberFormat="1" applyFont="1"/>
    <xf numFmtId="0" fontId="18" fillId="4" borderId="0" xfId="0" applyFont="1" applyFill="1" applyBorder="1"/>
    <xf numFmtId="0" fontId="17" fillId="10" borderId="0" xfId="0" applyFont="1" applyFill="1"/>
    <xf numFmtId="38" fontId="18" fillId="10" borderId="0" xfId="0" applyNumberFormat="1" applyFont="1" applyFill="1"/>
    <xf numFmtId="38" fontId="19" fillId="10" borderId="0" xfId="0" applyNumberFormat="1" applyFont="1" applyFill="1"/>
    <xf numFmtId="0" fontId="18" fillId="10" borderId="11" xfId="0" applyFont="1" applyFill="1" applyBorder="1"/>
    <xf numFmtId="164" fontId="7" fillId="10" borderId="0" xfId="2" applyNumberFormat="1" applyFont="1" applyFill="1" applyAlignment="1">
      <alignment horizontal="left"/>
    </xf>
    <xf numFmtId="38" fontId="7" fillId="10" borderId="0" xfId="2" applyNumberFormat="1" applyFont="1" applyFill="1" applyBorder="1"/>
    <xf numFmtId="0" fontId="30" fillId="0" borderId="0" xfId="6" applyFont="1"/>
    <xf numFmtId="0" fontId="30" fillId="0" borderId="0" xfId="6" applyFont="1" applyAlignment="1">
      <alignment wrapText="1"/>
    </xf>
    <xf numFmtId="0" fontId="32" fillId="0" borderId="0" xfId="6" applyFont="1"/>
    <xf numFmtId="0" fontId="34" fillId="0" borderId="0" xfId="6" applyFont="1" applyAlignment="1">
      <alignment horizontal="right" wrapText="1"/>
    </xf>
    <xf numFmtId="3" fontId="30" fillId="0" borderId="0" xfId="6" applyNumberFormat="1" applyFont="1"/>
    <xf numFmtId="38" fontId="30" fillId="0" borderId="0" xfId="6" applyNumberFormat="1" applyFont="1" applyAlignment="1">
      <alignment horizontal="right" wrapText="1"/>
    </xf>
    <xf numFmtId="0" fontId="30" fillId="0" borderId="0" xfId="6" applyFont="1" applyBorder="1"/>
    <xf numFmtId="0" fontId="34" fillId="0" borderId="0" xfId="6" applyFont="1" applyBorder="1" applyAlignment="1">
      <alignment horizontal="right" wrapText="1"/>
    </xf>
    <xf numFmtId="0" fontId="30" fillId="0" borderId="0" xfId="6" applyFont="1" applyBorder="1" applyAlignment="1">
      <alignment wrapText="1"/>
    </xf>
    <xf numFmtId="3" fontId="30" fillId="0" borderId="0" xfId="6" applyNumberFormat="1" applyFont="1" applyBorder="1"/>
    <xf numFmtId="38" fontId="30" fillId="0" borderId="0" xfId="6" applyNumberFormat="1" applyFont="1" applyBorder="1" applyAlignment="1">
      <alignment horizontal="right" wrapText="1"/>
    </xf>
    <xf numFmtId="0" fontId="34" fillId="5" borderId="0" xfId="6" applyFont="1" applyFill="1" applyBorder="1" applyAlignment="1">
      <alignment horizontal="right" wrapText="1"/>
    </xf>
    <xf numFmtId="0" fontId="30" fillId="5" borderId="0" xfId="6" applyFont="1" applyFill="1" applyBorder="1" applyAlignment="1">
      <alignment wrapText="1"/>
    </xf>
    <xf numFmtId="0" fontId="34" fillId="5" borderId="0" xfId="6" applyFont="1" applyFill="1" applyBorder="1"/>
    <xf numFmtId="0" fontId="34" fillId="0" borderId="0" xfId="6" applyFont="1" applyFill="1" applyBorder="1"/>
    <xf numFmtId="0" fontId="30" fillId="11" borderId="0" xfId="6" applyFont="1" applyFill="1" applyBorder="1"/>
    <xf numFmtId="0" fontId="34" fillId="5" borderId="5" xfId="6" applyFont="1" applyFill="1" applyBorder="1" applyAlignment="1">
      <alignment horizontal="right" wrapText="1"/>
    </xf>
    <xf numFmtId="3" fontId="30" fillId="0" borderId="5" xfId="6" applyNumberFormat="1" applyFont="1" applyBorder="1"/>
    <xf numFmtId="1" fontId="30" fillId="0" borderId="0" xfId="6" applyNumberFormat="1" applyFont="1" applyBorder="1"/>
    <xf numFmtId="1" fontId="30" fillId="0" borderId="15" xfId="6" applyNumberFormat="1" applyFont="1" applyBorder="1"/>
    <xf numFmtId="1" fontId="30" fillId="0" borderId="16" xfId="6" applyNumberFormat="1" applyFont="1" applyBorder="1"/>
    <xf numFmtId="1" fontId="30" fillId="0" borderId="17" xfId="6" applyNumberFormat="1" applyFont="1" applyBorder="1"/>
    <xf numFmtId="1" fontId="30" fillId="0" borderId="4" xfId="6" applyNumberFormat="1" applyFont="1" applyBorder="1"/>
    <xf numFmtId="1" fontId="30" fillId="0" borderId="18" xfId="6" applyNumberFormat="1" applyFont="1" applyBorder="1"/>
    <xf numFmtId="0" fontId="30" fillId="0" borderId="6" xfId="6" applyFont="1" applyBorder="1"/>
    <xf numFmtId="0" fontId="30" fillId="0" borderId="1" xfId="6" applyFont="1" applyBorder="1"/>
    <xf numFmtId="0" fontId="30" fillId="0" borderId="7" xfId="6" applyFont="1" applyBorder="1"/>
    <xf numFmtId="1" fontId="30" fillId="0" borderId="6" xfId="6" applyNumberFormat="1" applyFont="1" applyBorder="1"/>
    <xf numFmtId="1" fontId="30" fillId="0" borderId="1" xfId="6" applyNumberFormat="1" applyFont="1" applyBorder="1"/>
    <xf numFmtId="1" fontId="30" fillId="0" borderId="7" xfId="6" applyNumberFormat="1" applyFont="1" applyBorder="1"/>
    <xf numFmtId="1" fontId="30" fillId="0" borderId="13" xfId="6" applyNumberFormat="1" applyFont="1" applyBorder="1"/>
    <xf numFmtId="1" fontId="30" fillId="0" borderId="2" xfId="6" applyNumberFormat="1" applyFont="1" applyBorder="1"/>
    <xf numFmtId="1" fontId="30" fillId="0" borderId="14" xfId="6" applyNumberFormat="1" applyFont="1" applyBorder="1"/>
    <xf numFmtId="0" fontId="34" fillId="5" borderId="19" xfId="6" applyFont="1" applyFill="1" applyBorder="1" applyAlignment="1">
      <alignment horizontal="right" wrapText="1"/>
    </xf>
    <xf numFmtId="0" fontId="34" fillId="5" borderId="0" xfId="6" applyFont="1" applyFill="1" applyAlignment="1">
      <alignment horizontal="right" wrapText="1"/>
    </xf>
    <xf numFmtId="0" fontId="30" fillId="11" borderId="0" xfId="6" applyFont="1" applyFill="1"/>
    <xf numFmtId="0" fontId="30" fillId="0" borderId="5" xfId="6" applyFont="1" applyBorder="1" applyAlignment="1">
      <alignment horizontal="right" wrapText="1"/>
    </xf>
    <xf numFmtId="0" fontId="30" fillId="0" borderId="0" xfId="6" applyFont="1" applyAlignment="1">
      <alignment horizontal="right" wrapText="1"/>
    </xf>
    <xf numFmtId="0" fontId="34" fillId="5" borderId="20" xfId="6" applyFont="1" applyFill="1" applyBorder="1" applyAlignment="1">
      <alignment horizontal="right" wrapText="1"/>
    </xf>
    <xf numFmtId="0" fontId="30" fillId="0" borderId="20" xfId="6" applyFont="1" applyBorder="1" applyAlignment="1">
      <alignment horizontal="right" wrapText="1"/>
    </xf>
    <xf numFmtId="3" fontId="30" fillId="0" borderId="20" xfId="6" applyNumberFormat="1" applyFont="1" applyBorder="1"/>
    <xf numFmtId="0" fontId="34" fillId="5" borderId="6" xfId="6" applyFont="1" applyFill="1" applyBorder="1" applyAlignment="1">
      <alignment horizontal="right" wrapText="1"/>
    </xf>
    <xf numFmtId="0" fontId="30" fillId="0" borderId="1" xfId="6" applyFont="1" applyBorder="1" applyAlignment="1">
      <alignment horizontal="right" wrapText="1"/>
    </xf>
    <xf numFmtId="3" fontId="30" fillId="0" borderId="1" xfId="6" applyNumberFormat="1" applyFont="1" applyBorder="1"/>
    <xf numFmtId="3" fontId="30" fillId="0" borderId="7" xfId="6" applyNumberFormat="1" applyFont="1" applyBorder="1"/>
    <xf numFmtId="1" fontId="30" fillId="0" borderId="0" xfId="6" applyNumberFormat="1" applyFont="1"/>
    <xf numFmtId="165" fontId="30" fillId="0" borderId="0" xfId="1" applyNumberFormat="1" applyFont="1"/>
    <xf numFmtId="9" fontId="30" fillId="0" borderId="0" xfId="1" applyFont="1" applyBorder="1"/>
    <xf numFmtId="0" fontId="35" fillId="0" borderId="0" xfId="0" applyFont="1"/>
    <xf numFmtId="0" fontId="35" fillId="11" borderId="0" xfId="0" applyFont="1" applyFill="1"/>
    <xf numFmtId="0" fontId="35" fillId="0" borderId="0" xfId="0" applyFont="1" applyAlignment="1">
      <alignment wrapText="1"/>
    </xf>
    <xf numFmtId="0" fontId="35" fillId="0" borderId="0" xfId="0" applyFont="1" applyFill="1"/>
    <xf numFmtId="165" fontId="35" fillId="0" borderId="0" xfId="1" applyNumberFormat="1" applyFont="1"/>
    <xf numFmtId="1" fontId="35" fillId="0" borderId="0" xfId="0" applyNumberFormat="1" applyFont="1"/>
    <xf numFmtId="0" fontId="35" fillId="0" borderId="0" xfId="0" applyFont="1" applyAlignment="1"/>
    <xf numFmtId="0" fontId="34" fillId="5" borderId="21" xfId="6" applyFont="1" applyFill="1" applyBorder="1" applyAlignment="1">
      <alignment horizontal="right" wrapText="1"/>
    </xf>
    <xf numFmtId="0" fontId="18" fillId="0" borderId="0" xfId="0" applyFont="1" applyAlignment="1">
      <alignment horizontal="left" wrapText="1"/>
    </xf>
    <xf numFmtId="0" fontId="31" fillId="0" borderId="0" xfId="6" applyFont="1" applyAlignment="1">
      <alignment horizontal="center"/>
    </xf>
  </cellXfs>
  <cellStyles count="8">
    <cellStyle name="Comma 2" xfId="5"/>
    <cellStyle name="Currency" xfId="7" builtinId="4"/>
    <cellStyle name="Currency 2" xfId="3"/>
    <cellStyle name="Currency 3" xfId="4"/>
    <cellStyle name="Normal" xfId="0" builtinId="0"/>
    <cellStyle name="Normal 2" xfId="2"/>
    <cellStyle name="Normal 3" xfId="6"/>
    <cellStyle name="Percent" xfId="1" builtinId="5"/>
  </cellStyles>
  <dxfs count="0"/>
  <tableStyles count="0" defaultTableStyle="TableStyleMedium2" defaultPivotStyle="PivotStyleMedium9"/>
  <colors>
    <mruColors>
      <color rgb="FFE20000"/>
      <color rgb="FFF6CD38"/>
      <color rgb="FFFF1111"/>
      <color rgb="FFF6F604"/>
      <color rgb="FFFF5050"/>
      <color rgb="FFFFFF66"/>
      <color rgb="FFC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en-US" sz="1500" b="1">
                <a:latin typeface="Georgia" panose="02040502050405020303" pitchFamily="18" charset="0"/>
              </a:rPr>
              <a:t>10</a:t>
            </a:r>
            <a:r>
              <a:rPr lang="en-US" sz="1500" b="1" baseline="0">
                <a:latin typeface="Georgia" panose="02040502050405020303" pitchFamily="18" charset="0"/>
              </a:rPr>
              <a:t> Year Trend Analysis </a:t>
            </a:r>
            <a:endParaRPr lang="en-US" sz="1500" b="1">
              <a:latin typeface="Georgia" panose="02040502050405020303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'Graphs '!$A$4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'Graphs '!$B$3:$L$3</c:f>
              <c:strCache>
                <c:ptCount val="11"/>
                <c:pt idx="0">
                  <c:v>
2007</c:v>
                </c:pt>
                <c:pt idx="1">
                  <c:v>
2008</c:v>
                </c:pt>
                <c:pt idx="2">
                  <c:v> 
2009</c:v>
                </c:pt>
                <c:pt idx="3">
                  <c:v>
2010</c:v>
                </c:pt>
                <c:pt idx="4">
                  <c:v>  
2011</c:v>
                </c:pt>
                <c:pt idx="5">
                  <c:v>
2012</c:v>
                </c:pt>
                <c:pt idx="6">
                  <c:v>  
2013</c:v>
                </c:pt>
                <c:pt idx="7">
                  <c:v>
2014</c:v>
                </c:pt>
                <c:pt idx="8">
                  <c:v> 
2015</c:v>
                </c:pt>
                <c:pt idx="9">
                  <c:v>
2016</c:v>
                </c:pt>
                <c:pt idx="10">
                  <c:v>  
2017</c:v>
                </c:pt>
              </c:strCache>
            </c:strRef>
          </c:cat>
          <c:val>
            <c:numRef>
              <c:f>'Graphs '!$B$4:$L$4</c:f>
              <c:numCache>
                <c:formatCode>#,##0_);[Red]\(#,##0\)</c:formatCode>
                <c:ptCount val="11"/>
                <c:pt idx="0">
                  <c:v>2523525000</c:v>
                </c:pt>
                <c:pt idx="1">
                  <c:v>1902376000</c:v>
                </c:pt>
                <c:pt idx="2">
                  <c:v>1321283000</c:v>
                </c:pt>
                <c:pt idx="3">
                  <c:v>3129147119.5239997</c:v>
                </c:pt>
                <c:pt idx="4">
                  <c:v>3922665000</c:v>
                </c:pt>
                <c:pt idx="5">
                  <c:v>3233714000</c:v>
                </c:pt>
                <c:pt idx="6">
                  <c:v>3861467000</c:v>
                </c:pt>
                <c:pt idx="7">
                  <c:v>4760460000</c:v>
                </c:pt>
                <c:pt idx="8">
                  <c:v>4242714000</c:v>
                </c:pt>
                <c:pt idx="9">
                  <c:v>4336854000</c:v>
                </c:pt>
                <c:pt idx="10">
                  <c:v>5268465000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AD-42E7-83F4-E5065D3E3BDA}"/>
            </c:ext>
          </c:extLst>
        </c:ser>
        <c:ser>
          <c:idx val="3"/>
          <c:order val="1"/>
          <c:tx>
            <c:strRef>
              <c:f>'Graphs '!$A$5</c:f>
              <c:strCache>
                <c:ptCount val="1"/>
                <c:pt idx="0">
                  <c:v>Total Expense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'Graphs '!$B$3:$L$3</c:f>
              <c:strCache>
                <c:ptCount val="11"/>
                <c:pt idx="0">
                  <c:v>
2007</c:v>
                </c:pt>
                <c:pt idx="1">
                  <c:v>
2008</c:v>
                </c:pt>
                <c:pt idx="2">
                  <c:v> 
2009</c:v>
                </c:pt>
                <c:pt idx="3">
                  <c:v>
2010</c:v>
                </c:pt>
                <c:pt idx="4">
                  <c:v>  
2011</c:v>
                </c:pt>
                <c:pt idx="5">
                  <c:v>
2012</c:v>
                </c:pt>
                <c:pt idx="6">
                  <c:v>  
2013</c:v>
                </c:pt>
                <c:pt idx="7">
                  <c:v>
2014</c:v>
                </c:pt>
                <c:pt idx="8">
                  <c:v> 
2015</c:v>
                </c:pt>
                <c:pt idx="9">
                  <c:v>
2016</c:v>
                </c:pt>
                <c:pt idx="10">
                  <c:v>  
2017</c:v>
                </c:pt>
              </c:strCache>
            </c:strRef>
          </c:cat>
          <c:val>
            <c:numRef>
              <c:f>'Graphs '!$B$5:$L$5</c:f>
              <c:numCache>
                <c:formatCode>#,##0_);[Red]\(#,##0\)</c:formatCode>
                <c:ptCount val="11"/>
                <c:pt idx="0">
                  <c:v>1849344000</c:v>
                </c:pt>
                <c:pt idx="1">
                  <c:v>1933529000</c:v>
                </c:pt>
                <c:pt idx="2">
                  <c:v>2191669000</c:v>
                </c:pt>
                <c:pt idx="3">
                  <c:v>2698272178</c:v>
                </c:pt>
                <c:pt idx="4">
                  <c:v>2930739000</c:v>
                </c:pt>
                <c:pt idx="5">
                  <c:v>3165396000</c:v>
                </c:pt>
                <c:pt idx="6">
                  <c:v>3273784000</c:v>
                </c:pt>
                <c:pt idx="7">
                  <c:v>3682731000</c:v>
                </c:pt>
                <c:pt idx="8">
                  <c:v>3980355000</c:v>
                </c:pt>
                <c:pt idx="9">
                  <c:v>4179379000</c:v>
                </c:pt>
                <c:pt idx="10">
                  <c:v>4370669000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AD-42E7-83F4-E5065D3E3BDA}"/>
            </c:ext>
          </c:extLst>
        </c:ser>
        <c:ser>
          <c:idx val="0"/>
          <c:order val="2"/>
          <c:tx>
            <c:strRef>
              <c:f>'Graphs '!$A$4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'Graphs '!$B$3:$L$3</c:f>
              <c:strCache>
                <c:ptCount val="11"/>
                <c:pt idx="0">
                  <c:v>
2007</c:v>
                </c:pt>
                <c:pt idx="1">
                  <c:v>
2008</c:v>
                </c:pt>
                <c:pt idx="2">
                  <c:v> 
2009</c:v>
                </c:pt>
                <c:pt idx="3">
                  <c:v>
2010</c:v>
                </c:pt>
                <c:pt idx="4">
                  <c:v>  
2011</c:v>
                </c:pt>
                <c:pt idx="5">
                  <c:v>
2012</c:v>
                </c:pt>
                <c:pt idx="6">
                  <c:v>  
2013</c:v>
                </c:pt>
                <c:pt idx="7">
                  <c:v>
2014</c:v>
                </c:pt>
                <c:pt idx="8">
                  <c:v> 
2015</c:v>
                </c:pt>
                <c:pt idx="9">
                  <c:v>
2016</c:v>
                </c:pt>
                <c:pt idx="10">
                  <c:v>  
2017</c:v>
                </c:pt>
              </c:strCache>
            </c:strRef>
          </c:cat>
          <c:val>
            <c:numRef>
              <c:f>'Graphs '!$B$4:$L$4</c:f>
              <c:numCache>
                <c:formatCode>#,##0_);[Red]\(#,##0\)</c:formatCode>
                <c:ptCount val="11"/>
                <c:pt idx="0">
                  <c:v>2523525000</c:v>
                </c:pt>
                <c:pt idx="1">
                  <c:v>1902376000</c:v>
                </c:pt>
                <c:pt idx="2">
                  <c:v>1321283000</c:v>
                </c:pt>
                <c:pt idx="3">
                  <c:v>3129147119.5239997</c:v>
                </c:pt>
                <c:pt idx="4">
                  <c:v>3922665000</c:v>
                </c:pt>
                <c:pt idx="5">
                  <c:v>3233714000</c:v>
                </c:pt>
                <c:pt idx="6">
                  <c:v>3861467000</c:v>
                </c:pt>
                <c:pt idx="7">
                  <c:v>4760460000</c:v>
                </c:pt>
                <c:pt idx="8">
                  <c:v>4242714000</c:v>
                </c:pt>
                <c:pt idx="9">
                  <c:v>4336854000</c:v>
                </c:pt>
                <c:pt idx="10">
                  <c:v>5268465000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3AD-42E7-83F4-E5065D3E3BDA}"/>
            </c:ext>
          </c:extLst>
        </c:ser>
        <c:ser>
          <c:idx val="1"/>
          <c:order val="3"/>
          <c:tx>
            <c:strRef>
              <c:f>'Graphs '!$A$5</c:f>
              <c:strCache>
                <c:ptCount val="1"/>
                <c:pt idx="0">
                  <c:v>Total Expense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'Graphs '!$B$3:$L$3</c:f>
              <c:strCache>
                <c:ptCount val="11"/>
                <c:pt idx="0">
                  <c:v>
2007</c:v>
                </c:pt>
                <c:pt idx="1">
                  <c:v>
2008</c:v>
                </c:pt>
                <c:pt idx="2">
                  <c:v> 
2009</c:v>
                </c:pt>
                <c:pt idx="3">
                  <c:v>
2010</c:v>
                </c:pt>
                <c:pt idx="4">
                  <c:v>  
2011</c:v>
                </c:pt>
                <c:pt idx="5">
                  <c:v>
2012</c:v>
                </c:pt>
                <c:pt idx="6">
                  <c:v>  
2013</c:v>
                </c:pt>
                <c:pt idx="7">
                  <c:v>
2014</c:v>
                </c:pt>
                <c:pt idx="8">
                  <c:v> 
2015</c:v>
                </c:pt>
                <c:pt idx="9">
                  <c:v>
2016</c:v>
                </c:pt>
                <c:pt idx="10">
                  <c:v>  
2017</c:v>
                </c:pt>
              </c:strCache>
            </c:strRef>
          </c:cat>
          <c:val>
            <c:numRef>
              <c:f>'Graphs '!$B$5:$L$5</c:f>
              <c:numCache>
                <c:formatCode>#,##0_);[Red]\(#,##0\)</c:formatCode>
                <c:ptCount val="11"/>
                <c:pt idx="0">
                  <c:v>1849344000</c:v>
                </c:pt>
                <c:pt idx="1">
                  <c:v>1933529000</c:v>
                </c:pt>
                <c:pt idx="2">
                  <c:v>2191669000</c:v>
                </c:pt>
                <c:pt idx="3">
                  <c:v>2698272178</c:v>
                </c:pt>
                <c:pt idx="4">
                  <c:v>2930739000</c:v>
                </c:pt>
                <c:pt idx="5">
                  <c:v>3165396000</c:v>
                </c:pt>
                <c:pt idx="6">
                  <c:v>3273784000</c:v>
                </c:pt>
                <c:pt idx="7">
                  <c:v>3682731000</c:v>
                </c:pt>
                <c:pt idx="8">
                  <c:v>3980355000</c:v>
                </c:pt>
                <c:pt idx="9">
                  <c:v>4179379000</c:v>
                </c:pt>
                <c:pt idx="10">
                  <c:v>4370669000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3AD-42E7-83F4-E5065D3E3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067376"/>
        <c:axId val="1063072272"/>
      </c:lineChart>
      <c:catAx>
        <c:axId val="106306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063072272"/>
        <c:crosses val="autoZero"/>
        <c:auto val="1"/>
        <c:lblAlgn val="ctr"/>
        <c:lblOffset val="100"/>
        <c:noMultiLvlLbl val="0"/>
      </c:catAx>
      <c:valAx>
        <c:axId val="106307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063067376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1.0670821055343539E-2"/>
                <c:y val="0.35617743588238238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en-US" b="1"/>
              <a:t>2007 - 2022 Expense</a:t>
            </a:r>
            <a:r>
              <a:rPr lang="en-US" b="1" baseline="0"/>
              <a:t> Forecast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'!$F$79</c:f>
              <c:strCache>
                <c:ptCount val="1"/>
                <c:pt idx="0">
                  <c:v>Total Expense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rgbClr val="C00000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FF5757"/>
              </a:solidFill>
              <a:ln>
                <a:solidFill>
                  <a:srgbClr val="FF5757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37C-419C-B172-AC07E3DF5FD9}"/>
              </c:ext>
            </c:extLst>
          </c:dPt>
          <c:dPt>
            <c:idx val="12"/>
            <c:invertIfNegative val="0"/>
            <c:bubble3D val="0"/>
            <c:spPr>
              <a:solidFill>
                <a:srgbClr val="FF5757"/>
              </a:solidFill>
              <a:ln>
                <a:solidFill>
                  <a:srgbClr val="FF5757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37C-419C-B172-AC07E3DF5FD9}"/>
              </c:ext>
            </c:extLst>
          </c:dPt>
          <c:dPt>
            <c:idx val="13"/>
            <c:invertIfNegative val="0"/>
            <c:bubble3D val="0"/>
            <c:spPr>
              <a:solidFill>
                <a:srgbClr val="FF5757"/>
              </a:solidFill>
              <a:ln>
                <a:solidFill>
                  <a:srgbClr val="FF5757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37C-419C-B172-AC07E3DF5FD9}"/>
              </c:ext>
            </c:extLst>
          </c:dPt>
          <c:dPt>
            <c:idx val="14"/>
            <c:invertIfNegative val="0"/>
            <c:bubble3D val="0"/>
            <c:spPr>
              <a:solidFill>
                <a:srgbClr val="FF5757"/>
              </a:solidFill>
              <a:ln>
                <a:solidFill>
                  <a:srgbClr val="FF5757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37C-419C-B172-AC07E3DF5FD9}"/>
              </c:ext>
            </c:extLst>
          </c:dPt>
          <c:dPt>
            <c:idx val="15"/>
            <c:invertIfNegative val="0"/>
            <c:bubble3D val="0"/>
            <c:spPr>
              <a:solidFill>
                <a:srgbClr val="FF5757"/>
              </a:solidFill>
              <a:ln>
                <a:solidFill>
                  <a:srgbClr val="FF5757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37C-419C-B172-AC07E3DF5FD9}"/>
              </c:ext>
            </c:extLst>
          </c:dPt>
          <c:cat>
            <c:numRef>
              <c:f>'Graphs '!$G$77:$V$77</c:f>
              <c:numCache>
                <c:formatCode>0</c:formatCod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numCache>
            </c:numRef>
          </c:cat>
          <c:val>
            <c:numRef>
              <c:f>'Graphs '!$G$79:$V$79</c:f>
              <c:numCache>
                <c:formatCode>General</c:formatCode>
                <c:ptCount val="16"/>
                <c:pt idx="0">
                  <c:v>1849344000</c:v>
                </c:pt>
                <c:pt idx="1">
                  <c:v>1933529000</c:v>
                </c:pt>
                <c:pt idx="2">
                  <c:v>2191669000</c:v>
                </c:pt>
                <c:pt idx="3">
                  <c:v>2698272178</c:v>
                </c:pt>
                <c:pt idx="4">
                  <c:v>2930739000</c:v>
                </c:pt>
                <c:pt idx="5">
                  <c:v>3165396000</c:v>
                </c:pt>
                <c:pt idx="6">
                  <c:v>3273784000</c:v>
                </c:pt>
                <c:pt idx="7">
                  <c:v>3682731000</c:v>
                </c:pt>
                <c:pt idx="8">
                  <c:v>3980355000</c:v>
                </c:pt>
                <c:pt idx="9">
                  <c:v>4179379000</c:v>
                </c:pt>
                <c:pt idx="10">
                  <c:v>4370669000</c:v>
                </c:pt>
                <c:pt idx="11" formatCode="0">
                  <c:v>4710608596.7636108</c:v>
                </c:pt>
                <c:pt idx="12" formatCode="0">
                  <c:v>4976681738.9818115</c:v>
                </c:pt>
                <c:pt idx="13" formatCode="0">
                  <c:v>5242754881.2000122</c:v>
                </c:pt>
                <c:pt idx="14" formatCode="0">
                  <c:v>5508828023.4181519</c:v>
                </c:pt>
                <c:pt idx="15" formatCode="0">
                  <c:v>5774901165.6363525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637C-419C-B172-AC07E3DF5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9578352"/>
        <c:axId val="889586512"/>
      </c:barChart>
      <c:catAx>
        <c:axId val="88957835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889586512"/>
        <c:crosses val="autoZero"/>
        <c:auto val="1"/>
        <c:lblAlgn val="ctr"/>
        <c:lblOffset val="100"/>
        <c:noMultiLvlLbl val="0"/>
      </c:catAx>
      <c:valAx>
        <c:axId val="88958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/>
                  <a:t>Millions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889578352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en-US" b="1"/>
              <a:t>2007 - 2022</a:t>
            </a:r>
            <a:r>
              <a:rPr lang="en-US" b="1" baseline="0"/>
              <a:t> </a:t>
            </a:r>
            <a:r>
              <a:rPr lang="en-US" b="1"/>
              <a:t>Profit Forec</a:t>
            </a:r>
            <a:r>
              <a:rPr lang="en-US" b="1" baseline="0"/>
              <a:t>ast Trendline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'!$F$80</c:f>
              <c:strCache>
                <c:ptCount val="1"/>
                <c:pt idx="0">
                  <c:v>Change in NA 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1"/>
            <c:marker>
              <c:symbol val="none"/>
            </c:marker>
            <c:bubble3D val="0"/>
            <c:spPr>
              <a:ln w="28575" cap="rnd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83A-43C2-AFD8-488F8DBFC219}"/>
              </c:ext>
            </c:extLst>
          </c:dPt>
          <c:dPt>
            <c:idx val="12"/>
            <c:marker>
              <c:symbol val="none"/>
            </c:marker>
            <c:bubble3D val="0"/>
            <c:spPr>
              <a:ln w="28575" cap="rnd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83A-43C2-AFD8-488F8DBFC219}"/>
              </c:ext>
            </c:extLst>
          </c:dPt>
          <c:dPt>
            <c:idx val="13"/>
            <c:marker>
              <c:symbol val="none"/>
            </c:marker>
            <c:bubble3D val="0"/>
            <c:spPr>
              <a:ln w="28575" cap="rnd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83A-43C2-AFD8-488F8DBFC219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28575" cap="rnd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83A-43C2-AFD8-488F8DBFC219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28575" cap="rnd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83A-43C2-AFD8-488F8DBFC219}"/>
              </c:ext>
            </c:extLst>
          </c:dPt>
          <c:cat>
            <c:numRef>
              <c:f>'Graphs '!$G$77:$V$77</c:f>
              <c:numCache>
                <c:formatCode>0</c:formatCod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numCache>
            </c:numRef>
          </c:cat>
          <c:val>
            <c:numRef>
              <c:f>'Graphs '!$G$80:$V$80</c:f>
              <c:numCache>
                <c:formatCode>General</c:formatCode>
                <c:ptCount val="16"/>
                <c:pt idx="0">
                  <c:v>674181000</c:v>
                </c:pt>
                <c:pt idx="1">
                  <c:v>-31153000</c:v>
                </c:pt>
                <c:pt idx="2">
                  <c:v>-870386000</c:v>
                </c:pt>
                <c:pt idx="3">
                  <c:v>430874941.52399969</c:v>
                </c:pt>
                <c:pt idx="4">
                  <c:v>991926000</c:v>
                </c:pt>
                <c:pt idx="5">
                  <c:v>68318000</c:v>
                </c:pt>
                <c:pt idx="6">
                  <c:v>587683000</c:v>
                </c:pt>
                <c:pt idx="7">
                  <c:v>1077729000</c:v>
                </c:pt>
                <c:pt idx="8">
                  <c:v>262359000</c:v>
                </c:pt>
                <c:pt idx="9">
                  <c:v>157475000</c:v>
                </c:pt>
                <c:pt idx="10">
                  <c:v>897796000</c:v>
                </c:pt>
                <c:pt idx="11" formatCode="0">
                  <c:v>722088655.60865784</c:v>
                </c:pt>
                <c:pt idx="12" formatCode="0">
                  <c:v>778091265.76275635</c:v>
                </c:pt>
                <c:pt idx="13" formatCode="0">
                  <c:v>834093875.91687012</c:v>
                </c:pt>
                <c:pt idx="14" formatCode="0">
                  <c:v>890096486.07098389</c:v>
                </c:pt>
                <c:pt idx="15" formatCode="0">
                  <c:v>946099096.2250824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483A-43C2-AFD8-488F8DBFC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588688"/>
        <c:axId val="889588144"/>
      </c:lineChart>
      <c:catAx>
        <c:axId val="8895886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889588144"/>
        <c:crosses val="autoZero"/>
        <c:auto val="1"/>
        <c:lblAlgn val="ctr"/>
        <c:lblOffset val="100"/>
        <c:noMultiLvlLbl val="0"/>
      </c:catAx>
      <c:valAx>
        <c:axId val="8895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/>
                  <a:t>Millions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88958868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en-US" b="1"/>
              <a:t>2007 - 2022 Profit</a:t>
            </a:r>
            <a:r>
              <a:rPr lang="en-US" b="1" baseline="0"/>
              <a:t> Forecast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'!$F$80</c:f>
              <c:strCache>
                <c:ptCount val="1"/>
                <c:pt idx="0">
                  <c:v>Change in NA 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23F-4DAA-ADC8-962DD2EE6C60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23F-4DAA-ADC8-962DD2EE6C60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23F-4DAA-ADC8-962DD2EE6C60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23F-4DAA-ADC8-962DD2EE6C60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923F-4DAA-ADC8-962DD2EE6C60}"/>
              </c:ext>
            </c:extLst>
          </c:dPt>
          <c:cat>
            <c:numRef>
              <c:f>'Graphs '!$G$77:$V$77</c:f>
              <c:numCache>
                <c:formatCode>0</c:formatCod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numCache>
            </c:numRef>
          </c:cat>
          <c:val>
            <c:numRef>
              <c:f>'Graphs '!$G$80:$V$80</c:f>
              <c:numCache>
                <c:formatCode>General</c:formatCode>
                <c:ptCount val="16"/>
                <c:pt idx="0">
                  <c:v>674181000</c:v>
                </c:pt>
                <c:pt idx="1">
                  <c:v>-31153000</c:v>
                </c:pt>
                <c:pt idx="2">
                  <c:v>-870386000</c:v>
                </c:pt>
                <c:pt idx="3">
                  <c:v>430874941.52399969</c:v>
                </c:pt>
                <c:pt idx="4">
                  <c:v>991926000</c:v>
                </c:pt>
                <c:pt idx="5">
                  <c:v>68318000</c:v>
                </c:pt>
                <c:pt idx="6">
                  <c:v>587683000</c:v>
                </c:pt>
                <c:pt idx="7">
                  <c:v>1077729000</c:v>
                </c:pt>
                <c:pt idx="8">
                  <c:v>262359000</c:v>
                </c:pt>
                <c:pt idx="9">
                  <c:v>157475000</c:v>
                </c:pt>
                <c:pt idx="10">
                  <c:v>897796000</c:v>
                </c:pt>
                <c:pt idx="11" formatCode="0">
                  <c:v>722088655.60865784</c:v>
                </c:pt>
                <c:pt idx="12" formatCode="0">
                  <c:v>778091265.76275635</c:v>
                </c:pt>
                <c:pt idx="13" formatCode="0">
                  <c:v>834093875.91687012</c:v>
                </c:pt>
                <c:pt idx="14" formatCode="0">
                  <c:v>890096486.07098389</c:v>
                </c:pt>
                <c:pt idx="15" formatCode="0">
                  <c:v>946099096.2250824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923F-4DAA-ADC8-962DD2EE6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9581072"/>
        <c:axId val="889581616"/>
      </c:barChart>
      <c:catAx>
        <c:axId val="8895810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889581616"/>
        <c:crosses val="autoZero"/>
        <c:auto val="1"/>
        <c:lblAlgn val="ctr"/>
        <c:lblOffset val="100"/>
        <c:noMultiLvlLbl val="0"/>
      </c:catAx>
      <c:valAx>
        <c:axId val="8895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/>
                  <a:t>Millions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889581072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en-US"/>
              <a:t>Predicted 10 Year Revenue and Expense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'Graphs '!$A$126</c:f>
              <c:strCache>
                <c:ptCount val="1"/>
                <c:pt idx="0">
                  <c:v>Total Revenue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'Graphs '!$B$125:$K$125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f>'Graphs '!$B$126:$K$126</c:f>
              <c:numCache>
                <c:formatCode>General</c:formatCode>
                <c:ptCount val="10"/>
                <c:pt idx="0">
                  <c:v>5432697252.3723145</c:v>
                </c:pt>
                <c:pt idx="1">
                  <c:v>5754773004.7445068</c:v>
                </c:pt>
                <c:pt idx="2">
                  <c:v>6076848757.1169434</c:v>
                </c:pt>
                <c:pt idx="3">
                  <c:v>6398924509.4892578</c:v>
                </c:pt>
                <c:pt idx="4">
                  <c:v>6721000261.8614502</c:v>
                </c:pt>
                <c:pt idx="5">
                  <c:v>7043076014.2337646</c:v>
                </c:pt>
                <c:pt idx="6">
                  <c:v>7365151766.605957</c:v>
                </c:pt>
                <c:pt idx="7">
                  <c:v>7687227518.9782715</c:v>
                </c:pt>
                <c:pt idx="8">
                  <c:v>8009303271.3505859</c:v>
                </c:pt>
                <c:pt idx="9">
                  <c:v>8331379023.7229004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6A-4A44-9116-3A2A1E95479E}"/>
            </c:ext>
          </c:extLst>
        </c:ser>
        <c:ser>
          <c:idx val="1"/>
          <c:order val="1"/>
          <c:tx>
            <c:strRef>
              <c:f>'Graphs '!$A$127</c:f>
              <c:strCache>
                <c:ptCount val="1"/>
                <c:pt idx="0">
                  <c:v>Total Expense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'Graphs '!$B$125:$K$125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f>'Graphs '!$B$127:$K$127</c:f>
              <c:numCache>
                <c:formatCode>General</c:formatCode>
                <c:ptCount val="10"/>
                <c:pt idx="0">
                  <c:v>4710608596.7636108</c:v>
                </c:pt>
                <c:pt idx="1">
                  <c:v>4976681738.9818115</c:v>
                </c:pt>
                <c:pt idx="2">
                  <c:v>5242754881.2000122</c:v>
                </c:pt>
                <c:pt idx="3">
                  <c:v>5508828023.4181519</c:v>
                </c:pt>
                <c:pt idx="4">
                  <c:v>5774901165.6363525</c:v>
                </c:pt>
                <c:pt idx="5">
                  <c:v>6040974307.8545532</c:v>
                </c:pt>
                <c:pt idx="6">
                  <c:v>6307047450.0726929</c:v>
                </c:pt>
                <c:pt idx="7">
                  <c:v>6573120592.2909546</c:v>
                </c:pt>
                <c:pt idx="8">
                  <c:v>6839193734.5090942</c:v>
                </c:pt>
                <c:pt idx="9">
                  <c:v>7105266876.7272339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6A-4A44-9116-3A2A1E954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644512"/>
        <c:axId val="890637984"/>
      </c:lineChart>
      <c:catAx>
        <c:axId val="89064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890637984"/>
        <c:crosses val="autoZero"/>
        <c:auto val="1"/>
        <c:lblAlgn val="ctr"/>
        <c:lblOffset val="100"/>
        <c:noMultiLvlLbl val="0"/>
      </c:catAx>
      <c:valAx>
        <c:axId val="890637984"/>
        <c:scaling>
          <c:orientation val="minMax"/>
          <c:min val="45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/>
                  <a:t>Millions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890644512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en-US"/>
              <a:t>Predicted 10</a:t>
            </a:r>
            <a:r>
              <a:rPr lang="en-US" baseline="0"/>
              <a:t> Year Revenue and Expense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'!$A$126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'Graphs '!$B$125:$K$125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f>'Graphs '!$B$126:$K$126</c:f>
              <c:numCache>
                <c:formatCode>General</c:formatCode>
                <c:ptCount val="10"/>
                <c:pt idx="0">
                  <c:v>5432697252.3723145</c:v>
                </c:pt>
                <c:pt idx="1">
                  <c:v>5754773004.7445068</c:v>
                </c:pt>
                <c:pt idx="2">
                  <c:v>6076848757.1169434</c:v>
                </c:pt>
                <c:pt idx="3">
                  <c:v>6398924509.4892578</c:v>
                </c:pt>
                <c:pt idx="4">
                  <c:v>6721000261.8614502</c:v>
                </c:pt>
                <c:pt idx="5">
                  <c:v>7043076014.2337646</c:v>
                </c:pt>
                <c:pt idx="6">
                  <c:v>7365151766.605957</c:v>
                </c:pt>
                <c:pt idx="7">
                  <c:v>7687227518.9782715</c:v>
                </c:pt>
                <c:pt idx="8">
                  <c:v>8009303271.3505859</c:v>
                </c:pt>
                <c:pt idx="9">
                  <c:v>8331379023.7229004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01-4404-9C88-C87772955CAF}"/>
            </c:ext>
          </c:extLst>
        </c:ser>
        <c:ser>
          <c:idx val="1"/>
          <c:order val="1"/>
          <c:tx>
            <c:strRef>
              <c:f>'Graphs '!$A$127</c:f>
              <c:strCache>
                <c:ptCount val="1"/>
                <c:pt idx="0">
                  <c:v>Total Expense</c:v>
                </c:pt>
              </c:strCache>
            </c:strRef>
          </c:tx>
          <c:spPr>
            <a:solidFill>
              <a:srgbClr val="D60000"/>
            </a:solidFill>
            <a:ln>
              <a:solidFill>
                <a:srgbClr val="D60000"/>
              </a:solidFill>
            </a:ln>
            <a:effectLst/>
          </c:spPr>
          <c:invertIfNegative val="0"/>
          <c:cat>
            <c:numRef>
              <c:f>'Graphs '!$B$125:$K$125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f>'Graphs '!$B$127:$K$127</c:f>
              <c:numCache>
                <c:formatCode>General</c:formatCode>
                <c:ptCount val="10"/>
                <c:pt idx="0">
                  <c:v>4710608596.7636108</c:v>
                </c:pt>
                <c:pt idx="1">
                  <c:v>4976681738.9818115</c:v>
                </c:pt>
                <c:pt idx="2">
                  <c:v>5242754881.2000122</c:v>
                </c:pt>
                <c:pt idx="3">
                  <c:v>5508828023.4181519</c:v>
                </c:pt>
                <c:pt idx="4">
                  <c:v>5774901165.6363525</c:v>
                </c:pt>
                <c:pt idx="5">
                  <c:v>6040974307.8545532</c:v>
                </c:pt>
                <c:pt idx="6">
                  <c:v>6307047450.0726929</c:v>
                </c:pt>
                <c:pt idx="7">
                  <c:v>6573120592.2909546</c:v>
                </c:pt>
                <c:pt idx="8">
                  <c:v>6839193734.5090942</c:v>
                </c:pt>
                <c:pt idx="9">
                  <c:v>7105266876.7272339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01-4404-9C88-C87772955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0646144"/>
        <c:axId val="890638528"/>
      </c:barChart>
      <c:catAx>
        <c:axId val="89064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890638528"/>
        <c:crosses val="autoZero"/>
        <c:auto val="1"/>
        <c:lblAlgn val="ctr"/>
        <c:lblOffset val="100"/>
        <c:noMultiLvlLbl val="0"/>
      </c:catAx>
      <c:valAx>
        <c:axId val="89063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/>
                  <a:t>Millions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890646144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en-US"/>
              <a:t>10 Increase In Net Assets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'!$A$128</c:f>
              <c:strCache>
                <c:ptCount val="1"/>
                <c:pt idx="0">
                  <c:v>Change in NA 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'Graphs '!$B$125:$K$125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f>'Graphs '!$B$128:$K$128</c:f>
              <c:numCache>
                <c:formatCode>0</c:formatCode>
                <c:ptCount val="10"/>
                <c:pt idx="0">
                  <c:v>722088655.60865784</c:v>
                </c:pt>
                <c:pt idx="1">
                  <c:v>778091265.76275635</c:v>
                </c:pt>
                <c:pt idx="2">
                  <c:v>834093875.91687012</c:v>
                </c:pt>
                <c:pt idx="3">
                  <c:v>890096486.07098389</c:v>
                </c:pt>
                <c:pt idx="4">
                  <c:v>946099096.2250824</c:v>
                </c:pt>
                <c:pt idx="5">
                  <c:v>1002101706.3792114</c:v>
                </c:pt>
                <c:pt idx="6">
                  <c:v>1058104316.5332642</c:v>
                </c:pt>
                <c:pt idx="7">
                  <c:v>1114106926.6873169</c:v>
                </c:pt>
                <c:pt idx="8">
                  <c:v>1170109536.8414917</c:v>
                </c:pt>
                <c:pt idx="9">
                  <c:v>1226112146.9956665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6D-4A8F-8923-1DA364117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0639072"/>
        <c:axId val="890632000"/>
      </c:barChart>
      <c:catAx>
        <c:axId val="89063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890632000"/>
        <c:crosses val="autoZero"/>
        <c:auto val="1"/>
        <c:lblAlgn val="ctr"/>
        <c:lblOffset val="100"/>
        <c:noMultiLvlLbl val="0"/>
      </c:catAx>
      <c:valAx>
        <c:axId val="8906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/>
                  <a:t>Milions</a:t>
                </a:r>
              </a:p>
            </c:rich>
          </c:tx>
          <c:layout>
            <c:manualLayout>
              <c:xMode val="edge"/>
              <c:yMode val="edge"/>
              <c:x val="2.1825396825396824E-2"/>
              <c:y val="0.444439097890541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890639072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'!$A$155</c:f>
              <c:strCache>
                <c:ptCount val="1"/>
                <c:pt idx="0">
                  <c:v>Total Revenue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Pt>
            <c:idx val="11"/>
            <c:marker>
              <c:symbol val="none"/>
            </c:marker>
            <c:bubble3D val="0"/>
            <c:spPr>
              <a:ln w="38100" cap="rnd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9A5-470B-8662-8FCCA6D953CF}"/>
              </c:ext>
            </c:extLst>
          </c:dPt>
          <c:dPt>
            <c:idx val="12"/>
            <c:marker>
              <c:symbol val="none"/>
            </c:marker>
            <c:bubble3D val="0"/>
            <c:spPr>
              <a:ln w="38100" cap="rnd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9A5-470B-8662-8FCCA6D953CF}"/>
              </c:ext>
            </c:extLst>
          </c:dPt>
          <c:dPt>
            <c:idx val="13"/>
            <c:marker>
              <c:symbol val="none"/>
            </c:marker>
            <c:bubble3D val="0"/>
            <c:spPr>
              <a:ln w="38100" cap="rnd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9A5-470B-8662-8FCCA6D953CF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38100" cap="rnd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B9A5-470B-8662-8FCCA6D953CF}"/>
              </c:ext>
            </c:extLst>
          </c:dPt>
          <c:cat>
            <c:numRef>
              <c:f>'Graphs '!$B$154:$P$154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cat>
          <c:val>
            <c:numRef>
              <c:f>'Graphs '!$B$155:$P$155</c:f>
              <c:numCache>
                <c:formatCode>General</c:formatCode>
                <c:ptCount val="15"/>
                <c:pt idx="0">
                  <c:v>2523525</c:v>
                </c:pt>
                <c:pt idx="1">
                  <c:v>1902376</c:v>
                </c:pt>
                <c:pt idx="2">
                  <c:v>1321283</c:v>
                </c:pt>
                <c:pt idx="3">
                  <c:v>3129147.1195239997</c:v>
                </c:pt>
                <c:pt idx="4">
                  <c:v>3922665</c:v>
                </c:pt>
                <c:pt idx="5">
                  <c:v>3233714</c:v>
                </c:pt>
                <c:pt idx="6">
                  <c:v>3861467</c:v>
                </c:pt>
                <c:pt idx="7">
                  <c:v>4760460</c:v>
                </c:pt>
                <c:pt idx="8">
                  <c:v>4242714</c:v>
                </c:pt>
                <c:pt idx="9">
                  <c:v>4336854</c:v>
                </c:pt>
                <c:pt idx="10">
                  <c:v>5268465</c:v>
                </c:pt>
                <c:pt idx="11">
                  <c:v>5452861.2750000004</c:v>
                </c:pt>
                <c:pt idx="12">
                  <c:v>5643711.4196250001</c:v>
                </c:pt>
                <c:pt idx="13">
                  <c:v>5841241.3193118749</c:v>
                </c:pt>
                <c:pt idx="14">
                  <c:v>6045684.7654877901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B9A5-470B-8662-8FCCA6D9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632544"/>
        <c:axId val="890636352"/>
      </c:lineChart>
      <c:catAx>
        <c:axId val="89063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890636352"/>
        <c:crosses val="autoZero"/>
        <c:auto val="1"/>
        <c:lblAlgn val="ctr"/>
        <c:lblOffset val="100"/>
        <c:noMultiLvlLbl val="0"/>
      </c:catAx>
      <c:valAx>
        <c:axId val="8906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/>
                  <a:t>Millions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89063254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'!$A$155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329-49B2-A9A1-304673ADC2A4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329-49B2-A9A1-304673ADC2A4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329-49B2-A9A1-304673ADC2A4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329-49B2-A9A1-304673ADC2A4}"/>
              </c:ext>
            </c:extLst>
          </c:dPt>
          <c:cat>
            <c:numRef>
              <c:f>'Graphs '!$B$154:$P$154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cat>
          <c:val>
            <c:numRef>
              <c:f>'Graphs '!$B$155:$P$155</c:f>
              <c:numCache>
                <c:formatCode>General</c:formatCode>
                <c:ptCount val="15"/>
                <c:pt idx="0">
                  <c:v>2523525</c:v>
                </c:pt>
                <c:pt idx="1">
                  <c:v>1902376</c:v>
                </c:pt>
                <c:pt idx="2">
                  <c:v>1321283</c:v>
                </c:pt>
                <c:pt idx="3">
                  <c:v>3129147.1195239997</c:v>
                </c:pt>
                <c:pt idx="4">
                  <c:v>3922665</c:v>
                </c:pt>
                <c:pt idx="5">
                  <c:v>3233714</c:v>
                </c:pt>
                <c:pt idx="6">
                  <c:v>3861467</c:v>
                </c:pt>
                <c:pt idx="7">
                  <c:v>4760460</c:v>
                </c:pt>
                <c:pt idx="8">
                  <c:v>4242714</c:v>
                </c:pt>
                <c:pt idx="9">
                  <c:v>4336854</c:v>
                </c:pt>
                <c:pt idx="10">
                  <c:v>5268465</c:v>
                </c:pt>
                <c:pt idx="11">
                  <c:v>5452861.2750000004</c:v>
                </c:pt>
                <c:pt idx="12">
                  <c:v>5643711.4196250001</c:v>
                </c:pt>
                <c:pt idx="13">
                  <c:v>5841241.3193118749</c:v>
                </c:pt>
                <c:pt idx="14">
                  <c:v>6045684.7654877901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329-49B2-A9A1-304673ADC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0643968"/>
        <c:axId val="890634176"/>
      </c:barChart>
      <c:catAx>
        <c:axId val="89064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890634176"/>
        <c:crosses val="autoZero"/>
        <c:auto val="1"/>
        <c:lblAlgn val="ctr"/>
        <c:lblOffset val="100"/>
        <c:noMultiLvlLbl val="0"/>
      </c:catAx>
      <c:valAx>
        <c:axId val="89063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/>
                  <a:t>Millions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89064396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'!$A$157</c:f>
              <c:strCache>
                <c:ptCount val="1"/>
                <c:pt idx="0">
                  <c:v>Total Expense 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Pt>
            <c:idx val="11"/>
            <c:marker>
              <c:symbol val="none"/>
            </c:marker>
            <c:bubble3D val="0"/>
            <c:spPr>
              <a:ln w="38100" cap="rnd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19B-4460-ACFA-69F5C812FFF6}"/>
              </c:ext>
            </c:extLst>
          </c:dPt>
          <c:dPt>
            <c:idx val="12"/>
            <c:marker>
              <c:symbol val="none"/>
            </c:marker>
            <c:bubble3D val="0"/>
            <c:spPr>
              <a:ln w="38100" cap="rnd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19B-4460-ACFA-69F5C812FFF6}"/>
              </c:ext>
            </c:extLst>
          </c:dPt>
          <c:dPt>
            <c:idx val="13"/>
            <c:marker>
              <c:symbol val="none"/>
            </c:marker>
            <c:bubble3D val="0"/>
            <c:spPr>
              <a:ln w="38100" cap="rnd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19B-4460-ACFA-69F5C812FFF6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38100" cap="rnd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D19B-4460-ACFA-69F5C812FFF6}"/>
              </c:ext>
            </c:extLst>
          </c:dPt>
          <c:cat>
            <c:numRef>
              <c:f>'Graphs '!$B$154:$P$154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cat>
          <c:val>
            <c:numRef>
              <c:f>'Graphs '!$B$157:$P$157</c:f>
              <c:numCache>
                <c:formatCode>General</c:formatCode>
                <c:ptCount val="15"/>
                <c:pt idx="0">
                  <c:v>1849344</c:v>
                </c:pt>
                <c:pt idx="1">
                  <c:v>1933529</c:v>
                </c:pt>
                <c:pt idx="2">
                  <c:v>2191669</c:v>
                </c:pt>
                <c:pt idx="3">
                  <c:v>2698272.1779999998</c:v>
                </c:pt>
                <c:pt idx="4">
                  <c:v>2930739</c:v>
                </c:pt>
                <c:pt idx="5">
                  <c:v>3165396</c:v>
                </c:pt>
                <c:pt idx="6">
                  <c:v>3273784</c:v>
                </c:pt>
                <c:pt idx="7">
                  <c:v>3682731</c:v>
                </c:pt>
                <c:pt idx="8">
                  <c:v>3980355</c:v>
                </c:pt>
                <c:pt idx="9">
                  <c:v>4179379</c:v>
                </c:pt>
                <c:pt idx="10">
                  <c:v>4370669</c:v>
                </c:pt>
                <c:pt idx="11">
                  <c:v>4491495.76</c:v>
                </c:pt>
                <c:pt idx="12">
                  <c:v>4617155.5904000001</c:v>
                </c:pt>
                <c:pt idx="13">
                  <c:v>4747841.8140160004</c:v>
                </c:pt>
                <c:pt idx="14">
                  <c:v>4937755.48657664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D19B-4460-ACFA-69F5C812F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635808"/>
        <c:axId val="890639616"/>
      </c:lineChart>
      <c:catAx>
        <c:axId val="89063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890639616"/>
        <c:crosses val="autoZero"/>
        <c:auto val="1"/>
        <c:lblAlgn val="ctr"/>
        <c:lblOffset val="100"/>
        <c:noMultiLvlLbl val="0"/>
      </c:catAx>
      <c:valAx>
        <c:axId val="89063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/>
                  <a:t>Millions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89063580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'!$A$157</c:f>
              <c:strCache>
                <c:ptCount val="1"/>
                <c:pt idx="0">
                  <c:v>Total Expense </c:v>
                </c:pt>
              </c:strCache>
            </c:strRef>
          </c:tx>
          <c:spPr>
            <a:solidFill>
              <a:srgbClr val="D60000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2EA-4DEC-BE78-4893B0BDFADC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2EA-4DEC-BE78-4893B0BDFADC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2EA-4DEC-BE78-4893B0BDFADC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2EA-4DEC-BE78-4893B0BDFADC}"/>
              </c:ext>
            </c:extLst>
          </c:dPt>
          <c:cat>
            <c:numRef>
              <c:f>'Graphs '!$B$154:$P$154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cat>
          <c:val>
            <c:numRef>
              <c:f>'Graphs '!$B$157:$P$157</c:f>
              <c:numCache>
                <c:formatCode>General</c:formatCode>
                <c:ptCount val="15"/>
                <c:pt idx="0">
                  <c:v>1849344</c:v>
                </c:pt>
                <c:pt idx="1">
                  <c:v>1933529</c:v>
                </c:pt>
                <c:pt idx="2">
                  <c:v>2191669</c:v>
                </c:pt>
                <c:pt idx="3">
                  <c:v>2698272.1779999998</c:v>
                </c:pt>
                <c:pt idx="4">
                  <c:v>2930739</c:v>
                </c:pt>
                <c:pt idx="5">
                  <c:v>3165396</c:v>
                </c:pt>
                <c:pt idx="6">
                  <c:v>3273784</c:v>
                </c:pt>
                <c:pt idx="7">
                  <c:v>3682731</c:v>
                </c:pt>
                <c:pt idx="8">
                  <c:v>3980355</c:v>
                </c:pt>
                <c:pt idx="9">
                  <c:v>4179379</c:v>
                </c:pt>
                <c:pt idx="10">
                  <c:v>4370669</c:v>
                </c:pt>
                <c:pt idx="11">
                  <c:v>4491495.76</c:v>
                </c:pt>
                <c:pt idx="12">
                  <c:v>4617155.5904000001</c:v>
                </c:pt>
                <c:pt idx="13">
                  <c:v>4747841.8140160004</c:v>
                </c:pt>
                <c:pt idx="14">
                  <c:v>4937755.48657664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82EA-4DEC-BE78-4893B0BDF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0640704"/>
        <c:axId val="890641248"/>
      </c:barChart>
      <c:catAx>
        <c:axId val="89064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890641248"/>
        <c:crosses val="autoZero"/>
        <c:auto val="1"/>
        <c:lblAlgn val="ctr"/>
        <c:lblOffset val="100"/>
        <c:noMultiLvlLbl val="0"/>
      </c:catAx>
      <c:valAx>
        <c:axId val="89064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/>
                  <a:t>Millions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89064070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en-US" b="1"/>
              <a:t>10</a:t>
            </a:r>
            <a:r>
              <a:rPr lang="en-US" b="1" baseline="0"/>
              <a:t> Year Trend Analysis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'!$A$4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'Graphs '!$B$3:$L$3</c:f>
              <c:strCache>
                <c:ptCount val="11"/>
                <c:pt idx="0">
                  <c:v>
2007</c:v>
                </c:pt>
                <c:pt idx="1">
                  <c:v>
2008</c:v>
                </c:pt>
                <c:pt idx="2">
                  <c:v> 
2009</c:v>
                </c:pt>
                <c:pt idx="3">
                  <c:v>
2010</c:v>
                </c:pt>
                <c:pt idx="4">
                  <c:v>  
2011</c:v>
                </c:pt>
                <c:pt idx="5">
                  <c:v>
2012</c:v>
                </c:pt>
                <c:pt idx="6">
                  <c:v>  
2013</c:v>
                </c:pt>
                <c:pt idx="7">
                  <c:v>
2014</c:v>
                </c:pt>
                <c:pt idx="8">
                  <c:v> 
2015</c:v>
                </c:pt>
                <c:pt idx="9">
                  <c:v>
2016</c:v>
                </c:pt>
                <c:pt idx="10">
                  <c:v>  
2017</c:v>
                </c:pt>
              </c:strCache>
            </c:strRef>
          </c:cat>
          <c:val>
            <c:numRef>
              <c:f>'Graphs '!$B$4:$L$4</c:f>
              <c:numCache>
                <c:formatCode>#,##0_);[Red]\(#,##0\)</c:formatCode>
                <c:ptCount val="11"/>
                <c:pt idx="0">
                  <c:v>2523525000</c:v>
                </c:pt>
                <c:pt idx="1">
                  <c:v>1902376000</c:v>
                </c:pt>
                <c:pt idx="2">
                  <c:v>1321283000</c:v>
                </c:pt>
                <c:pt idx="3">
                  <c:v>3129147119.5239997</c:v>
                </c:pt>
                <c:pt idx="4">
                  <c:v>3922665000</c:v>
                </c:pt>
                <c:pt idx="5">
                  <c:v>3233714000</c:v>
                </c:pt>
                <c:pt idx="6">
                  <c:v>3861467000</c:v>
                </c:pt>
                <c:pt idx="7">
                  <c:v>4760460000</c:v>
                </c:pt>
                <c:pt idx="8">
                  <c:v>4242714000</c:v>
                </c:pt>
                <c:pt idx="9">
                  <c:v>4336854000</c:v>
                </c:pt>
                <c:pt idx="10">
                  <c:v>5268465000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529-4A5F-AB20-6E0F23DD501A}"/>
            </c:ext>
          </c:extLst>
        </c:ser>
        <c:ser>
          <c:idx val="1"/>
          <c:order val="1"/>
          <c:tx>
            <c:strRef>
              <c:f>'Graphs '!$A$5</c:f>
              <c:strCache>
                <c:ptCount val="1"/>
                <c:pt idx="0">
                  <c:v>Total Expense </c:v>
                </c:pt>
              </c:strCache>
            </c:strRef>
          </c:tx>
          <c:spPr>
            <a:solidFill>
              <a:srgbClr val="FF5757"/>
            </a:solidFill>
            <a:ln>
              <a:noFill/>
            </a:ln>
            <a:effectLst/>
          </c:spPr>
          <c:invertIfNegative val="0"/>
          <c:cat>
            <c:strRef>
              <c:f>'Graphs '!$B$3:$L$3</c:f>
              <c:strCache>
                <c:ptCount val="11"/>
                <c:pt idx="0">
                  <c:v>
2007</c:v>
                </c:pt>
                <c:pt idx="1">
                  <c:v>
2008</c:v>
                </c:pt>
                <c:pt idx="2">
                  <c:v> 
2009</c:v>
                </c:pt>
                <c:pt idx="3">
                  <c:v>
2010</c:v>
                </c:pt>
                <c:pt idx="4">
                  <c:v>  
2011</c:v>
                </c:pt>
                <c:pt idx="5">
                  <c:v>
2012</c:v>
                </c:pt>
                <c:pt idx="6">
                  <c:v>  
2013</c:v>
                </c:pt>
                <c:pt idx="7">
                  <c:v>
2014</c:v>
                </c:pt>
                <c:pt idx="8">
                  <c:v> 
2015</c:v>
                </c:pt>
                <c:pt idx="9">
                  <c:v>
2016</c:v>
                </c:pt>
                <c:pt idx="10">
                  <c:v>  
2017</c:v>
                </c:pt>
              </c:strCache>
            </c:strRef>
          </c:cat>
          <c:val>
            <c:numRef>
              <c:f>'Graphs '!$B$5:$L$5</c:f>
              <c:numCache>
                <c:formatCode>#,##0_);[Red]\(#,##0\)</c:formatCode>
                <c:ptCount val="11"/>
                <c:pt idx="0">
                  <c:v>1849344000</c:v>
                </c:pt>
                <c:pt idx="1">
                  <c:v>1933529000</c:v>
                </c:pt>
                <c:pt idx="2">
                  <c:v>2191669000</c:v>
                </c:pt>
                <c:pt idx="3">
                  <c:v>2698272178</c:v>
                </c:pt>
                <c:pt idx="4">
                  <c:v>2930739000</c:v>
                </c:pt>
                <c:pt idx="5">
                  <c:v>3165396000</c:v>
                </c:pt>
                <c:pt idx="6">
                  <c:v>3273784000</c:v>
                </c:pt>
                <c:pt idx="7">
                  <c:v>3682731000</c:v>
                </c:pt>
                <c:pt idx="8">
                  <c:v>3980355000</c:v>
                </c:pt>
                <c:pt idx="9">
                  <c:v>4179379000</c:v>
                </c:pt>
                <c:pt idx="10">
                  <c:v>4370669000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529-4A5F-AB20-6E0F23DD5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3071184"/>
        <c:axId val="1063066288"/>
      </c:barChart>
      <c:catAx>
        <c:axId val="106307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063066288"/>
        <c:crosses val="autoZero"/>
        <c:auto val="1"/>
        <c:lblAlgn val="ctr"/>
        <c:lblOffset val="100"/>
        <c:noMultiLvlLbl val="0"/>
      </c:catAx>
      <c:valAx>
        <c:axId val="1063066288"/>
        <c:scaling>
          <c:orientation val="minMax"/>
          <c:max val="6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/>
                  <a:t>Millions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063071184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en-US" b="1"/>
              <a:t>Total Revenue and Expense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'!$A$155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068-4EC3-8785-D16EDE78A71E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068-4EC3-8785-D16EDE78A71E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068-4EC3-8785-D16EDE78A71E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068-4EC3-8785-D16EDE78A71E}"/>
              </c:ext>
            </c:extLst>
          </c:dPt>
          <c:cat>
            <c:numRef>
              <c:f>'Graphs '!$B$154:$P$154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cat>
          <c:val>
            <c:numRef>
              <c:f>'Graphs '!$B$155:$P$155</c:f>
              <c:numCache>
                <c:formatCode>General</c:formatCode>
                <c:ptCount val="15"/>
                <c:pt idx="0">
                  <c:v>2523525</c:v>
                </c:pt>
                <c:pt idx="1">
                  <c:v>1902376</c:v>
                </c:pt>
                <c:pt idx="2">
                  <c:v>1321283</c:v>
                </c:pt>
                <c:pt idx="3">
                  <c:v>3129147.1195239997</c:v>
                </c:pt>
                <c:pt idx="4">
                  <c:v>3922665</c:v>
                </c:pt>
                <c:pt idx="5">
                  <c:v>3233714</c:v>
                </c:pt>
                <c:pt idx="6">
                  <c:v>3861467</c:v>
                </c:pt>
                <c:pt idx="7">
                  <c:v>4760460</c:v>
                </c:pt>
                <c:pt idx="8">
                  <c:v>4242714</c:v>
                </c:pt>
                <c:pt idx="9">
                  <c:v>4336854</c:v>
                </c:pt>
                <c:pt idx="10">
                  <c:v>5268465</c:v>
                </c:pt>
                <c:pt idx="11">
                  <c:v>5452861.2750000004</c:v>
                </c:pt>
                <c:pt idx="12">
                  <c:v>5643711.4196250001</c:v>
                </c:pt>
                <c:pt idx="13">
                  <c:v>5841241.3193118749</c:v>
                </c:pt>
                <c:pt idx="14">
                  <c:v>6045684.7654877901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1068-4EC3-8785-D16EDE78A71E}"/>
            </c:ext>
          </c:extLst>
        </c:ser>
        <c:ser>
          <c:idx val="1"/>
          <c:order val="1"/>
          <c:tx>
            <c:strRef>
              <c:f>'Graphs '!$A$157</c:f>
              <c:strCache>
                <c:ptCount val="1"/>
                <c:pt idx="0">
                  <c:v>Total Expense </c:v>
                </c:pt>
              </c:strCache>
            </c:strRef>
          </c:tx>
          <c:spPr>
            <a:solidFill>
              <a:srgbClr val="D60000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1068-4EC3-8785-D16EDE78A71E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1068-4EC3-8785-D16EDE78A71E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1068-4EC3-8785-D16EDE78A71E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1068-4EC3-8785-D16EDE78A71E}"/>
              </c:ext>
            </c:extLst>
          </c:dPt>
          <c:cat>
            <c:numRef>
              <c:f>'Graphs '!$B$154:$P$154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cat>
          <c:val>
            <c:numRef>
              <c:f>'Graphs '!$B$157:$P$157</c:f>
              <c:numCache>
                <c:formatCode>General</c:formatCode>
                <c:ptCount val="15"/>
                <c:pt idx="0">
                  <c:v>1849344</c:v>
                </c:pt>
                <c:pt idx="1">
                  <c:v>1933529</c:v>
                </c:pt>
                <c:pt idx="2">
                  <c:v>2191669</c:v>
                </c:pt>
                <c:pt idx="3">
                  <c:v>2698272.1779999998</c:v>
                </c:pt>
                <c:pt idx="4">
                  <c:v>2930739</c:v>
                </c:pt>
                <c:pt idx="5">
                  <c:v>3165396</c:v>
                </c:pt>
                <c:pt idx="6">
                  <c:v>3273784</c:v>
                </c:pt>
                <c:pt idx="7">
                  <c:v>3682731</c:v>
                </c:pt>
                <c:pt idx="8">
                  <c:v>3980355</c:v>
                </c:pt>
                <c:pt idx="9">
                  <c:v>4179379</c:v>
                </c:pt>
                <c:pt idx="10">
                  <c:v>4370669</c:v>
                </c:pt>
                <c:pt idx="11">
                  <c:v>4491495.76</c:v>
                </c:pt>
                <c:pt idx="12">
                  <c:v>4617155.5904000001</c:v>
                </c:pt>
                <c:pt idx="13">
                  <c:v>4747841.8140160004</c:v>
                </c:pt>
                <c:pt idx="14">
                  <c:v>4937755.48657664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1068-4EC3-8785-D16EDE78A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0338976"/>
        <c:axId val="1220335168"/>
      </c:barChart>
      <c:catAx>
        <c:axId val="122033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220335168"/>
        <c:crosses val="autoZero"/>
        <c:auto val="1"/>
        <c:lblAlgn val="ctr"/>
        <c:lblOffset val="100"/>
        <c:noMultiLvlLbl val="0"/>
      </c:catAx>
      <c:valAx>
        <c:axId val="122033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/>
                  <a:t>Millions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22033897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en-US" b="1"/>
              <a:t>Total</a:t>
            </a:r>
            <a:r>
              <a:rPr lang="en-US" b="1" baseline="0"/>
              <a:t> Revenue and Expense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'!$A$155</c:f>
              <c:strCache>
                <c:ptCount val="1"/>
                <c:pt idx="0">
                  <c:v>Total Revenue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Pt>
            <c:idx val="11"/>
            <c:marker>
              <c:symbol val="none"/>
            </c:marker>
            <c:bubble3D val="0"/>
            <c:spPr>
              <a:ln w="38100" cap="rnd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0EA-427E-BA3B-FE45B9808F73}"/>
              </c:ext>
            </c:extLst>
          </c:dPt>
          <c:dPt>
            <c:idx val="12"/>
            <c:marker>
              <c:symbol val="none"/>
            </c:marker>
            <c:bubble3D val="0"/>
            <c:spPr>
              <a:ln w="38100" cap="rnd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0EA-427E-BA3B-FE45B9808F73}"/>
              </c:ext>
            </c:extLst>
          </c:dPt>
          <c:dPt>
            <c:idx val="13"/>
            <c:marker>
              <c:symbol val="none"/>
            </c:marker>
            <c:bubble3D val="0"/>
            <c:spPr>
              <a:ln w="38100" cap="rnd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0EA-427E-BA3B-FE45B9808F73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38100" cap="rnd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0EA-427E-BA3B-FE45B9808F73}"/>
              </c:ext>
            </c:extLst>
          </c:dPt>
          <c:cat>
            <c:numRef>
              <c:f>'Graphs '!$B$154:$P$154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cat>
          <c:val>
            <c:numRef>
              <c:f>'Graphs '!$B$155:$P$155</c:f>
              <c:numCache>
                <c:formatCode>General</c:formatCode>
                <c:ptCount val="15"/>
                <c:pt idx="0">
                  <c:v>2523525</c:v>
                </c:pt>
                <c:pt idx="1">
                  <c:v>1902376</c:v>
                </c:pt>
                <c:pt idx="2">
                  <c:v>1321283</c:v>
                </c:pt>
                <c:pt idx="3">
                  <c:v>3129147.1195239997</c:v>
                </c:pt>
                <c:pt idx="4">
                  <c:v>3922665</c:v>
                </c:pt>
                <c:pt idx="5">
                  <c:v>3233714</c:v>
                </c:pt>
                <c:pt idx="6">
                  <c:v>3861467</c:v>
                </c:pt>
                <c:pt idx="7">
                  <c:v>4760460</c:v>
                </c:pt>
                <c:pt idx="8">
                  <c:v>4242714</c:v>
                </c:pt>
                <c:pt idx="9">
                  <c:v>4336854</c:v>
                </c:pt>
                <c:pt idx="10">
                  <c:v>5268465</c:v>
                </c:pt>
                <c:pt idx="11">
                  <c:v>5452861.2750000004</c:v>
                </c:pt>
                <c:pt idx="12">
                  <c:v>5643711.4196250001</c:v>
                </c:pt>
                <c:pt idx="13">
                  <c:v>5841241.3193118749</c:v>
                </c:pt>
                <c:pt idx="14">
                  <c:v>6045684.7654877901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20EA-427E-BA3B-FE45B9808F73}"/>
            </c:ext>
          </c:extLst>
        </c:ser>
        <c:ser>
          <c:idx val="1"/>
          <c:order val="1"/>
          <c:tx>
            <c:strRef>
              <c:f>'Graphs '!$A$157</c:f>
              <c:strCache>
                <c:ptCount val="1"/>
                <c:pt idx="0">
                  <c:v>Total Expense 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1"/>
            <c:marker>
              <c:symbol val="none"/>
            </c:marker>
            <c:bubble3D val="0"/>
            <c:spPr>
              <a:ln w="38100" cap="rnd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20EA-427E-BA3B-FE45B9808F73}"/>
              </c:ext>
            </c:extLst>
          </c:dPt>
          <c:dPt>
            <c:idx val="12"/>
            <c:marker>
              <c:symbol val="none"/>
            </c:marker>
            <c:bubble3D val="0"/>
            <c:spPr>
              <a:ln w="38100" cap="rnd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20EA-427E-BA3B-FE45B9808F73}"/>
              </c:ext>
            </c:extLst>
          </c:dPt>
          <c:dPt>
            <c:idx val="13"/>
            <c:marker>
              <c:symbol val="none"/>
            </c:marker>
            <c:bubble3D val="0"/>
            <c:spPr>
              <a:ln w="38100" cap="rnd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20EA-427E-BA3B-FE45B9808F73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38100" cap="rnd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20EA-427E-BA3B-FE45B9808F73}"/>
              </c:ext>
            </c:extLst>
          </c:dPt>
          <c:cat>
            <c:numRef>
              <c:f>'Graphs '!$B$154:$P$154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cat>
          <c:val>
            <c:numRef>
              <c:f>'Graphs '!$B$157:$P$157</c:f>
              <c:numCache>
                <c:formatCode>General</c:formatCode>
                <c:ptCount val="15"/>
                <c:pt idx="0">
                  <c:v>1849344</c:v>
                </c:pt>
                <c:pt idx="1">
                  <c:v>1933529</c:v>
                </c:pt>
                <c:pt idx="2">
                  <c:v>2191669</c:v>
                </c:pt>
                <c:pt idx="3">
                  <c:v>2698272.1779999998</c:v>
                </c:pt>
                <c:pt idx="4">
                  <c:v>2930739</c:v>
                </c:pt>
                <c:pt idx="5">
                  <c:v>3165396</c:v>
                </c:pt>
                <c:pt idx="6">
                  <c:v>3273784</c:v>
                </c:pt>
                <c:pt idx="7">
                  <c:v>3682731</c:v>
                </c:pt>
                <c:pt idx="8">
                  <c:v>3980355</c:v>
                </c:pt>
                <c:pt idx="9">
                  <c:v>4179379</c:v>
                </c:pt>
                <c:pt idx="10">
                  <c:v>4370669</c:v>
                </c:pt>
                <c:pt idx="11">
                  <c:v>4491495.76</c:v>
                </c:pt>
                <c:pt idx="12">
                  <c:v>4617155.5904000001</c:v>
                </c:pt>
                <c:pt idx="13">
                  <c:v>4747841.8140160004</c:v>
                </c:pt>
                <c:pt idx="14">
                  <c:v>4937755.48657664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20EA-427E-BA3B-FE45B9808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331360"/>
        <c:axId val="1220343328"/>
      </c:lineChart>
      <c:catAx>
        <c:axId val="122033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220343328"/>
        <c:crosses val="autoZero"/>
        <c:auto val="1"/>
        <c:lblAlgn val="ctr"/>
        <c:lblOffset val="100"/>
        <c:noMultiLvlLbl val="0"/>
      </c:catAx>
      <c:valAx>
        <c:axId val="122034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/>
                  <a:t>Millions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22033136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US" sz="1600" b="1"/>
              <a:t>Revenue and Growth Rate Trend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'!$A$155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604-42D6-99E6-3F452476CE18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604-42D6-99E6-3F452476CE18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604-42D6-99E6-3F452476CE18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604-42D6-99E6-3F452476CE18}"/>
              </c:ext>
            </c:extLst>
          </c:dPt>
          <c:cat>
            <c:numRef>
              <c:f>'Graphs '!$B$154:$P$154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cat>
          <c:val>
            <c:numRef>
              <c:f>'Graphs '!$B$155:$P$155</c:f>
              <c:numCache>
                <c:formatCode>General</c:formatCode>
                <c:ptCount val="15"/>
                <c:pt idx="0">
                  <c:v>2523525</c:v>
                </c:pt>
                <c:pt idx="1">
                  <c:v>1902376</c:v>
                </c:pt>
                <c:pt idx="2">
                  <c:v>1321283</c:v>
                </c:pt>
                <c:pt idx="3">
                  <c:v>3129147.1195239997</c:v>
                </c:pt>
                <c:pt idx="4">
                  <c:v>3922665</c:v>
                </c:pt>
                <c:pt idx="5">
                  <c:v>3233714</c:v>
                </c:pt>
                <c:pt idx="6">
                  <c:v>3861467</c:v>
                </c:pt>
                <c:pt idx="7">
                  <c:v>4760460</c:v>
                </c:pt>
                <c:pt idx="8">
                  <c:v>4242714</c:v>
                </c:pt>
                <c:pt idx="9">
                  <c:v>4336854</c:v>
                </c:pt>
                <c:pt idx="10">
                  <c:v>5268465</c:v>
                </c:pt>
                <c:pt idx="11">
                  <c:v>5452861.2750000004</c:v>
                </c:pt>
                <c:pt idx="12">
                  <c:v>5643711.4196250001</c:v>
                </c:pt>
                <c:pt idx="13">
                  <c:v>5841241.3193118749</c:v>
                </c:pt>
                <c:pt idx="14">
                  <c:v>6045684.7654877901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7604-42D6-99E6-3F452476C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5"/>
        <c:overlap val="-27"/>
        <c:axId val="1220343872"/>
        <c:axId val="1220344960"/>
      </c:barChart>
      <c:lineChart>
        <c:grouping val="standard"/>
        <c:varyColors val="0"/>
        <c:ser>
          <c:idx val="1"/>
          <c:order val="1"/>
          <c:tx>
            <c:strRef>
              <c:f>'Graphs '!$A$156</c:f>
              <c:strCache>
                <c:ptCount val="1"/>
                <c:pt idx="0">
                  <c:v>Revenue Growth Y/o/Y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'Graphs '!$B$154:$P$154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cat>
          <c:val>
            <c:numRef>
              <c:f>'Graphs '!$B$156:$P$156</c:f>
              <c:numCache>
                <c:formatCode>0%</c:formatCode>
                <c:ptCount val="15"/>
                <c:pt idx="1">
                  <c:v>-0.24614339069357347</c:v>
                </c:pt>
                <c:pt idx="2">
                  <c:v>-0.30545643973641384</c:v>
                </c:pt>
                <c:pt idx="3">
                  <c:v>1.3682641186816147</c:v>
                </c:pt>
                <c:pt idx="4">
                  <c:v>0.25358918905567751</c:v>
                </c:pt>
                <c:pt idx="5">
                  <c:v>-0.17563340229155433</c:v>
                </c:pt>
                <c:pt idx="6">
                  <c:v>0.19412755735355694</c:v>
                </c:pt>
                <c:pt idx="7">
                  <c:v>0.23281126059085835</c:v>
                </c:pt>
                <c:pt idx="8">
                  <c:v>-0.10875965768014015</c:v>
                </c:pt>
                <c:pt idx="9">
                  <c:v>2.2188627373893221E-2</c:v>
                </c:pt>
                <c:pt idx="10">
                  <c:v>0.21481262684886326</c:v>
                </c:pt>
                <c:pt idx="11">
                  <c:v>3.5000000000000073E-2</c:v>
                </c:pt>
                <c:pt idx="12">
                  <c:v>3.4999999999999948E-2</c:v>
                </c:pt>
                <c:pt idx="13">
                  <c:v>3.4999999999999969E-2</c:v>
                </c:pt>
                <c:pt idx="14">
                  <c:v>3.4999999999999927E-2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7604-42D6-99E6-3F452476C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342240"/>
        <c:axId val="1220336256"/>
      </c:lineChart>
      <c:valAx>
        <c:axId val="1220344960"/>
        <c:scaling>
          <c:orientation val="minMax"/>
          <c:max val="6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20343872"/>
        <c:crosses val="autoZero"/>
        <c:crossBetween val="between"/>
        <c:dispUnits>
          <c:builtInUnit val="thousands"/>
        </c:dispUnits>
      </c:valAx>
      <c:catAx>
        <c:axId val="122034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20344960"/>
        <c:crosses val="autoZero"/>
        <c:auto val="1"/>
        <c:lblAlgn val="ctr"/>
        <c:lblOffset val="100"/>
        <c:noMultiLvlLbl val="0"/>
      </c:catAx>
      <c:valAx>
        <c:axId val="1220336256"/>
        <c:scaling>
          <c:orientation val="minMax"/>
          <c:max val="1.5"/>
          <c:min val="-0.5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20342240"/>
        <c:crosses val="max"/>
        <c:crossBetween val="between"/>
        <c:majorUnit val="0.5"/>
      </c:valAx>
      <c:catAx>
        <c:axId val="12203422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2033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US" sz="1600" b="1"/>
              <a:t>Expense and Growth Rate Trend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'!$A$157</c:f>
              <c:strCache>
                <c:ptCount val="1"/>
                <c:pt idx="0">
                  <c:v>Total Expense </c:v>
                </c:pt>
              </c:strCache>
            </c:strRef>
          </c:tx>
          <c:spPr>
            <a:solidFill>
              <a:srgbClr val="D60000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4EC-4C83-9418-0B8ADCD328BB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4EC-4C83-9418-0B8ADCD328BB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4EC-4C83-9418-0B8ADCD328BB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4EC-4C83-9418-0B8ADCD328BB}"/>
              </c:ext>
            </c:extLst>
          </c:dPt>
          <c:cat>
            <c:numRef>
              <c:f>'Graphs '!$B$154:$P$154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cat>
          <c:val>
            <c:numRef>
              <c:f>'Graphs '!$B$157:$P$157</c:f>
              <c:numCache>
                <c:formatCode>General</c:formatCode>
                <c:ptCount val="15"/>
                <c:pt idx="0">
                  <c:v>1849344</c:v>
                </c:pt>
                <c:pt idx="1">
                  <c:v>1933529</c:v>
                </c:pt>
                <c:pt idx="2">
                  <c:v>2191669</c:v>
                </c:pt>
                <c:pt idx="3">
                  <c:v>2698272.1779999998</c:v>
                </c:pt>
                <c:pt idx="4">
                  <c:v>2930739</c:v>
                </c:pt>
                <c:pt idx="5">
                  <c:v>3165396</c:v>
                </c:pt>
                <c:pt idx="6">
                  <c:v>3273784</c:v>
                </c:pt>
                <c:pt idx="7">
                  <c:v>3682731</c:v>
                </c:pt>
                <c:pt idx="8">
                  <c:v>3980355</c:v>
                </c:pt>
                <c:pt idx="9">
                  <c:v>4179379</c:v>
                </c:pt>
                <c:pt idx="10">
                  <c:v>4370669</c:v>
                </c:pt>
                <c:pt idx="11">
                  <c:v>4491495.76</c:v>
                </c:pt>
                <c:pt idx="12">
                  <c:v>4617155.5904000001</c:v>
                </c:pt>
                <c:pt idx="13">
                  <c:v>4747841.8140160004</c:v>
                </c:pt>
                <c:pt idx="14">
                  <c:v>4937755.48657664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C4EC-4C83-9418-0B8ADCD32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0330816"/>
        <c:axId val="1220336800"/>
      </c:barChart>
      <c:lineChart>
        <c:grouping val="standard"/>
        <c:varyColors val="0"/>
        <c:ser>
          <c:idx val="1"/>
          <c:order val="1"/>
          <c:tx>
            <c:strRef>
              <c:f>'Graphs '!$A$158</c:f>
              <c:strCache>
                <c:ptCount val="1"/>
                <c:pt idx="0">
                  <c:v>Expense Growth Y/o/Y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'Graphs '!$B$154:$P$154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cat>
          <c:val>
            <c:numRef>
              <c:f>'Graphs '!$B$158:$P$158</c:f>
              <c:numCache>
                <c:formatCode>0%</c:formatCode>
                <c:ptCount val="15"/>
                <c:pt idx="1">
                  <c:v>4.5521547099944631E-2</c:v>
                </c:pt>
                <c:pt idx="2">
                  <c:v>0.13350717780803908</c:v>
                </c:pt>
                <c:pt idx="3">
                  <c:v>0.23114949292069187</c:v>
                </c:pt>
                <c:pt idx="4">
                  <c:v>8.6153955814905259E-2</c:v>
                </c:pt>
                <c:pt idx="5">
                  <c:v>8.0067518806690052E-2</c:v>
                </c:pt>
                <c:pt idx="6">
                  <c:v>3.4241529337877476E-2</c:v>
                </c:pt>
                <c:pt idx="7">
                  <c:v>0.12491569388817345</c:v>
                </c:pt>
                <c:pt idx="8">
                  <c:v>8.0816111738815574E-2</c:v>
                </c:pt>
                <c:pt idx="9">
                  <c:v>5.000157021170222E-2</c:v>
                </c:pt>
                <c:pt idx="10">
                  <c:v>4.5769957689886467E-2</c:v>
                </c:pt>
                <c:pt idx="11">
                  <c:v>2.7644912026053625E-2</c:v>
                </c:pt>
                <c:pt idx="12">
                  <c:v>2.7977279087980332E-2</c:v>
                </c:pt>
                <c:pt idx="13">
                  <c:v>2.8304487699683186E-2</c:v>
                </c:pt>
                <c:pt idx="14">
                  <c:v>3.9999999999999931E-2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C4EC-4C83-9418-0B8ADCD32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344416"/>
        <c:axId val="1220339520"/>
      </c:lineChart>
      <c:catAx>
        <c:axId val="122033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20336800"/>
        <c:crosses val="autoZero"/>
        <c:auto val="1"/>
        <c:lblAlgn val="ctr"/>
        <c:lblOffset val="100"/>
        <c:noMultiLvlLbl val="0"/>
      </c:catAx>
      <c:valAx>
        <c:axId val="122033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20330816"/>
        <c:crosses val="autoZero"/>
        <c:crossBetween val="between"/>
        <c:dispUnits>
          <c:builtInUnit val="thousands"/>
        </c:dispUnits>
      </c:valAx>
      <c:valAx>
        <c:axId val="122033952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20344416"/>
        <c:crosses val="max"/>
        <c:crossBetween val="between"/>
      </c:valAx>
      <c:catAx>
        <c:axId val="1220344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0339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50"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US" sz="1600" b="1"/>
              <a:t>Annual</a:t>
            </a:r>
            <a:r>
              <a:rPr lang="en-US" sz="1600" b="1" baseline="0"/>
              <a:t> Growth Rate Predictions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rgbClr val="F6CD38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D60000"/>
              </a:solidFill>
              <a:ln>
                <a:solidFill>
                  <a:srgbClr val="E2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377-4840-B2D3-1429721BF9D5}"/>
              </c:ext>
            </c:extLst>
          </c:dPt>
          <c:dPt>
            <c:idx val="3"/>
            <c:invertIfNegative val="0"/>
            <c:bubble3D val="0"/>
            <c:spPr>
              <a:solidFill>
                <a:srgbClr val="D60000"/>
              </a:solidFill>
              <a:ln>
                <a:solidFill>
                  <a:srgbClr val="E2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377-4840-B2D3-1429721BF9D5}"/>
              </c:ext>
            </c:extLst>
          </c:dPt>
          <c:cat>
            <c:strRef>
              <c:f>'Graphs '!$A$226:$D$226</c:f>
              <c:strCache>
                <c:ptCount val="4"/>
                <c:pt idx="0">
                  <c:v>Compound Annual Growth Rate - Revenue </c:v>
                </c:pt>
                <c:pt idx="1">
                  <c:v>Moody's Annual Growth Rate - Revenue</c:v>
                </c:pt>
                <c:pt idx="2">
                  <c:v>Compound Annual Growth Rate - Expense </c:v>
                </c:pt>
                <c:pt idx="3">
                  <c:v>Moody's Annual Growth Rate - Expense</c:v>
                </c:pt>
              </c:strCache>
            </c:strRef>
          </c:cat>
          <c:val>
            <c:numRef>
              <c:f>'Graphs '!$A$227:$D$227</c:f>
              <c:numCache>
                <c:formatCode>0%</c:formatCode>
                <c:ptCount val="4"/>
                <c:pt idx="0">
                  <c:v>7.6385029150537243E-2</c:v>
                </c:pt>
                <c:pt idx="1">
                  <c:v>0.03</c:v>
                </c:pt>
                <c:pt idx="2">
                  <c:v>8.9815603143889255E-2</c:v>
                </c:pt>
                <c:pt idx="3">
                  <c:v>0.04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377-4840-B2D3-1429721BF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220332992"/>
        <c:axId val="1220333536"/>
      </c:barChart>
      <c:catAx>
        <c:axId val="122033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20333536"/>
        <c:crosses val="autoZero"/>
        <c:auto val="1"/>
        <c:lblAlgn val="ctr"/>
        <c:lblOffset val="100"/>
        <c:noMultiLvlLbl val="0"/>
      </c:catAx>
      <c:valAx>
        <c:axId val="12203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2033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'Graphs '!$F$78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8575" cap="rnd">
              <a:solidFill>
                <a:srgbClr val="F6CD38"/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none"/>
            </c:marker>
            <c:bubble3D val="0"/>
            <c:spPr>
              <a:ln w="28575" cap="rnd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dPt>
          <c:dPt>
            <c:idx val="13"/>
            <c:marker>
              <c:symbol val="none"/>
            </c:marker>
            <c:bubble3D val="0"/>
            <c:spPr>
              <a:ln w="28575" cap="rnd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dPt>
          <c:dPt>
            <c:idx val="14"/>
            <c:marker>
              <c:symbol val="none"/>
            </c:marker>
            <c:bubble3D val="0"/>
            <c:spPr>
              <a:ln w="28575" cap="rnd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dPt>
          <c:dPt>
            <c:idx val="15"/>
            <c:marker>
              <c:symbol val="none"/>
            </c:marker>
            <c:bubble3D val="0"/>
            <c:spPr>
              <a:ln w="28575" cap="rnd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dPt>
          <c:cat>
            <c:numRef>
              <c:f>'Graphs '!$G$77:$V$77</c:f>
              <c:numCache>
                <c:formatCode>0</c:formatCod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numCache>
            </c:numRef>
          </c:cat>
          <c:val>
            <c:numRef>
              <c:f>'Graphs '!$G$78:$V$78</c:f>
              <c:numCache>
                <c:formatCode>General</c:formatCode>
                <c:ptCount val="16"/>
                <c:pt idx="0">
                  <c:v>2523525000</c:v>
                </c:pt>
                <c:pt idx="1">
                  <c:v>1902376000</c:v>
                </c:pt>
                <c:pt idx="2">
                  <c:v>1321283000</c:v>
                </c:pt>
                <c:pt idx="3">
                  <c:v>3129147119.5239997</c:v>
                </c:pt>
                <c:pt idx="4">
                  <c:v>3922665000</c:v>
                </c:pt>
                <c:pt idx="5">
                  <c:v>3233714000</c:v>
                </c:pt>
                <c:pt idx="6">
                  <c:v>3861467000</c:v>
                </c:pt>
                <c:pt idx="7">
                  <c:v>4760460000</c:v>
                </c:pt>
                <c:pt idx="8">
                  <c:v>4242714000</c:v>
                </c:pt>
                <c:pt idx="9">
                  <c:v>4336854000</c:v>
                </c:pt>
                <c:pt idx="10">
                  <c:v>5268465000</c:v>
                </c:pt>
                <c:pt idx="11" formatCode="0">
                  <c:v>5432697252.3723145</c:v>
                </c:pt>
                <c:pt idx="12" formatCode="0">
                  <c:v>5754773004.7445068</c:v>
                </c:pt>
                <c:pt idx="13" formatCode="0">
                  <c:v>6076848757.1169434</c:v>
                </c:pt>
                <c:pt idx="14" formatCode="0">
                  <c:v>6398924509.4892578</c:v>
                </c:pt>
                <c:pt idx="15" formatCode="0">
                  <c:v>6721000261.8614502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'Graphs '!$F$79</c:f>
              <c:strCache>
                <c:ptCount val="1"/>
                <c:pt idx="0">
                  <c:v>Total Expense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none"/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dPt>
          <c:dPt>
            <c:idx val="13"/>
            <c:marker>
              <c:symbol val="none"/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dPt>
          <c:dPt>
            <c:idx val="14"/>
            <c:marker>
              <c:symbol val="none"/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dPt>
          <c:dPt>
            <c:idx val="15"/>
            <c:marker>
              <c:symbol val="none"/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dPt>
          <c:cat>
            <c:numRef>
              <c:f>'Graphs '!$G$77:$V$77</c:f>
              <c:numCache>
                <c:formatCode>0</c:formatCod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numCache>
            </c:numRef>
          </c:cat>
          <c:val>
            <c:numRef>
              <c:f>'Graphs '!$G$79:$V$79</c:f>
              <c:numCache>
                <c:formatCode>General</c:formatCode>
                <c:ptCount val="16"/>
                <c:pt idx="0">
                  <c:v>1849344000</c:v>
                </c:pt>
                <c:pt idx="1">
                  <c:v>1933529000</c:v>
                </c:pt>
                <c:pt idx="2">
                  <c:v>2191669000</c:v>
                </c:pt>
                <c:pt idx="3">
                  <c:v>2698272178</c:v>
                </c:pt>
                <c:pt idx="4">
                  <c:v>2930739000</c:v>
                </c:pt>
                <c:pt idx="5">
                  <c:v>3165396000</c:v>
                </c:pt>
                <c:pt idx="6">
                  <c:v>3273784000</c:v>
                </c:pt>
                <c:pt idx="7">
                  <c:v>3682731000</c:v>
                </c:pt>
                <c:pt idx="8">
                  <c:v>3980355000</c:v>
                </c:pt>
                <c:pt idx="9">
                  <c:v>4179379000</c:v>
                </c:pt>
                <c:pt idx="10">
                  <c:v>4370669000</c:v>
                </c:pt>
                <c:pt idx="11" formatCode="0">
                  <c:v>4710608596.7636108</c:v>
                </c:pt>
                <c:pt idx="12" formatCode="0">
                  <c:v>4976681738.9818115</c:v>
                </c:pt>
                <c:pt idx="13" formatCode="0">
                  <c:v>5242754881.2000122</c:v>
                </c:pt>
                <c:pt idx="14" formatCode="0">
                  <c:v>5508828023.4181519</c:v>
                </c:pt>
                <c:pt idx="15" formatCode="0">
                  <c:v>5774901165.6363525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334624"/>
        <c:axId val="1220334080"/>
      </c:lineChart>
      <c:catAx>
        <c:axId val="122033462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20334080"/>
        <c:crosses val="autoZero"/>
        <c:auto val="1"/>
        <c:lblAlgn val="ctr"/>
        <c:lblOffset val="100"/>
        <c:noMultiLvlLbl val="0"/>
      </c:catAx>
      <c:valAx>
        <c:axId val="122033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20334624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'!$F$78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'Graphs '!$G$77:$V$77</c:f>
              <c:numCache>
                <c:formatCode>0</c:formatCod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numCache>
            </c:numRef>
          </c:cat>
          <c:val>
            <c:numRef>
              <c:f>'Graphs '!$G$78:$V$78</c:f>
              <c:numCache>
                <c:formatCode>General</c:formatCode>
                <c:ptCount val="16"/>
                <c:pt idx="0">
                  <c:v>2523525000</c:v>
                </c:pt>
                <c:pt idx="1">
                  <c:v>1902376000</c:v>
                </c:pt>
                <c:pt idx="2">
                  <c:v>1321283000</c:v>
                </c:pt>
                <c:pt idx="3">
                  <c:v>3129147119.5239997</c:v>
                </c:pt>
                <c:pt idx="4">
                  <c:v>3922665000</c:v>
                </c:pt>
                <c:pt idx="5">
                  <c:v>3233714000</c:v>
                </c:pt>
                <c:pt idx="6">
                  <c:v>3861467000</c:v>
                </c:pt>
                <c:pt idx="7">
                  <c:v>4760460000</c:v>
                </c:pt>
                <c:pt idx="8">
                  <c:v>4242714000</c:v>
                </c:pt>
                <c:pt idx="9">
                  <c:v>4336854000</c:v>
                </c:pt>
                <c:pt idx="10">
                  <c:v>5268465000</c:v>
                </c:pt>
                <c:pt idx="11" formatCode="0">
                  <c:v>5432697252.3723145</c:v>
                </c:pt>
                <c:pt idx="12" formatCode="0">
                  <c:v>5754773004.7445068</c:v>
                </c:pt>
                <c:pt idx="13" formatCode="0">
                  <c:v>6076848757.1169434</c:v>
                </c:pt>
                <c:pt idx="14" formatCode="0">
                  <c:v>6398924509.4892578</c:v>
                </c:pt>
                <c:pt idx="15" formatCode="0">
                  <c:v>6721000261.8614502</c:v>
                </c:pt>
              </c:numCache>
            </c:numRef>
          </c:val>
        </c:ser>
        <c:ser>
          <c:idx val="1"/>
          <c:order val="1"/>
          <c:tx>
            <c:strRef>
              <c:f>'Graphs '!$F$79</c:f>
              <c:strCache>
                <c:ptCount val="1"/>
                <c:pt idx="0">
                  <c:v>Total Expense</c:v>
                </c:pt>
              </c:strCache>
            </c:strRef>
          </c:tx>
          <c:spPr>
            <a:solidFill>
              <a:srgbClr val="CA0000"/>
            </a:solidFill>
            <a:ln>
              <a:noFill/>
            </a:ln>
            <a:effectLst/>
          </c:spPr>
          <c:invertIfNegative val="0"/>
          <c:cat>
            <c:numRef>
              <c:f>'Graphs '!$G$77:$V$77</c:f>
              <c:numCache>
                <c:formatCode>0</c:formatCod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numCache>
            </c:numRef>
          </c:cat>
          <c:val>
            <c:numRef>
              <c:f>'Graphs '!$G$79:$V$79</c:f>
              <c:numCache>
                <c:formatCode>General</c:formatCode>
                <c:ptCount val="16"/>
                <c:pt idx="0">
                  <c:v>1849344000</c:v>
                </c:pt>
                <c:pt idx="1">
                  <c:v>1933529000</c:v>
                </c:pt>
                <c:pt idx="2">
                  <c:v>2191669000</c:v>
                </c:pt>
                <c:pt idx="3">
                  <c:v>2698272178</c:v>
                </c:pt>
                <c:pt idx="4">
                  <c:v>2930739000</c:v>
                </c:pt>
                <c:pt idx="5">
                  <c:v>3165396000</c:v>
                </c:pt>
                <c:pt idx="6">
                  <c:v>3273784000</c:v>
                </c:pt>
                <c:pt idx="7">
                  <c:v>3682731000</c:v>
                </c:pt>
                <c:pt idx="8">
                  <c:v>3980355000</c:v>
                </c:pt>
                <c:pt idx="9">
                  <c:v>4179379000</c:v>
                </c:pt>
                <c:pt idx="10">
                  <c:v>4370669000</c:v>
                </c:pt>
                <c:pt idx="11" formatCode="0">
                  <c:v>4710608596.7636108</c:v>
                </c:pt>
                <c:pt idx="12" formatCode="0">
                  <c:v>4976681738.9818115</c:v>
                </c:pt>
                <c:pt idx="13" formatCode="0">
                  <c:v>5242754881.2000122</c:v>
                </c:pt>
                <c:pt idx="14" formatCode="0">
                  <c:v>5508828023.4181519</c:v>
                </c:pt>
                <c:pt idx="15" formatCode="0">
                  <c:v>5774901165.6363525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0341152"/>
        <c:axId val="1221003488"/>
      </c:barChart>
      <c:catAx>
        <c:axId val="122034115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21003488"/>
        <c:crosses val="autoZero"/>
        <c:auto val="1"/>
        <c:lblAlgn val="ctr"/>
        <c:lblOffset val="100"/>
        <c:noMultiLvlLbl val="0"/>
      </c:catAx>
      <c:valAx>
        <c:axId val="12210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20341152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'!$I$228</c:f>
              <c:strCache>
                <c:ptCount val="1"/>
                <c:pt idx="0">
                  <c:v>Revenue Growth Y/o/Y</c:v>
                </c:pt>
              </c:strCache>
            </c:strRef>
          </c:tx>
          <c:spPr>
            <a:ln w="28575" cap="rnd">
              <a:solidFill>
                <a:srgbClr val="F6CD38"/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none"/>
            </c:marker>
            <c:bubble3D val="0"/>
            <c:spPr>
              <a:ln w="28575" cap="rnd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dPt>
          <c:dPt>
            <c:idx val="11"/>
            <c:marker>
              <c:symbol val="none"/>
            </c:marker>
            <c:bubble3D val="0"/>
            <c:spPr>
              <a:ln w="28575" cap="rnd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dPt>
          <c:dPt>
            <c:idx val="12"/>
            <c:marker>
              <c:symbol val="none"/>
            </c:marker>
            <c:bubble3D val="0"/>
            <c:spPr>
              <a:ln w="28575" cap="rnd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dPt>
          <c:dPt>
            <c:idx val="13"/>
            <c:marker>
              <c:symbol val="none"/>
            </c:marker>
            <c:bubble3D val="0"/>
            <c:spPr>
              <a:ln w="28575" cap="rnd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dPt>
          <c:cat>
            <c:numRef>
              <c:f>'Graphs '!$J$226:$W$226</c:f>
              <c:numCache>
                <c:formatCode>General</c:formatCod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cat>
          <c:val>
            <c:numRef>
              <c:f>'Graphs '!$J$228:$W$228</c:f>
              <c:numCache>
                <c:formatCode>0.0%</c:formatCode>
                <c:ptCount val="14"/>
                <c:pt idx="0">
                  <c:v>-0.24614339069357347</c:v>
                </c:pt>
                <c:pt idx="1">
                  <c:v>-0.30545643973641384</c:v>
                </c:pt>
                <c:pt idx="2">
                  <c:v>1.3682641186816147</c:v>
                </c:pt>
                <c:pt idx="3">
                  <c:v>0.25358918905567751</c:v>
                </c:pt>
                <c:pt idx="4">
                  <c:v>-0.17563340229155433</c:v>
                </c:pt>
                <c:pt idx="5">
                  <c:v>0.19412755735355694</c:v>
                </c:pt>
                <c:pt idx="6">
                  <c:v>0.23281126059085835</c:v>
                </c:pt>
                <c:pt idx="7">
                  <c:v>-0.10875965768014015</c:v>
                </c:pt>
                <c:pt idx="8">
                  <c:v>2.2188627373893221E-2</c:v>
                </c:pt>
                <c:pt idx="9">
                  <c:v>0.21481262684886326</c:v>
                </c:pt>
                <c:pt idx="10">
                  <c:v>3.5000000000000073E-2</c:v>
                </c:pt>
                <c:pt idx="11">
                  <c:v>3.4999999999999948E-2</c:v>
                </c:pt>
                <c:pt idx="12">
                  <c:v>3.4999999999999969E-2</c:v>
                </c:pt>
                <c:pt idx="13">
                  <c:v>3.4999999999999927E-2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'Graphs '!$I$229</c:f>
              <c:strCache>
                <c:ptCount val="1"/>
                <c:pt idx="0">
                  <c:v>Compound Annual Growth Rate 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'Graphs '!$J$226:$W$226</c:f>
              <c:numCache>
                <c:formatCode>General</c:formatCod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cat>
          <c:val>
            <c:numRef>
              <c:f>'Graphs '!$J$229:$W$229</c:f>
              <c:numCache>
                <c:formatCode>0.0%</c:formatCode>
                <c:ptCount val="14"/>
                <c:pt idx="0">
                  <c:v>7.5999999999999998E-2</c:v>
                </c:pt>
                <c:pt idx="1">
                  <c:v>7.5999999999999998E-2</c:v>
                </c:pt>
                <c:pt idx="2">
                  <c:v>7.5999999999999998E-2</c:v>
                </c:pt>
                <c:pt idx="3">
                  <c:v>7.5999999999999998E-2</c:v>
                </c:pt>
                <c:pt idx="4">
                  <c:v>7.5999999999999998E-2</c:v>
                </c:pt>
                <c:pt idx="5">
                  <c:v>7.5999999999999998E-2</c:v>
                </c:pt>
                <c:pt idx="6">
                  <c:v>7.5999999999999998E-2</c:v>
                </c:pt>
                <c:pt idx="7">
                  <c:v>7.5999999999999998E-2</c:v>
                </c:pt>
                <c:pt idx="8">
                  <c:v>7.5999999999999998E-2</c:v>
                </c:pt>
                <c:pt idx="9">
                  <c:v>7.5999999999999998E-2</c:v>
                </c:pt>
                <c:pt idx="10">
                  <c:v>7.5999999999999998E-2</c:v>
                </c:pt>
                <c:pt idx="11">
                  <c:v>7.5999999999999998E-2</c:v>
                </c:pt>
                <c:pt idx="12">
                  <c:v>7.5999999999999998E-2</c:v>
                </c:pt>
                <c:pt idx="13">
                  <c:v>7.5999999999999998E-2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000768"/>
        <c:axId val="1220995872"/>
      </c:lineChart>
      <c:catAx>
        <c:axId val="122100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20995872"/>
        <c:crosses val="autoZero"/>
        <c:auto val="1"/>
        <c:lblAlgn val="ctr"/>
        <c:lblOffset val="100"/>
        <c:noMultiLvlLbl val="0"/>
      </c:catAx>
      <c:valAx>
        <c:axId val="1220995872"/>
        <c:scaling>
          <c:orientation val="minMax"/>
          <c:max val="1.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2100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'!$I$231</c:f>
              <c:strCache>
                <c:ptCount val="1"/>
                <c:pt idx="0">
                  <c:v>Expense Growth Y/o/Y</c:v>
                </c:pt>
              </c:strCache>
            </c:strRef>
          </c:tx>
          <c:spPr>
            <a:ln w="28575" cap="rnd">
              <a:solidFill>
                <a:srgbClr val="E20000"/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none"/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dPt>
          <c:dPt>
            <c:idx val="11"/>
            <c:marker>
              <c:symbol val="none"/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dPt>
          <c:dPt>
            <c:idx val="12"/>
            <c:marker>
              <c:symbol val="none"/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dPt>
          <c:dPt>
            <c:idx val="13"/>
            <c:marker>
              <c:symbol val="none"/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dPt>
          <c:cat>
            <c:numRef>
              <c:f>'Graphs '!$J$226:$W$226</c:f>
              <c:numCache>
                <c:formatCode>General</c:formatCod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cat>
          <c:val>
            <c:numRef>
              <c:f>'Graphs '!$J$231:$W$231</c:f>
              <c:numCache>
                <c:formatCode>0.0%</c:formatCode>
                <c:ptCount val="14"/>
                <c:pt idx="0">
                  <c:v>4.5521547099944631E-2</c:v>
                </c:pt>
                <c:pt idx="1">
                  <c:v>0.13350717780803908</c:v>
                </c:pt>
                <c:pt idx="2">
                  <c:v>0.23114949292069187</c:v>
                </c:pt>
                <c:pt idx="3">
                  <c:v>8.6153955814905259E-2</c:v>
                </c:pt>
                <c:pt idx="4">
                  <c:v>8.0067518806690052E-2</c:v>
                </c:pt>
                <c:pt idx="5">
                  <c:v>3.4241529337877476E-2</c:v>
                </c:pt>
                <c:pt idx="6">
                  <c:v>0.12491569388817345</c:v>
                </c:pt>
                <c:pt idx="7">
                  <c:v>8.0816111738815574E-2</c:v>
                </c:pt>
                <c:pt idx="8">
                  <c:v>5.000157021170222E-2</c:v>
                </c:pt>
                <c:pt idx="9">
                  <c:v>4.5769957689886467E-2</c:v>
                </c:pt>
                <c:pt idx="10">
                  <c:v>2.7644912026053625E-2</c:v>
                </c:pt>
                <c:pt idx="11">
                  <c:v>2.7977279087980332E-2</c:v>
                </c:pt>
                <c:pt idx="12">
                  <c:v>2.8304487699683186E-2</c:v>
                </c:pt>
                <c:pt idx="13">
                  <c:v>3.9999999999999931E-2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'Graphs '!$I$232</c:f>
              <c:strCache>
                <c:ptCount val="1"/>
                <c:pt idx="0">
                  <c:v>Compound Annual Growth Rate 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'Graphs '!$J$226:$W$226</c:f>
              <c:numCache>
                <c:formatCode>General</c:formatCod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cat>
          <c:val>
            <c:numRef>
              <c:f>'Graphs '!$J$232:$W$232</c:f>
              <c:numCache>
                <c:formatCode>0.0%</c:formatCode>
                <c:ptCount val="14"/>
                <c:pt idx="0">
                  <c:v>0.09</c:v>
                </c:pt>
                <c:pt idx="1">
                  <c:v>0.09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0.09</c:v>
                </c:pt>
                <c:pt idx="8">
                  <c:v>0.09</c:v>
                </c:pt>
                <c:pt idx="9">
                  <c:v>0.09</c:v>
                </c:pt>
                <c:pt idx="10">
                  <c:v>0.09</c:v>
                </c:pt>
                <c:pt idx="11">
                  <c:v>0.09</c:v>
                </c:pt>
                <c:pt idx="12">
                  <c:v>0.09</c:v>
                </c:pt>
                <c:pt idx="13">
                  <c:v>0.09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989888"/>
        <c:axId val="1220988800"/>
      </c:lineChart>
      <c:catAx>
        <c:axId val="122098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20988800"/>
        <c:crosses val="autoZero"/>
        <c:auto val="1"/>
        <c:lblAlgn val="ctr"/>
        <c:lblOffset val="100"/>
        <c:noMultiLvlLbl val="0"/>
      </c:catAx>
      <c:valAx>
        <c:axId val="122098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2098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'Graphs '!$I$228</c:f>
              <c:strCache>
                <c:ptCount val="1"/>
                <c:pt idx="0">
                  <c:v>Revenue Growth Y/o/Y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none"/>
            </c:marker>
            <c:bubble3D val="0"/>
            <c:spPr>
              <a:ln w="38100" cap="rnd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dPt>
          <c:dPt>
            <c:idx val="11"/>
            <c:marker>
              <c:symbol val="none"/>
            </c:marker>
            <c:bubble3D val="0"/>
            <c:spPr>
              <a:ln w="38100" cap="rnd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dPt>
          <c:dPt>
            <c:idx val="12"/>
            <c:marker>
              <c:symbol val="none"/>
            </c:marker>
            <c:bubble3D val="0"/>
            <c:spPr>
              <a:ln w="38100" cap="rnd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dPt>
          <c:dPt>
            <c:idx val="13"/>
            <c:marker>
              <c:symbol val="none"/>
            </c:marker>
            <c:bubble3D val="0"/>
            <c:spPr>
              <a:ln w="38100" cap="rnd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dPt>
          <c:cat>
            <c:numRef>
              <c:f>'Graphs '!$J$226:$W$226</c:f>
              <c:numCache>
                <c:formatCode>General</c:formatCod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cat>
          <c:val>
            <c:numRef>
              <c:f>'Graphs '!$J$228:$W$228</c:f>
              <c:numCache>
                <c:formatCode>0.0%</c:formatCode>
                <c:ptCount val="14"/>
                <c:pt idx="0">
                  <c:v>-0.24614339069357347</c:v>
                </c:pt>
                <c:pt idx="1">
                  <c:v>-0.30545643973641384</c:v>
                </c:pt>
                <c:pt idx="2">
                  <c:v>1.3682641186816147</c:v>
                </c:pt>
                <c:pt idx="3">
                  <c:v>0.25358918905567751</c:v>
                </c:pt>
                <c:pt idx="4">
                  <c:v>-0.17563340229155433</c:v>
                </c:pt>
                <c:pt idx="5">
                  <c:v>0.19412755735355694</c:v>
                </c:pt>
                <c:pt idx="6">
                  <c:v>0.23281126059085835</c:v>
                </c:pt>
                <c:pt idx="7">
                  <c:v>-0.10875965768014015</c:v>
                </c:pt>
                <c:pt idx="8">
                  <c:v>2.2188627373893221E-2</c:v>
                </c:pt>
                <c:pt idx="9">
                  <c:v>0.21481262684886326</c:v>
                </c:pt>
                <c:pt idx="10">
                  <c:v>3.5000000000000073E-2</c:v>
                </c:pt>
                <c:pt idx="11">
                  <c:v>3.4999999999999948E-2</c:v>
                </c:pt>
                <c:pt idx="12">
                  <c:v>3.4999999999999969E-2</c:v>
                </c:pt>
                <c:pt idx="13">
                  <c:v>3.4999999999999927E-2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'Graphs '!$I$231</c:f>
              <c:strCache>
                <c:ptCount val="1"/>
                <c:pt idx="0">
                  <c:v>Expense Growth Y/o/Y</c:v>
                </c:pt>
              </c:strCache>
            </c:strRef>
          </c:tx>
          <c:spPr>
            <a:ln w="38100" cap="rnd">
              <a:solidFill>
                <a:srgbClr val="E20000"/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none"/>
            </c:marker>
            <c:bubble3D val="0"/>
            <c:spPr>
              <a:ln w="38100" cap="rnd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dPt>
          <c:dPt>
            <c:idx val="11"/>
            <c:marker>
              <c:symbol val="none"/>
            </c:marker>
            <c:bubble3D val="0"/>
            <c:spPr>
              <a:ln w="38100" cap="rnd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dPt>
          <c:dPt>
            <c:idx val="12"/>
            <c:marker>
              <c:symbol val="none"/>
            </c:marker>
            <c:bubble3D val="0"/>
            <c:spPr>
              <a:ln w="38100" cap="rnd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dPt>
          <c:dPt>
            <c:idx val="13"/>
            <c:marker>
              <c:symbol val="none"/>
            </c:marker>
            <c:bubble3D val="0"/>
            <c:spPr>
              <a:ln w="38100" cap="rnd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dPt>
          <c:cat>
            <c:numRef>
              <c:f>'Graphs '!$J$226:$W$226</c:f>
              <c:numCache>
                <c:formatCode>General</c:formatCod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cat>
          <c:val>
            <c:numRef>
              <c:f>'Graphs '!$J$231:$W$231</c:f>
              <c:numCache>
                <c:formatCode>0.0%</c:formatCode>
                <c:ptCount val="14"/>
                <c:pt idx="0">
                  <c:v>4.5521547099944631E-2</c:v>
                </c:pt>
                <c:pt idx="1">
                  <c:v>0.13350717780803908</c:v>
                </c:pt>
                <c:pt idx="2">
                  <c:v>0.23114949292069187</c:v>
                </c:pt>
                <c:pt idx="3">
                  <c:v>8.6153955814905259E-2</c:v>
                </c:pt>
                <c:pt idx="4">
                  <c:v>8.0067518806690052E-2</c:v>
                </c:pt>
                <c:pt idx="5">
                  <c:v>3.4241529337877476E-2</c:v>
                </c:pt>
                <c:pt idx="6">
                  <c:v>0.12491569388817345</c:v>
                </c:pt>
                <c:pt idx="7">
                  <c:v>8.0816111738815574E-2</c:v>
                </c:pt>
                <c:pt idx="8">
                  <c:v>5.000157021170222E-2</c:v>
                </c:pt>
                <c:pt idx="9">
                  <c:v>4.5769957689886467E-2</c:v>
                </c:pt>
                <c:pt idx="10">
                  <c:v>2.7644912026053625E-2</c:v>
                </c:pt>
                <c:pt idx="11">
                  <c:v>2.7977279087980332E-2</c:v>
                </c:pt>
                <c:pt idx="12">
                  <c:v>2.8304487699683186E-2</c:v>
                </c:pt>
                <c:pt idx="13">
                  <c:v>3.9999999999999931E-2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993152"/>
        <c:axId val="1220989344"/>
      </c:lineChart>
      <c:catAx>
        <c:axId val="122099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20989344"/>
        <c:crosses val="autoZero"/>
        <c:auto val="1"/>
        <c:lblAlgn val="ctr"/>
        <c:lblOffset val="100"/>
        <c:noMultiLvlLbl val="0"/>
      </c:catAx>
      <c:valAx>
        <c:axId val="1220989344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2099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en-US" b="1"/>
              <a:t>10 Year</a:t>
            </a:r>
            <a:r>
              <a:rPr lang="en-US" b="1" baseline="0"/>
              <a:t> Net Increase/Decrease in Assets Trend Analysis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'Graphs '!$A$6</c:f>
              <c:strCache>
                <c:ptCount val="1"/>
                <c:pt idx="0">
                  <c:v>Change in Net Asset 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575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D75-446C-8199-EFB0867EDED1}"/>
              </c:ext>
            </c:extLst>
          </c:dPt>
          <c:dPt>
            <c:idx val="2"/>
            <c:invertIfNegative val="0"/>
            <c:bubble3D val="0"/>
            <c:spPr>
              <a:solidFill>
                <a:srgbClr val="FF575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D75-446C-8199-EFB0867EDED1}"/>
              </c:ext>
            </c:extLst>
          </c:dPt>
          <c:cat>
            <c:strRef>
              <c:f>'Graphs '!$B$3:$L$3</c:f>
              <c:strCache>
                <c:ptCount val="11"/>
                <c:pt idx="0">
                  <c:v>
2007</c:v>
                </c:pt>
                <c:pt idx="1">
                  <c:v>
2008</c:v>
                </c:pt>
                <c:pt idx="2">
                  <c:v> 
2009</c:v>
                </c:pt>
                <c:pt idx="3">
                  <c:v>
2010</c:v>
                </c:pt>
                <c:pt idx="4">
                  <c:v>  
2011</c:v>
                </c:pt>
                <c:pt idx="5">
                  <c:v>
2012</c:v>
                </c:pt>
                <c:pt idx="6">
                  <c:v>  
2013</c:v>
                </c:pt>
                <c:pt idx="7">
                  <c:v>
2014</c:v>
                </c:pt>
                <c:pt idx="8">
                  <c:v> 
2015</c:v>
                </c:pt>
                <c:pt idx="9">
                  <c:v>
2016</c:v>
                </c:pt>
                <c:pt idx="10">
                  <c:v>  
2017</c:v>
                </c:pt>
              </c:strCache>
            </c:strRef>
          </c:cat>
          <c:val>
            <c:numRef>
              <c:f>'Graphs '!$B$6:$L$6</c:f>
              <c:numCache>
                <c:formatCode>#,##0_);[Red]\(#,##0\)</c:formatCode>
                <c:ptCount val="11"/>
                <c:pt idx="0">
                  <c:v>674181000</c:v>
                </c:pt>
                <c:pt idx="1">
                  <c:v>-31153000</c:v>
                </c:pt>
                <c:pt idx="2">
                  <c:v>-870386000</c:v>
                </c:pt>
                <c:pt idx="3">
                  <c:v>430874941.52399969</c:v>
                </c:pt>
                <c:pt idx="4">
                  <c:v>991926000</c:v>
                </c:pt>
                <c:pt idx="5">
                  <c:v>68318000</c:v>
                </c:pt>
                <c:pt idx="6">
                  <c:v>587683000</c:v>
                </c:pt>
                <c:pt idx="7">
                  <c:v>1077729000</c:v>
                </c:pt>
                <c:pt idx="8">
                  <c:v>262359000</c:v>
                </c:pt>
                <c:pt idx="9">
                  <c:v>157475000</c:v>
                </c:pt>
                <c:pt idx="10">
                  <c:v>897796000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D75-446C-8199-EFB0867ED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3072816"/>
        <c:axId val="1063077168"/>
      </c:barChart>
      <c:catAx>
        <c:axId val="106307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063077168"/>
        <c:crosses val="autoZero"/>
        <c:auto val="1"/>
        <c:lblAlgn val="ctr"/>
        <c:lblOffset val="100"/>
        <c:noMultiLvlLbl val="0"/>
      </c:catAx>
      <c:valAx>
        <c:axId val="1063077168"/>
        <c:scaling>
          <c:orientation val="minMax"/>
          <c:max val="1500000000"/>
          <c:min val="-1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 sz="1100"/>
                  <a:t>Millions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063072816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US"/>
              <a:t>Educational and General Activities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'Expenses (AA)'!$C$38</c:f>
              <c:strCache>
                <c:ptCount val="1"/>
                <c:pt idx="0">
                  <c:v>Educational and General Activities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04C-46DC-B081-D601105AAACE}"/>
              </c:ext>
            </c:extLst>
          </c:dPt>
          <c:cat>
            <c:numRef>
              <c:f>'Expenses (AA)'!$B$39:$B$49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'Expenses (AA)'!$C$39:$C$49</c:f>
              <c:numCache>
                <c:formatCode>#,##0_);[Red]\(#,##0\)</c:formatCode>
                <c:ptCount val="11"/>
                <c:pt idx="0">
                  <c:v>1579127</c:v>
                </c:pt>
                <c:pt idx="1">
                  <c:v>1658013</c:v>
                </c:pt>
                <c:pt idx="2">
                  <c:v>1766739</c:v>
                </c:pt>
                <c:pt idx="3">
                  <c:v>1800353.9310000001</c:v>
                </c:pt>
                <c:pt idx="4">
                  <c:v>1931735</c:v>
                </c:pt>
                <c:pt idx="5">
                  <c:v>2078848</c:v>
                </c:pt>
                <c:pt idx="6" formatCode="#,##0">
                  <c:v>2144565</c:v>
                </c:pt>
                <c:pt idx="7" formatCode="#,##0">
                  <c:v>2312932</c:v>
                </c:pt>
                <c:pt idx="8" formatCode="#,##0">
                  <c:v>2415602</c:v>
                </c:pt>
                <c:pt idx="9" formatCode="#,##0">
                  <c:v>2529214</c:v>
                </c:pt>
                <c:pt idx="10" formatCode="#,##0">
                  <c:v>2633697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04C-46DC-B081-D601105AA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27"/>
        <c:axId val="1220998592"/>
        <c:axId val="1221001312"/>
      </c:barChart>
      <c:catAx>
        <c:axId val="122099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21001312"/>
        <c:crosses val="autoZero"/>
        <c:auto val="1"/>
        <c:lblAlgn val="ctr"/>
        <c:lblOffset val="100"/>
        <c:noMultiLvlLbl val="0"/>
      </c:catAx>
      <c:valAx>
        <c:axId val="122100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20998592"/>
        <c:crosses val="autoZero"/>
        <c:crossBetween val="between"/>
        <c:dispUnits>
          <c:builtInUnit val="thousands"/>
        </c:dispUnits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US"/>
              <a:t>Health Care Services</a:t>
            </a:r>
          </a:p>
        </c:rich>
      </c:tx>
      <c:layout>
        <c:manualLayout>
          <c:xMode val="edge"/>
          <c:yMode val="edge"/>
          <c:x val="0.34034289874761892"/>
          <c:y val="3.41333467119329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'Expenses (AA)'!$D$38</c:f>
              <c:strCache>
                <c:ptCount val="1"/>
                <c:pt idx="0">
                  <c:v>Health Care Services</c:v>
                </c:pt>
              </c:strCache>
            </c:strRef>
          </c:tx>
          <c:spPr>
            <a:solidFill>
              <a:srgbClr val="CA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'Expenses (AA)'!$B$39:$B$49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'Expenses (AA)'!$D$39:$D$49</c:f>
              <c:numCache>
                <c:formatCode>#,##0_);[Red]\(#,##0\)</c:formatCode>
                <c:ptCount val="11"/>
                <c:pt idx="0">
                  <c:v>154036</c:v>
                </c:pt>
                <c:pt idx="1">
                  <c:v>149402</c:v>
                </c:pt>
                <c:pt idx="2">
                  <c:v>273526</c:v>
                </c:pt>
                <c:pt idx="3">
                  <c:v>714605.61600000004</c:v>
                </c:pt>
                <c:pt idx="4">
                  <c:v>799944</c:v>
                </c:pt>
                <c:pt idx="5">
                  <c:v>864536</c:v>
                </c:pt>
                <c:pt idx="6" formatCode="#,##0">
                  <c:v>904627</c:v>
                </c:pt>
                <c:pt idx="7" formatCode="#,##0">
                  <c:v>1122176</c:v>
                </c:pt>
                <c:pt idx="8" formatCode="#,##0">
                  <c:v>1300218</c:v>
                </c:pt>
                <c:pt idx="9" formatCode="#,##0">
                  <c:v>1368121</c:v>
                </c:pt>
                <c:pt idx="10" formatCode="#,##0">
                  <c:v>1423551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E0B-4C4C-979C-4BE928D4A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27"/>
        <c:axId val="1220994240"/>
        <c:axId val="1220994784"/>
      </c:barChart>
      <c:catAx>
        <c:axId val="122099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20994784"/>
        <c:crosses val="autoZero"/>
        <c:auto val="1"/>
        <c:lblAlgn val="ctr"/>
        <c:lblOffset val="100"/>
        <c:noMultiLvlLbl val="0"/>
      </c:catAx>
      <c:valAx>
        <c:axId val="122099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20994240"/>
        <c:crosses val="autoZero"/>
        <c:crossBetween val="between"/>
        <c:dispUnits>
          <c:builtInUnit val="thousands"/>
        </c:dispUnits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US"/>
              <a:t>Depreciation and Amortization</a:t>
            </a:r>
          </a:p>
        </c:rich>
      </c:tx>
      <c:layout>
        <c:manualLayout>
          <c:xMode val="edge"/>
          <c:yMode val="edge"/>
          <c:x val="0.30670672963184298"/>
          <c:y val="3.9855587381245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'Expenses (AA)'!$E$38</c:f>
              <c:strCache>
                <c:ptCount val="1"/>
                <c:pt idx="0">
                  <c:v>Depreciation and Amortization</c:v>
                </c:pt>
              </c:strCache>
            </c:strRef>
          </c:tx>
          <c:spPr>
            <a:solidFill>
              <a:srgbClr val="F6CD38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'Expenses (AA)'!$B$39:$B$49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'Expenses (AA)'!$E$39:$E$49</c:f>
              <c:numCache>
                <c:formatCode>#,##0_);[Red]\(#,##0\)</c:formatCode>
                <c:ptCount val="11"/>
                <c:pt idx="0">
                  <c:v>93695</c:v>
                </c:pt>
                <c:pt idx="1">
                  <c:v>103629</c:v>
                </c:pt>
                <c:pt idx="2">
                  <c:v>120044</c:v>
                </c:pt>
                <c:pt idx="3">
                  <c:v>142471.01300000001</c:v>
                </c:pt>
                <c:pt idx="4">
                  <c:v>153647</c:v>
                </c:pt>
                <c:pt idx="5">
                  <c:v>159238</c:v>
                </c:pt>
                <c:pt idx="6" formatCode="#,##0">
                  <c:v>161285</c:v>
                </c:pt>
                <c:pt idx="7" formatCode="#,##0">
                  <c:v>180953</c:v>
                </c:pt>
                <c:pt idx="8" formatCode="#,##0">
                  <c:v>198357</c:v>
                </c:pt>
                <c:pt idx="9" formatCode="#,##0">
                  <c:v>208069</c:v>
                </c:pt>
                <c:pt idx="10" formatCode="#,##0">
                  <c:v>245412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23-4AF4-9497-E9956FAB4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27"/>
        <c:axId val="1221002400"/>
        <c:axId val="1220992608"/>
      </c:barChart>
      <c:catAx>
        <c:axId val="122100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20992608"/>
        <c:crosses val="autoZero"/>
        <c:auto val="1"/>
        <c:lblAlgn val="ctr"/>
        <c:lblOffset val="100"/>
        <c:noMultiLvlLbl val="0"/>
      </c:catAx>
      <c:valAx>
        <c:axId val="1220992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21002400"/>
        <c:crosses val="autoZero"/>
        <c:crossBetween val="between"/>
        <c:dispUnits>
          <c:builtInUnit val="thousands"/>
        </c:dispUnits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US"/>
              <a:t>Interest on Indebtedness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'Expenses (AA)'!$F$38</c:f>
              <c:strCache>
                <c:ptCount val="1"/>
                <c:pt idx="0">
                  <c:v>Interest on Indebtedness</c:v>
                </c:pt>
              </c:strCache>
            </c:strRef>
          </c:tx>
          <c:spPr>
            <a:solidFill>
              <a:srgbClr val="FF111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'Expenses (AA)'!$B$39:$B$49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'Expenses (AA)'!$F$39:$F$49</c:f>
              <c:numCache>
                <c:formatCode>#,##0_);[Red]\(#,##0\)</c:formatCode>
                <c:ptCount val="11"/>
                <c:pt idx="0">
                  <c:v>22486</c:v>
                </c:pt>
                <c:pt idx="1">
                  <c:v>22485</c:v>
                </c:pt>
                <c:pt idx="2">
                  <c:v>31360</c:v>
                </c:pt>
                <c:pt idx="3">
                  <c:v>40841.618000000002</c:v>
                </c:pt>
                <c:pt idx="4">
                  <c:v>45413</c:v>
                </c:pt>
                <c:pt idx="5">
                  <c:v>62774</c:v>
                </c:pt>
                <c:pt idx="6" formatCode="#,##0">
                  <c:v>63307</c:v>
                </c:pt>
                <c:pt idx="7" formatCode="#,##0">
                  <c:v>66670</c:v>
                </c:pt>
                <c:pt idx="8" formatCode="#,##0">
                  <c:v>66178</c:v>
                </c:pt>
                <c:pt idx="9" formatCode="#,##0">
                  <c:v>73975</c:v>
                </c:pt>
                <c:pt idx="10" formatCode="#,##0">
                  <c:v>68009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FE-43AA-87B1-274524DF6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27"/>
        <c:axId val="1221002944"/>
        <c:axId val="1221004032"/>
      </c:barChart>
      <c:catAx>
        <c:axId val="122100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21004032"/>
        <c:crosses val="autoZero"/>
        <c:auto val="1"/>
        <c:lblAlgn val="ctr"/>
        <c:lblOffset val="100"/>
        <c:noMultiLvlLbl val="0"/>
      </c:catAx>
      <c:valAx>
        <c:axId val="122100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21002944"/>
        <c:crosses val="autoZero"/>
        <c:crossBetween val="between"/>
        <c:dispUnits>
          <c:builtInUnit val="thousands"/>
        </c:dispUnits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US"/>
              <a:t>Total Expenses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'Expenses (AA)'!$H$38</c:f>
              <c:strCache>
                <c:ptCount val="1"/>
                <c:pt idx="0">
                  <c:v>Total Expenses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'Expenses (AA)'!$B$39:$B$49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'Expenses (AA)'!$H$39:$H$49</c:f>
              <c:numCache>
                <c:formatCode>#,##0</c:formatCode>
                <c:ptCount val="11"/>
                <c:pt idx="0">
                  <c:v>1849344</c:v>
                </c:pt>
                <c:pt idx="1">
                  <c:v>1933529</c:v>
                </c:pt>
                <c:pt idx="2">
                  <c:v>2191669</c:v>
                </c:pt>
                <c:pt idx="3">
                  <c:v>2698272.1779999998</c:v>
                </c:pt>
                <c:pt idx="4">
                  <c:v>2930739</c:v>
                </c:pt>
                <c:pt idx="5">
                  <c:v>3165396</c:v>
                </c:pt>
                <c:pt idx="6">
                  <c:v>3273784</c:v>
                </c:pt>
                <c:pt idx="7">
                  <c:v>3682731</c:v>
                </c:pt>
                <c:pt idx="8">
                  <c:v>3980355</c:v>
                </c:pt>
                <c:pt idx="9">
                  <c:v>4179379</c:v>
                </c:pt>
                <c:pt idx="10">
                  <c:v>4370669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45-42C9-88A9-C9D5FFC3D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27"/>
        <c:axId val="1221632784"/>
        <c:axId val="1221624080"/>
      </c:barChart>
      <c:catAx>
        <c:axId val="12216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21624080"/>
        <c:crosses val="autoZero"/>
        <c:auto val="1"/>
        <c:lblAlgn val="ctr"/>
        <c:lblOffset val="100"/>
        <c:noMultiLvlLbl val="0"/>
      </c:catAx>
      <c:valAx>
        <c:axId val="122162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21632784"/>
        <c:crosses val="autoZero"/>
        <c:crossBetween val="between"/>
        <c:majorUnit val="1000000"/>
        <c:dispUnits>
          <c:builtInUnit val="thousands"/>
        </c:dispUnits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'Expenses (AA)'!$A$54</c:f>
              <c:strCache>
                <c:ptCount val="1"/>
                <c:pt idx="0">
                  <c:v>Educational and General Activities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'Expenses (AA)'!$B$53:$L$53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'Expenses (AA)'!$B$54:$L$54</c:f>
              <c:numCache>
                <c:formatCode>General</c:formatCode>
                <c:ptCount val="11"/>
                <c:pt idx="0">
                  <c:v>1579127</c:v>
                </c:pt>
                <c:pt idx="1">
                  <c:v>1658013</c:v>
                </c:pt>
                <c:pt idx="2">
                  <c:v>1766739</c:v>
                </c:pt>
                <c:pt idx="3">
                  <c:v>1800353.9310000001</c:v>
                </c:pt>
                <c:pt idx="4">
                  <c:v>1931735</c:v>
                </c:pt>
                <c:pt idx="5">
                  <c:v>2078848</c:v>
                </c:pt>
                <c:pt idx="6" formatCode="#,##0">
                  <c:v>2144565</c:v>
                </c:pt>
                <c:pt idx="7" formatCode="#,##0">
                  <c:v>2312932</c:v>
                </c:pt>
                <c:pt idx="8" formatCode="#,##0">
                  <c:v>2415602</c:v>
                </c:pt>
                <c:pt idx="9" formatCode="#,##0">
                  <c:v>2529214</c:v>
                </c:pt>
                <c:pt idx="10" formatCode="#,##0">
                  <c:v>2633697</c:v>
                </c:pt>
              </c:numCache>
            </c:numRef>
          </c:val>
        </c:ser>
        <c:ser>
          <c:idx val="1"/>
          <c:order val="1"/>
          <c:tx>
            <c:strRef>
              <c:f>'Expenses (AA)'!$A$55</c:f>
              <c:strCache>
                <c:ptCount val="1"/>
                <c:pt idx="0">
                  <c:v>Health Care Services</c:v>
                </c:pt>
              </c:strCache>
            </c:strRef>
          </c:tx>
          <c:spPr>
            <a:solidFill>
              <a:srgbClr val="FF1111"/>
            </a:solidFill>
            <a:ln>
              <a:noFill/>
            </a:ln>
            <a:effectLst/>
          </c:spPr>
          <c:invertIfNegative val="0"/>
          <c:cat>
            <c:numRef>
              <c:f>'Expenses (AA)'!$B$53:$L$53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'Expenses (AA)'!$B$55:$L$55</c:f>
              <c:numCache>
                <c:formatCode>General</c:formatCode>
                <c:ptCount val="11"/>
                <c:pt idx="0">
                  <c:v>154036</c:v>
                </c:pt>
                <c:pt idx="1">
                  <c:v>149402</c:v>
                </c:pt>
                <c:pt idx="2">
                  <c:v>273526</c:v>
                </c:pt>
                <c:pt idx="3">
                  <c:v>714605.61600000004</c:v>
                </c:pt>
                <c:pt idx="4">
                  <c:v>799944</c:v>
                </c:pt>
                <c:pt idx="5">
                  <c:v>864536</c:v>
                </c:pt>
                <c:pt idx="6" formatCode="#,##0">
                  <c:v>904627</c:v>
                </c:pt>
                <c:pt idx="7" formatCode="#,##0">
                  <c:v>1122176</c:v>
                </c:pt>
                <c:pt idx="8" formatCode="#,##0">
                  <c:v>1300218</c:v>
                </c:pt>
                <c:pt idx="9" formatCode="#,##0">
                  <c:v>1368121</c:v>
                </c:pt>
                <c:pt idx="10" formatCode="#,##0">
                  <c:v>1423551</c:v>
                </c:pt>
              </c:numCache>
            </c:numRef>
          </c:val>
        </c:ser>
        <c:ser>
          <c:idx val="2"/>
          <c:order val="2"/>
          <c:tx>
            <c:strRef>
              <c:f>'Expenses (AA)'!$A$56</c:f>
              <c:strCache>
                <c:ptCount val="1"/>
                <c:pt idx="0">
                  <c:v>Depreciation and Amortization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'Expenses (AA)'!$B$53:$L$53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'Expenses (AA)'!$B$56:$L$56</c:f>
              <c:numCache>
                <c:formatCode>General</c:formatCode>
                <c:ptCount val="11"/>
                <c:pt idx="0">
                  <c:v>93695</c:v>
                </c:pt>
                <c:pt idx="1">
                  <c:v>103629</c:v>
                </c:pt>
                <c:pt idx="2">
                  <c:v>120044</c:v>
                </c:pt>
                <c:pt idx="3">
                  <c:v>142471.01300000001</c:v>
                </c:pt>
                <c:pt idx="4">
                  <c:v>153647</c:v>
                </c:pt>
                <c:pt idx="5">
                  <c:v>159238</c:v>
                </c:pt>
                <c:pt idx="6" formatCode="#,##0">
                  <c:v>161285</c:v>
                </c:pt>
                <c:pt idx="7" formatCode="#,##0">
                  <c:v>180953</c:v>
                </c:pt>
                <c:pt idx="8" formatCode="#,##0">
                  <c:v>198357</c:v>
                </c:pt>
                <c:pt idx="9" formatCode="#,##0">
                  <c:v>208069</c:v>
                </c:pt>
                <c:pt idx="10" formatCode="#,##0">
                  <c:v>245412</c:v>
                </c:pt>
              </c:numCache>
            </c:numRef>
          </c:val>
        </c:ser>
        <c:ser>
          <c:idx val="3"/>
          <c:order val="3"/>
          <c:tx>
            <c:strRef>
              <c:f>'Expenses (AA)'!$A$57</c:f>
              <c:strCache>
                <c:ptCount val="1"/>
                <c:pt idx="0">
                  <c:v>Interest on Indebtedness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numRef>
              <c:f>'Expenses (AA)'!$B$53:$L$53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'Expenses (AA)'!$B$57:$L$57</c:f>
              <c:numCache>
                <c:formatCode>General</c:formatCode>
                <c:ptCount val="11"/>
                <c:pt idx="0">
                  <c:v>22486</c:v>
                </c:pt>
                <c:pt idx="1">
                  <c:v>22485</c:v>
                </c:pt>
                <c:pt idx="2">
                  <c:v>31360</c:v>
                </c:pt>
                <c:pt idx="3">
                  <c:v>40841.618000000002</c:v>
                </c:pt>
                <c:pt idx="4">
                  <c:v>45413</c:v>
                </c:pt>
                <c:pt idx="5">
                  <c:v>62774</c:v>
                </c:pt>
                <c:pt idx="6" formatCode="#,##0">
                  <c:v>63307</c:v>
                </c:pt>
                <c:pt idx="7" formatCode="#,##0">
                  <c:v>66670</c:v>
                </c:pt>
                <c:pt idx="8" formatCode="#,##0">
                  <c:v>66178</c:v>
                </c:pt>
                <c:pt idx="9" formatCode="#,##0">
                  <c:v>73975</c:v>
                </c:pt>
                <c:pt idx="10" formatCode="#,##0">
                  <c:v>68009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624624"/>
        <c:axId val="1221631152"/>
      </c:barChart>
      <c:catAx>
        <c:axId val="122162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21631152"/>
        <c:crosses val="autoZero"/>
        <c:auto val="1"/>
        <c:lblAlgn val="ctr"/>
        <c:lblOffset val="100"/>
        <c:noMultiLvlLbl val="0"/>
      </c:catAx>
      <c:valAx>
        <c:axId val="1221631152"/>
        <c:scaling>
          <c:orientation val="minMax"/>
          <c:max val="27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2162462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E2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FF505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'Expenses (AA)'!$A$54:$A$57</c:f>
              <c:strCache>
                <c:ptCount val="4"/>
                <c:pt idx="0">
                  <c:v>Educational and General Activities</c:v>
                </c:pt>
                <c:pt idx="1">
                  <c:v>Health Care Services</c:v>
                </c:pt>
                <c:pt idx="2">
                  <c:v>Depreciation and Amortization</c:v>
                </c:pt>
                <c:pt idx="3">
                  <c:v>Interest on Indebtedness</c:v>
                </c:pt>
              </c:strCache>
            </c:strRef>
          </c:cat>
          <c:val>
            <c:numRef>
              <c:f>'Expenses (AA)'!$M$54:$M$57</c:f>
              <c:numCache>
                <c:formatCode>0.0%</c:formatCode>
                <c:ptCount val="4"/>
                <c:pt idx="0">
                  <c:v>0.66706312855146133</c:v>
                </c:pt>
                <c:pt idx="1">
                  <c:v>0.26491060841770292</c:v>
                </c:pt>
                <c:pt idx="2">
                  <c:v>5.157656654316678E-2</c:v>
                </c:pt>
                <c:pt idx="3">
                  <c:v>1.6449696487668929E-2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229349751732278"/>
          <c:y val="0.20297559795457609"/>
          <c:w val="0.30557842359609061"/>
          <c:h val="0.53868766185181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US"/>
              <a:t>Tuition and Financial Aid Revenue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'Revenues (AA)'!$C$56</c:f>
              <c:strCache>
                <c:ptCount val="1"/>
                <c:pt idx="0">
                  <c:v>Student Tuition and Fees</c:v>
                </c:pt>
              </c:strCache>
            </c:strRef>
          </c:tx>
          <c:spPr>
            <a:solidFill>
              <a:srgbClr val="012169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12169"/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E1A-48B2-8478-A98BDDB8BAD3}"/>
              </c:ext>
            </c:extLst>
          </c:dPt>
          <c:cat>
            <c:numRef>
              <c:f>'Revenues (AA)'!$B$58:$B$68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'Revenues (AA)'!$C$58:$C$68</c:f>
              <c:numCache>
                <c:formatCode>#,##0</c:formatCode>
                <c:ptCount val="11"/>
                <c:pt idx="0">
                  <c:v>950077</c:v>
                </c:pt>
                <c:pt idx="1">
                  <c:v>1000289</c:v>
                </c:pt>
                <c:pt idx="2">
                  <c:v>1065342</c:v>
                </c:pt>
                <c:pt idx="3">
                  <c:v>1152480.2085899999</c:v>
                </c:pt>
                <c:pt idx="4">
                  <c:v>1267545</c:v>
                </c:pt>
                <c:pt idx="5">
                  <c:v>1365963</c:v>
                </c:pt>
                <c:pt idx="6">
                  <c:v>1488276</c:v>
                </c:pt>
                <c:pt idx="7">
                  <c:v>1602331</c:v>
                </c:pt>
                <c:pt idx="8">
                  <c:v>1710225</c:v>
                </c:pt>
                <c:pt idx="9">
                  <c:v>1793219</c:v>
                </c:pt>
                <c:pt idx="10">
                  <c:v>1899584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E1A-48B2-8478-A98BDDB8BAD3}"/>
            </c:ext>
          </c:extLst>
        </c:ser>
        <c:ser>
          <c:idx val="1"/>
          <c:order val="1"/>
          <c:tx>
            <c:strRef>
              <c:f>'Revenues (AA)'!$D$56</c:f>
              <c:strCache>
                <c:ptCount val="1"/>
                <c:pt idx="0">
                  <c:v>Financial Aid </c:v>
                </c:pt>
              </c:strCache>
            </c:strRef>
          </c:tx>
          <c:spPr>
            <a:solidFill>
              <a:srgbClr val="7CB8CB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'Revenues (AA)'!$B$58:$B$68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'Revenues (AA)'!$D$58:$D$68</c:f>
              <c:numCache>
                <c:formatCode>#,##0</c:formatCode>
                <c:ptCount val="11"/>
                <c:pt idx="0">
                  <c:v>277212</c:v>
                </c:pt>
                <c:pt idx="1">
                  <c:v>294308</c:v>
                </c:pt>
                <c:pt idx="2">
                  <c:v>320161</c:v>
                </c:pt>
                <c:pt idx="3">
                  <c:v>325467.06068</c:v>
                </c:pt>
                <c:pt idx="4">
                  <c:v>356859</c:v>
                </c:pt>
                <c:pt idx="5">
                  <c:v>388803</c:v>
                </c:pt>
                <c:pt idx="6">
                  <c:v>413465</c:v>
                </c:pt>
                <c:pt idx="7">
                  <c:v>440014</c:v>
                </c:pt>
                <c:pt idx="8">
                  <c:v>460276</c:v>
                </c:pt>
                <c:pt idx="9">
                  <c:v>483068</c:v>
                </c:pt>
                <c:pt idx="10">
                  <c:v>510550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E1A-48B2-8478-A98BDDB8BAD3}"/>
            </c:ext>
          </c:extLst>
        </c:ser>
        <c:ser>
          <c:idx val="2"/>
          <c:order val="2"/>
          <c:tx>
            <c:strRef>
              <c:f>'Revenues (AA)'!$E$56</c:f>
              <c:strCache>
                <c:ptCount val="1"/>
                <c:pt idx="0">
                  <c:v>Net Student Tuition and Fees</c:v>
                </c:pt>
              </c:strCache>
            </c:strRef>
          </c:tx>
          <c:spPr>
            <a:solidFill>
              <a:srgbClr val="A3938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'Revenues (AA)'!$B$58:$B$68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'Revenues (AA)'!$E$58:$E$68</c:f>
              <c:numCache>
                <c:formatCode>#,##0</c:formatCode>
                <c:ptCount val="11"/>
                <c:pt idx="0">
                  <c:v>672865</c:v>
                </c:pt>
                <c:pt idx="1">
                  <c:v>705981</c:v>
                </c:pt>
                <c:pt idx="2">
                  <c:v>745181</c:v>
                </c:pt>
                <c:pt idx="3">
                  <c:v>827013.14790999994</c:v>
                </c:pt>
                <c:pt idx="4">
                  <c:v>910686</c:v>
                </c:pt>
                <c:pt idx="5">
                  <c:v>977160</c:v>
                </c:pt>
                <c:pt idx="6">
                  <c:v>1074811</c:v>
                </c:pt>
                <c:pt idx="7">
                  <c:v>1162317</c:v>
                </c:pt>
                <c:pt idx="8">
                  <c:v>1249949</c:v>
                </c:pt>
                <c:pt idx="9">
                  <c:v>1310151</c:v>
                </c:pt>
                <c:pt idx="10">
                  <c:v>1389034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E1A-48B2-8478-A98BDDB8B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27"/>
        <c:axId val="1221627888"/>
        <c:axId val="1221625712"/>
      </c:barChart>
      <c:catAx>
        <c:axId val="122162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21625712"/>
        <c:crosses val="autoZero"/>
        <c:auto val="1"/>
        <c:lblAlgn val="ctr"/>
        <c:lblOffset val="100"/>
        <c:noMultiLvlLbl val="0"/>
      </c:catAx>
      <c:valAx>
        <c:axId val="122162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21627888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US"/>
              <a:t>Net Patient Service Revenue*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'Revenues (AA)'!$F$56</c:f>
              <c:strCache>
                <c:ptCount val="1"/>
                <c:pt idx="0">
                  <c:v>NPSR</c:v>
                </c:pt>
              </c:strCache>
            </c:strRef>
          </c:tx>
          <c:spPr>
            <a:solidFill>
              <a:srgbClr val="80A1B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'Revenues (AA)'!$B$58:$B$68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'Revenues (AA)'!$F$58:$F$68</c:f>
              <c:numCache>
                <c:formatCode>#,##0_);[Red]\(#,##0\)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101559</c:v>
                </c:pt>
                <c:pt idx="3">
                  <c:v>592668.76</c:v>
                </c:pt>
                <c:pt idx="4">
                  <c:v>684978</c:v>
                </c:pt>
                <c:pt idx="5">
                  <c:v>750120</c:v>
                </c:pt>
                <c:pt idx="6" formatCode="#,##0">
                  <c:v>823834</c:v>
                </c:pt>
                <c:pt idx="7" formatCode="#,##0">
                  <c:v>1027459</c:v>
                </c:pt>
                <c:pt idx="8" formatCode="#,##0">
                  <c:v>1167317</c:v>
                </c:pt>
                <c:pt idx="9" formatCode="#,##0">
                  <c:v>1322537</c:v>
                </c:pt>
                <c:pt idx="10" formatCode="#,##0">
                  <c:v>1407150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665-420E-8C6A-74775E029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27"/>
        <c:axId val="1221634416"/>
        <c:axId val="1221628432"/>
      </c:barChart>
      <c:catAx>
        <c:axId val="122163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21628432"/>
        <c:crosses val="autoZero"/>
        <c:auto val="1"/>
        <c:lblAlgn val="ctr"/>
        <c:lblOffset val="100"/>
        <c:noMultiLvlLbl val="0"/>
      </c:catAx>
      <c:valAx>
        <c:axId val="12216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21634416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US"/>
              <a:t>Contracts and Grants Revenue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'Revenues (AA)'!$G$56</c:f>
              <c:strCache>
                <c:ptCount val="1"/>
                <c:pt idx="0">
                  <c:v>Contracts and Grants</c:v>
                </c:pt>
              </c:strCache>
            </c:strRef>
          </c:tx>
          <c:spPr>
            <a:solidFill>
              <a:srgbClr val="36548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'Revenues (AA)'!$B$58:$B$68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'Revenues (AA)'!$G$58:$G$68</c:f>
              <c:numCache>
                <c:formatCode>#,##0_);[Red]\(#,##0\)</c:formatCode>
                <c:ptCount val="11"/>
                <c:pt idx="0">
                  <c:v>245463</c:v>
                </c:pt>
                <c:pt idx="1">
                  <c:v>240061</c:v>
                </c:pt>
                <c:pt idx="2">
                  <c:v>255864</c:v>
                </c:pt>
                <c:pt idx="3">
                  <c:v>285570.95199999999</c:v>
                </c:pt>
                <c:pt idx="4">
                  <c:v>350827</c:v>
                </c:pt>
                <c:pt idx="5" formatCode="#,##0">
                  <c:v>323789</c:v>
                </c:pt>
                <c:pt idx="6" formatCode="#,##0">
                  <c:v>446645</c:v>
                </c:pt>
                <c:pt idx="7" formatCode="#,##0">
                  <c:v>452724</c:v>
                </c:pt>
                <c:pt idx="8" formatCode="#,##0">
                  <c:v>455177</c:v>
                </c:pt>
                <c:pt idx="9" formatCode="#,##0">
                  <c:v>434746</c:v>
                </c:pt>
                <c:pt idx="10" formatCode="#,##0">
                  <c:v>475185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C4B-4567-8C32-CCE2DD039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27"/>
        <c:axId val="1221635504"/>
        <c:axId val="1221632240"/>
      </c:barChart>
      <c:catAx>
        <c:axId val="122163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21632240"/>
        <c:crosses val="autoZero"/>
        <c:auto val="1"/>
        <c:lblAlgn val="ctr"/>
        <c:lblOffset val="100"/>
        <c:noMultiLvlLbl val="0"/>
      </c:catAx>
      <c:valAx>
        <c:axId val="1221632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21635504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en-US" b="1"/>
              <a:t>10 Year Net Increase/Decrease</a:t>
            </a:r>
            <a:r>
              <a:rPr lang="en-US" b="1" baseline="0"/>
              <a:t> in Assets Trend Analysis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'Graphs '!$A$6</c:f>
              <c:strCache>
                <c:ptCount val="1"/>
                <c:pt idx="0">
                  <c:v>Change in Net Asset </c:v>
                </c:pt>
              </c:strCache>
            </c:strRef>
          </c:tx>
          <c:spPr>
            <a:ln w="381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chemeClr val="accent5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cat>
            <c:strRef>
              <c:f>'Graphs '!$B$3:$L$3</c:f>
              <c:strCache>
                <c:ptCount val="11"/>
                <c:pt idx="0">
                  <c:v>
2007</c:v>
                </c:pt>
                <c:pt idx="1">
                  <c:v>
2008</c:v>
                </c:pt>
                <c:pt idx="2">
                  <c:v> 
2009</c:v>
                </c:pt>
                <c:pt idx="3">
                  <c:v>
2010</c:v>
                </c:pt>
                <c:pt idx="4">
                  <c:v>  
2011</c:v>
                </c:pt>
                <c:pt idx="5">
                  <c:v>
2012</c:v>
                </c:pt>
                <c:pt idx="6">
                  <c:v>  
2013</c:v>
                </c:pt>
                <c:pt idx="7">
                  <c:v>
2014</c:v>
                </c:pt>
                <c:pt idx="8">
                  <c:v> 
2015</c:v>
                </c:pt>
                <c:pt idx="9">
                  <c:v>
2016</c:v>
                </c:pt>
                <c:pt idx="10">
                  <c:v>  
2017</c:v>
                </c:pt>
              </c:strCache>
            </c:strRef>
          </c:cat>
          <c:val>
            <c:numRef>
              <c:f>'Graphs '!$B$6:$L$6</c:f>
              <c:numCache>
                <c:formatCode>#,##0_);[Red]\(#,##0\)</c:formatCode>
                <c:ptCount val="11"/>
                <c:pt idx="0">
                  <c:v>674181000</c:v>
                </c:pt>
                <c:pt idx="1">
                  <c:v>-31153000</c:v>
                </c:pt>
                <c:pt idx="2">
                  <c:v>-870386000</c:v>
                </c:pt>
                <c:pt idx="3">
                  <c:v>430874941.52399969</c:v>
                </c:pt>
                <c:pt idx="4">
                  <c:v>991926000</c:v>
                </c:pt>
                <c:pt idx="5">
                  <c:v>68318000</c:v>
                </c:pt>
                <c:pt idx="6">
                  <c:v>587683000</c:v>
                </c:pt>
                <c:pt idx="7">
                  <c:v>1077729000</c:v>
                </c:pt>
                <c:pt idx="8">
                  <c:v>262359000</c:v>
                </c:pt>
                <c:pt idx="9">
                  <c:v>157475000</c:v>
                </c:pt>
                <c:pt idx="10">
                  <c:v>897796000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0E-4D19-BAE7-67D88A4B6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846448"/>
        <c:axId val="921841008"/>
      </c:lineChart>
      <c:catAx>
        <c:axId val="92184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921841008"/>
        <c:crosses val="autoZero"/>
        <c:auto val="1"/>
        <c:lblAlgn val="ctr"/>
        <c:lblOffset val="100"/>
        <c:noMultiLvlLbl val="0"/>
      </c:catAx>
      <c:valAx>
        <c:axId val="9218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 sz="1100"/>
                  <a:t>Millions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92184644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US"/>
              <a:t>Contributions Revenue *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'Revenues (AA)'!$H$56</c:f>
              <c:strCache>
                <c:ptCount val="1"/>
                <c:pt idx="0">
                  <c:v>Contributions</c:v>
                </c:pt>
              </c:strCache>
            </c:strRef>
          </c:tx>
          <c:spPr>
            <a:solidFill>
              <a:srgbClr val="0073C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'Revenues (AA)'!$B$58:$B$68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'Revenues (AA)'!$H$58:$H$68</c:f>
              <c:numCache>
                <c:formatCode>#,##0_);[Red]\(#,##0\)</c:formatCode>
                <c:ptCount val="11"/>
                <c:pt idx="0">
                  <c:v>363599</c:v>
                </c:pt>
                <c:pt idx="1">
                  <c:v>410105</c:v>
                </c:pt>
                <c:pt idx="2">
                  <c:v>392898</c:v>
                </c:pt>
                <c:pt idx="3">
                  <c:v>491308.39721000002</c:v>
                </c:pt>
                <c:pt idx="4">
                  <c:v>681267</c:v>
                </c:pt>
                <c:pt idx="5" formatCode="#,##0">
                  <c:v>527910</c:v>
                </c:pt>
                <c:pt idx="6" formatCode="#,##0">
                  <c:v>550151</c:v>
                </c:pt>
                <c:pt idx="7" formatCode="#,##0">
                  <c:v>716275</c:v>
                </c:pt>
                <c:pt idx="8" formatCode="#,##0">
                  <c:v>537765</c:v>
                </c:pt>
                <c:pt idx="9" formatCode="#,##0">
                  <c:v>604946</c:v>
                </c:pt>
                <c:pt idx="10" formatCode="#,##0">
                  <c:v>610009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96-486D-ADF1-6EBFF72C5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27"/>
        <c:axId val="1221621904"/>
        <c:axId val="1221628976"/>
      </c:barChart>
      <c:catAx>
        <c:axId val="122162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21628976"/>
        <c:crosses val="autoZero"/>
        <c:auto val="1"/>
        <c:lblAlgn val="ctr"/>
        <c:lblOffset val="100"/>
        <c:noMultiLvlLbl val="0"/>
      </c:catAx>
      <c:valAx>
        <c:axId val="122162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21621904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 b="1"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US"/>
              <a:t>Auxiliary Enterprises Revenue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'Revenues (AA)'!$I$56</c:f>
              <c:strCache>
                <c:ptCount val="1"/>
                <c:pt idx="0">
                  <c:v>Auxiliary Enterprises</c:v>
                </c:pt>
              </c:strCache>
            </c:strRef>
          </c:tx>
          <c:spPr>
            <a:solidFill>
              <a:srgbClr val="BF6A1E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'Revenues (AA)'!$B$58:$B$68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'Revenues (AA)'!$I$58:$I$68</c:f>
              <c:numCache>
                <c:formatCode>#,##0_);[Red]\(#,##0\)</c:formatCode>
                <c:ptCount val="11"/>
                <c:pt idx="0">
                  <c:v>213469</c:v>
                </c:pt>
                <c:pt idx="1">
                  <c:v>223125</c:v>
                </c:pt>
                <c:pt idx="2">
                  <c:v>226972</c:v>
                </c:pt>
                <c:pt idx="3">
                  <c:v>225363.22214</c:v>
                </c:pt>
                <c:pt idx="4">
                  <c:v>243011</c:v>
                </c:pt>
                <c:pt idx="5" formatCode="#,##0">
                  <c:v>254857</c:v>
                </c:pt>
                <c:pt idx="6" formatCode="#,##0">
                  <c:v>273224</c:v>
                </c:pt>
                <c:pt idx="7" formatCode="#,##0">
                  <c:v>296335</c:v>
                </c:pt>
                <c:pt idx="8" formatCode="#,##0">
                  <c:v>308515</c:v>
                </c:pt>
                <c:pt idx="9" formatCode="#,##0">
                  <c:v>318525</c:v>
                </c:pt>
                <c:pt idx="10" formatCode="#,##0">
                  <c:v>346401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F2-4795-8D9F-1CAD31217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27"/>
        <c:axId val="1221630064"/>
        <c:axId val="1222201120"/>
      </c:barChart>
      <c:catAx>
        <c:axId val="122163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22201120"/>
        <c:crosses val="autoZero"/>
        <c:auto val="1"/>
        <c:lblAlgn val="ctr"/>
        <c:lblOffset val="100"/>
        <c:noMultiLvlLbl val="0"/>
      </c:catAx>
      <c:valAx>
        <c:axId val="12222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21630064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US"/>
              <a:t>Sales, Services, and Other Revenue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'Revenues (AA)'!$J$56</c:f>
              <c:strCache>
                <c:ptCount val="1"/>
                <c:pt idx="0">
                  <c:v>Sales, Services, and Other</c:v>
                </c:pt>
              </c:strCache>
            </c:strRef>
          </c:tx>
          <c:spPr>
            <a:solidFill>
              <a:srgbClr val="8E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'Revenues (AA)'!$B$58:$B$68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'Revenues (AA)'!$J$58:$J$68</c:f>
              <c:numCache>
                <c:formatCode>#,##0_);[Red]\(#,##0\)</c:formatCode>
                <c:ptCount val="11"/>
                <c:pt idx="0">
                  <c:v>121838</c:v>
                </c:pt>
                <c:pt idx="1">
                  <c:v>118544</c:v>
                </c:pt>
                <c:pt idx="2">
                  <c:v>120139</c:v>
                </c:pt>
                <c:pt idx="3">
                  <c:v>121034.39044999999</c:v>
                </c:pt>
                <c:pt idx="4">
                  <c:v>126734</c:v>
                </c:pt>
                <c:pt idx="5" formatCode="#,##0">
                  <c:v>130182</c:v>
                </c:pt>
                <c:pt idx="6" formatCode="#,##0">
                  <c:v>134200</c:v>
                </c:pt>
                <c:pt idx="7" formatCode="#,##0">
                  <c:v>170991</c:v>
                </c:pt>
                <c:pt idx="8" formatCode="#,##0">
                  <c:v>217457</c:v>
                </c:pt>
                <c:pt idx="9" formatCode="#,##0">
                  <c:v>252269</c:v>
                </c:pt>
                <c:pt idx="10" formatCode="#,##0">
                  <c:v>271792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084-4F57-ADFB-2637EA6D9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27"/>
        <c:axId val="1222208192"/>
        <c:axId val="1222195680"/>
      </c:barChart>
      <c:catAx>
        <c:axId val="122220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22195680"/>
        <c:crosses val="autoZero"/>
        <c:auto val="1"/>
        <c:lblAlgn val="ctr"/>
        <c:lblOffset val="100"/>
        <c:noMultiLvlLbl val="0"/>
      </c:catAx>
      <c:valAx>
        <c:axId val="122219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22208192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US"/>
              <a:t>Investment &amp; Endowment Revenue *</a:t>
            </a:r>
          </a:p>
        </c:rich>
      </c:tx>
      <c:layout>
        <c:manualLayout>
          <c:xMode val="edge"/>
          <c:yMode val="edge"/>
          <c:x val="0.22850442756641351"/>
          <c:y val="3.3526484602895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'Revenues (AA)'!$K$56</c:f>
              <c:strCache>
                <c:ptCount val="1"/>
                <c:pt idx="0">
                  <c:v>Investment &amp; Endowment Income </c:v>
                </c:pt>
              </c:strCache>
            </c:strRef>
          </c:tx>
          <c:spPr>
            <a:solidFill>
              <a:srgbClr val="E2C51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'Revenues (AA)'!$B$58:$B$68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'Revenues (AA)'!$K$58:$K$68</c:f>
              <c:numCache>
                <c:formatCode>#,##0_);[Red]\(#,##0\)</c:formatCode>
                <c:ptCount val="11"/>
                <c:pt idx="0">
                  <c:v>108724</c:v>
                </c:pt>
                <c:pt idx="1">
                  <c:v>98224</c:v>
                </c:pt>
                <c:pt idx="2">
                  <c:v>70111</c:v>
                </c:pt>
                <c:pt idx="3">
                  <c:v>60979.626054</c:v>
                </c:pt>
                <c:pt idx="4">
                  <c:v>57889</c:v>
                </c:pt>
                <c:pt idx="5" formatCode="#,##0">
                  <c:v>68612</c:v>
                </c:pt>
                <c:pt idx="6" formatCode="#,##0">
                  <c:v>78174</c:v>
                </c:pt>
                <c:pt idx="7" formatCode="#,##0">
                  <c:v>61973</c:v>
                </c:pt>
                <c:pt idx="8" formatCode="#,##0">
                  <c:v>60524</c:v>
                </c:pt>
                <c:pt idx="9" formatCode="#,##0">
                  <c:v>64330</c:v>
                </c:pt>
                <c:pt idx="10" formatCode="#,##0">
                  <c:v>84083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CC-44E1-A33D-AC33D1653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27"/>
        <c:axId val="1222209824"/>
        <c:axId val="1222202752"/>
      </c:barChart>
      <c:catAx>
        <c:axId val="122220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22202752"/>
        <c:crosses val="autoZero"/>
        <c:auto val="1"/>
        <c:lblAlgn val="ctr"/>
        <c:lblOffset val="100"/>
        <c:noMultiLvlLbl val="0"/>
      </c:catAx>
      <c:valAx>
        <c:axId val="122220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22209824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 b="1"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US"/>
              <a:t>Net Appr/Dep on Investments *</a:t>
            </a:r>
          </a:p>
        </c:rich>
      </c:tx>
      <c:layout>
        <c:manualLayout>
          <c:xMode val="edge"/>
          <c:yMode val="edge"/>
          <c:x val="0.21197506539155983"/>
          <c:y val="4.88387936959641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'Revenues (AA)'!$M$56</c:f>
              <c:strCache>
                <c:ptCount val="1"/>
                <c:pt idx="0">
                  <c:v>Net appreciation (loss) on investments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398-4AF3-BD62-25415D3C642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398-4AF3-BD62-25415D3C642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398-4AF3-BD62-25415D3C642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398-4AF3-BD62-25415D3C642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398-4AF3-BD62-25415D3C6429}"/>
              </c:ext>
            </c:extLst>
          </c:dPt>
          <c:cat>
            <c:numRef>
              <c:f>'Revenues (AA)'!$B$58:$B$68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'Revenues (AA)'!$M$58:$M$68</c:f>
              <c:numCache>
                <c:formatCode>#,##0_);[Red]\(#,##0\)</c:formatCode>
                <c:ptCount val="11"/>
                <c:pt idx="0">
                  <c:v>513379</c:v>
                </c:pt>
                <c:pt idx="1">
                  <c:v>-159455</c:v>
                </c:pt>
                <c:pt idx="2">
                  <c:v>-903089</c:v>
                </c:pt>
                <c:pt idx="3">
                  <c:v>296455.44900000002</c:v>
                </c:pt>
                <c:pt idx="4">
                  <c:v>624958</c:v>
                </c:pt>
                <c:pt idx="5">
                  <c:v>-60396</c:v>
                </c:pt>
                <c:pt idx="6">
                  <c:v>350561</c:v>
                </c:pt>
                <c:pt idx="7">
                  <c:v>739337</c:v>
                </c:pt>
                <c:pt idx="8">
                  <c:v>104441</c:v>
                </c:pt>
                <c:pt idx="9">
                  <c:v>-124740</c:v>
                </c:pt>
                <c:pt idx="10">
                  <c:v>580909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1398-4AF3-BD62-25415D3C6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27"/>
        <c:axId val="1222203840"/>
        <c:axId val="1222208736"/>
      </c:barChart>
      <c:catAx>
        <c:axId val="122220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22208736"/>
        <c:crosses val="autoZero"/>
        <c:auto val="1"/>
        <c:lblAlgn val="ctr"/>
        <c:lblOffset val="100"/>
        <c:noMultiLvlLbl val="0"/>
      </c:catAx>
      <c:valAx>
        <c:axId val="122220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22203840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 b="1"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US"/>
              <a:t>Total Revenues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'Revenues (AA)'!$O$56</c:f>
              <c:strCache>
                <c:ptCount val="1"/>
                <c:pt idx="0">
                  <c:v>Total Revenues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'Revenues (AA)'!$B$58:$B$68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'Revenues (AA)'!$O$58:$O$68</c:f>
              <c:numCache>
                <c:formatCode>#,##0_);[Red]\(#,##0\)</c:formatCode>
                <c:ptCount val="11"/>
                <c:pt idx="0">
                  <c:v>2523525</c:v>
                </c:pt>
                <c:pt idx="1">
                  <c:v>1902376</c:v>
                </c:pt>
                <c:pt idx="2">
                  <c:v>1321283</c:v>
                </c:pt>
                <c:pt idx="3">
                  <c:v>3129147.1195239997</c:v>
                </c:pt>
                <c:pt idx="4">
                  <c:v>3922665</c:v>
                </c:pt>
                <c:pt idx="5" formatCode="#,##0">
                  <c:v>3233714</c:v>
                </c:pt>
                <c:pt idx="6" formatCode="#,##0">
                  <c:v>3861467</c:v>
                </c:pt>
                <c:pt idx="7" formatCode="#,##0">
                  <c:v>4760460</c:v>
                </c:pt>
                <c:pt idx="8" formatCode="#,##0">
                  <c:v>4242714</c:v>
                </c:pt>
                <c:pt idx="9" formatCode="#,##0">
                  <c:v>4336854</c:v>
                </c:pt>
                <c:pt idx="10" formatCode="#,##0">
                  <c:v>5268465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8C-4AEB-A15B-C6831032C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27"/>
        <c:axId val="1222206016"/>
        <c:axId val="1222196768"/>
      </c:barChart>
      <c:catAx>
        <c:axId val="122220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22196768"/>
        <c:crosses val="autoZero"/>
        <c:auto val="1"/>
        <c:lblAlgn val="ctr"/>
        <c:lblOffset val="100"/>
        <c:noMultiLvlLbl val="0"/>
      </c:catAx>
      <c:valAx>
        <c:axId val="1222196768"/>
        <c:scaling>
          <c:orientation val="minMax"/>
          <c:max val="500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22206016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'Revenues (AA)'!$B$72</c:f>
              <c:strCache>
                <c:ptCount val="1"/>
                <c:pt idx="0">
                  <c:v>Student Tuition and Fees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'Revenues (AA)'!$C$71:$M$71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'Revenues (AA)'!$C$72:$M$72</c:f>
              <c:numCache>
                <c:formatCode>General</c:formatCode>
                <c:ptCount val="11"/>
                <c:pt idx="0">
                  <c:v>950077</c:v>
                </c:pt>
                <c:pt idx="1">
                  <c:v>1000289</c:v>
                </c:pt>
                <c:pt idx="2">
                  <c:v>1065342</c:v>
                </c:pt>
                <c:pt idx="3">
                  <c:v>1152480</c:v>
                </c:pt>
                <c:pt idx="4">
                  <c:v>1267545</c:v>
                </c:pt>
                <c:pt idx="5">
                  <c:v>1365963</c:v>
                </c:pt>
                <c:pt idx="6">
                  <c:v>1488276</c:v>
                </c:pt>
                <c:pt idx="7">
                  <c:v>1602331</c:v>
                </c:pt>
                <c:pt idx="8">
                  <c:v>1710225</c:v>
                </c:pt>
                <c:pt idx="9">
                  <c:v>1793219</c:v>
                </c:pt>
                <c:pt idx="10">
                  <c:v>1899584</c:v>
                </c:pt>
              </c:numCache>
            </c:numRef>
          </c:val>
        </c:ser>
        <c:ser>
          <c:idx val="1"/>
          <c:order val="1"/>
          <c:tx>
            <c:strRef>
              <c:f>'Revenues (AA)'!$B$73</c:f>
              <c:strCache>
                <c:ptCount val="1"/>
                <c:pt idx="0">
                  <c:v>Financial Aid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'Revenues (AA)'!$C$71:$M$71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'Revenues (AA)'!$C$73:$M$73</c:f>
              <c:numCache>
                <c:formatCode>General</c:formatCode>
                <c:ptCount val="11"/>
                <c:pt idx="0">
                  <c:v>277212</c:v>
                </c:pt>
                <c:pt idx="1">
                  <c:v>294308</c:v>
                </c:pt>
                <c:pt idx="2">
                  <c:v>320161</c:v>
                </c:pt>
                <c:pt idx="3">
                  <c:v>325467</c:v>
                </c:pt>
                <c:pt idx="4">
                  <c:v>356859</c:v>
                </c:pt>
                <c:pt idx="5">
                  <c:v>388803</c:v>
                </c:pt>
                <c:pt idx="6">
                  <c:v>413465</c:v>
                </c:pt>
                <c:pt idx="7">
                  <c:v>440014</c:v>
                </c:pt>
                <c:pt idx="8">
                  <c:v>460276</c:v>
                </c:pt>
                <c:pt idx="9">
                  <c:v>483068</c:v>
                </c:pt>
                <c:pt idx="10">
                  <c:v>510550</c:v>
                </c:pt>
              </c:numCache>
            </c:numRef>
          </c:val>
        </c:ser>
        <c:ser>
          <c:idx val="2"/>
          <c:order val="2"/>
          <c:tx>
            <c:strRef>
              <c:f>'Revenues (AA)'!$B$74</c:f>
              <c:strCache>
                <c:ptCount val="1"/>
                <c:pt idx="0">
                  <c:v>Net Student Tuition and Fees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'Revenues (AA)'!$C$71:$M$71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'Revenues (AA)'!$C$74:$M$74</c:f>
              <c:numCache>
                <c:formatCode>0</c:formatCode>
                <c:ptCount val="11"/>
                <c:pt idx="0">
                  <c:v>672865</c:v>
                </c:pt>
                <c:pt idx="1">
                  <c:v>705981</c:v>
                </c:pt>
                <c:pt idx="2">
                  <c:v>745181</c:v>
                </c:pt>
                <c:pt idx="3">
                  <c:v>827013.14790999994</c:v>
                </c:pt>
                <c:pt idx="4">
                  <c:v>910686</c:v>
                </c:pt>
                <c:pt idx="5">
                  <c:v>977160</c:v>
                </c:pt>
                <c:pt idx="6">
                  <c:v>1074811</c:v>
                </c:pt>
                <c:pt idx="7">
                  <c:v>1162317</c:v>
                </c:pt>
                <c:pt idx="8">
                  <c:v>1249949</c:v>
                </c:pt>
                <c:pt idx="9">
                  <c:v>1310151</c:v>
                </c:pt>
                <c:pt idx="10">
                  <c:v>1389034</c:v>
                </c:pt>
              </c:numCache>
            </c:numRef>
          </c:val>
        </c:ser>
        <c:ser>
          <c:idx val="3"/>
          <c:order val="3"/>
          <c:tx>
            <c:strRef>
              <c:f>'Revenues (AA)'!$B$75</c:f>
              <c:strCache>
                <c:ptCount val="1"/>
                <c:pt idx="0">
                  <c:v>NPSR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'Revenues (AA)'!$C$71:$M$71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'Revenues (AA)'!$C$75:$M$75</c:f>
              <c:numCache>
                <c:formatCode>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101559</c:v>
                </c:pt>
                <c:pt idx="3">
                  <c:v>592668.76</c:v>
                </c:pt>
                <c:pt idx="4">
                  <c:v>684978</c:v>
                </c:pt>
                <c:pt idx="5">
                  <c:v>750120</c:v>
                </c:pt>
                <c:pt idx="6">
                  <c:v>823834</c:v>
                </c:pt>
                <c:pt idx="7">
                  <c:v>1027459</c:v>
                </c:pt>
                <c:pt idx="8">
                  <c:v>1167317</c:v>
                </c:pt>
                <c:pt idx="9">
                  <c:v>1322537</c:v>
                </c:pt>
                <c:pt idx="10">
                  <c:v>1407150</c:v>
                </c:pt>
              </c:numCache>
            </c:numRef>
          </c:val>
        </c:ser>
        <c:ser>
          <c:idx val="4"/>
          <c:order val="4"/>
          <c:tx>
            <c:strRef>
              <c:f>'Revenues (AA)'!$B$76</c:f>
              <c:strCache>
                <c:ptCount val="1"/>
                <c:pt idx="0">
                  <c:v>Contracts and Grants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'Revenues (AA)'!$C$71:$M$71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'Revenues (AA)'!$C$76:$M$76</c:f>
              <c:numCache>
                <c:formatCode>0</c:formatCode>
                <c:ptCount val="11"/>
                <c:pt idx="0">
                  <c:v>245463</c:v>
                </c:pt>
                <c:pt idx="1">
                  <c:v>240061</c:v>
                </c:pt>
                <c:pt idx="2">
                  <c:v>255864</c:v>
                </c:pt>
                <c:pt idx="3">
                  <c:v>285570.95199999999</c:v>
                </c:pt>
                <c:pt idx="4">
                  <c:v>350827</c:v>
                </c:pt>
                <c:pt idx="5">
                  <c:v>323789</c:v>
                </c:pt>
                <c:pt idx="6">
                  <c:v>446645</c:v>
                </c:pt>
                <c:pt idx="7">
                  <c:v>452724</c:v>
                </c:pt>
                <c:pt idx="8">
                  <c:v>455177</c:v>
                </c:pt>
                <c:pt idx="9">
                  <c:v>434746</c:v>
                </c:pt>
                <c:pt idx="10">
                  <c:v>475185</c:v>
                </c:pt>
              </c:numCache>
            </c:numRef>
          </c:val>
        </c:ser>
        <c:ser>
          <c:idx val="5"/>
          <c:order val="5"/>
          <c:tx>
            <c:strRef>
              <c:f>'Revenues (AA)'!$B$77</c:f>
              <c:strCache>
                <c:ptCount val="1"/>
                <c:pt idx="0">
                  <c:v>Contributions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'Revenues (AA)'!$C$71:$M$71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'Revenues (AA)'!$C$77:$M$77</c:f>
              <c:numCache>
                <c:formatCode>0</c:formatCode>
                <c:ptCount val="11"/>
                <c:pt idx="0">
                  <c:v>363599</c:v>
                </c:pt>
                <c:pt idx="1">
                  <c:v>410105</c:v>
                </c:pt>
                <c:pt idx="2">
                  <c:v>392898</c:v>
                </c:pt>
                <c:pt idx="3">
                  <c:v>491308.39721000002</c:v>
                </c:pt>
                <c:pt idx="4">
                  <c:v>681267</c:v>
                </c:pt>
                <c:pt idx="5">
                  <c:v>527910</c:v>
                </c:pt>
                <c:pt idx="6">
                  <c:v>550151</c:v>
                </c:pt>
                <c:pt idx="7">
                  <c:v>716275</c:v>
                </c:pt>
                <c:pt idx="8">
                  <c:v>537765</c:v>
                </c:pt>
                <c:pt idx="9">
                  <c:v>604946</c:v>
                </c:pt>
                <c:pt idx="10">
                  <c:v>610009</c:v>
                </c:pt>
              </c:numCache>
            </c:numRef>
          </c:val>
        </c:ser>
        <c:ser>
          <c:idx val="6"/>
          <c:order val="6"/>
          <c:tx>
            <c:strRef>
              <c:f>'Revenues (AA)'!$B$78</c:f>
              <c:strCache>
                <c:ptCount val="1"/>
                <c:pt idx="0">
                  <c:v>Auxiliary Enterprises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'Revenues (AA)'!$C$71:$M$71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'Revenues (AA)'!$C$78:$M$78</c:f>
              <c:numCache>
                <c:formatCode>0</c:formatCode>
                <c:ptCount val="11"/>
                <c:pt idx="0">
                  <c:v>213469</c:v>
                </c:pt>
                <c:pt idx="1">
                  <c:v>223125</c:v>
                </c:pt>
                <c:pt idx="2">
                  <c:v>226972</c:v>
                </c:pt>
                <c:pt idx="3">
                  <c:v>225363.22214</c:v>
                </c:pt>
                <c:pt idx="4">
                  <c:v>243011</c:v>
                </c:pt>
                <c:pt idx="5">
                  <c:v>254857</c:v>
                </c:pt>
                <c:pt idx="6">
                  <c:v>273224</c:v>
                </c:pt>
                <c:pt idx="7">
                  <c:v>296335</c:v>
                </c:pt>
                <c:pt idx="8">
                  <c:v>308515</c:v>
                </c:pt>
                <c:pt idx="9">
                  <c:v>318525</c:v>
                </c:pt>
                <c:pt idx="10">
                  <c:v>346401</c:v>
                </c:pt>
              </c:numCache>
            </c:numRef>
          </c:val>
        </c:ser>
        <c:ser>
          <c:idx val="7"/>
          <c:order val="7"/>
          <c:tx>
            <c:strRef>
              <c:f>'Revenues (AA)'!$B$79</c:f>
              <c:strCache>
                <c:ptCount val="1"/>
                <c:pt idx="0">
                  <c:v>Sales, Services, and Other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'Revenues (AA)'!$C$71:$M$71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'Revenues (AA)'!$C$79:$M$79</c:f>
              <c:numCache>
                <c:formatCode>0</c:formatCode>
                <c:ptCount val="11"/>
                <c:pt idx="0">
                  <c:v>121838</c:v>
                </c:pt>
                <c:pt idx="1">
                  <c:v>118544</c:v>
                </c:pt>
                <c:pt idx="2">
                  <c:v>120139</c:v>
                </c:pt>
                <c:pt idx="3">
                  <c:v>121034.39044999999</c:v>
                </c:pt>
                <c:pt idx="4">
                  <c:v>126734</c:v>
                </c:pt>
                <c:pt idx="5">
                  <c:v>130182</c:v>
                </c:pt>
                <c:pt idx="6">
                  <c:v>134200</c:v>
                </c:pt>
                <c:pt idx="7">
                  <c:v>170991</c:v>
                </c:pt>
                <c:pt idx="8">
                  <c:v>217457</c:v>
                </c:pt>
                <c:pt idx="9">
                  <c:v>252269</c:v>
                </c:pt>
                <c:pt idx="10">
                  <c:v>271792</c:v>
                </c:pt>
              </c:numCache>
            </c:numRef>
          </c:val>
        </c:ser>
        <c:ser>
          <c:idx val="8"/>
          <c:order val="8"/>
          <c:tx>
            <c:strRef>
              <c:f>'Revenues (AA)'!$B$80</c:f>
              <c:strCache>
                <c:ptCount val="1"/>
                <c:pt idx="0">
                  <c:v>Investment &amp; Endowment Income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'Revenues (AA)'!$C$71:$M$71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'Revenues (AA)'!$C$80:$M$80</c:f>
              <c:numCache>
                <c:formatCode>0</c:formatCode>
                <c:ptCount val="11"/>
                <c:pt idx="0">
                  <c:v>108724</c:v>
                </c:pt>
                <c:pt idx="1">
                  <c:v>98224</c:v>
                </c:pt>
                <c:pt idx="2">
                  <c:v>70111</c:v>
                </c:pt>
                <c:pt idx="3">
                  <c:v>60979.626054</c:v>
                </c:pt>
                <c:pt idx="4">
                  <c:v>57889</c:v>
                </c:pt>
                <c:pt idx="5">
                  <c:v>68612</c:v>
                </c:pt>
                <c:pt idx="6">
                  <c:v>78174</c:v>
                </c:pt>
                <c:pt idx="7">
                  <c:v>61973</c:v>
                </c:pt>
                <c:pt idx="8">
                  <c:v>60524</c:v>
                </c:pt>
                <c:pt idx="9">
                  <c:v>64330</c:v>
                </c:pt>
                <c:pt idx="10">
                  <c:v>84083</c:v>
                </c:pt>
              </c:numCache>
            </c:numRef>
          </c:val>
        </c:ser>
        <c:ser>
          <c:idx val="9"/>
          <c:order val="9"/>
          <c:tx>
            <c:strRef>
              <c:f>'Revenues (AA)'!$B$81</c:f>
              <c:strCache>
                <c:ptCount val="1"/>
                <c:pt idx="0">
                  <c:v>Net appreciation (loss) on investments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'Revenues (AA)'!$C$71:$M$71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'Revenues (AA)'!$C$81:$M$81</c:f>
              <c:numCache>
                <c:formatCode>0</c:formatCode>
                <c:ptCount val="11"/>
                <c:pt idx="0">
                  <c:v>513379</c:v>
                </c:pt>
                <c:pt idx="1">
                  <c:v>-159455</c:v>
                </c:pt>
                <c:pt idx="2">
                  <c:v>-903089</c:v>
                </c:pt>
                <c:pt idx="3">
                  <c:v>296455.44900000002</c:v>
                </c:pt>
                <c:pt idx="4">
                  <c:v>624958</c:v>
                </c:pt>
                <c:pt idx="5">
                  <c:v>-60396</c:v>
                </c:pt>
                <c:pt idx="6">
                  <c:v>350561</c:v>
                </c:pt>
                <c:pt idx="7">
                  <c:v>739337</c:v>
                </c:pt>
                <c:pt idx="8">
                  <c:v>104441</c:v>
                </c:pt>
                <c:pt idx="9">
                  <c:v>-124740</c:v>
                </c:pt>
                <c:pt idx="10">
                  <c:v>580909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204928"/>
        <c:axId val="1222194592"/>
      </c:barChart>
      <c:catAx>
        <c:axId val="122220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22194592"/>
        <c:crosses val="autoZero"/>
        <c:auto val="1"/>
        <c:lblAlgn val="ctr"/>
        <c:lblOffset val="100"/>
        <c:noMultiLvlLbl val="0"/>
      </c:catAx>
      <c:valAx>
        <c:axId val="1222194592"/>
        <c:scaling>
          <c:orientation val="minMax"/>
          <c:max val="2000000"/>
          <c:min val="-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2220492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6CD38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E2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F6F60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'Revenues (AA)'!$B$72:$B$81</c:f>
              <c:strCache>
                <c:ptCount val="10"/>
                <c:pt idx="0">
                  <c:v>Student Tuition and Fees</c:v>
                </c:pt>
                <c:pt idx="1">
                  <c:v>Financial Aid </c:v>
                </c:pt>
                <c:pt idx="2">
                  <c:v>Net Student Tuition and Fees</c:v>
                </c:pt>
                <c:pt idx="3">
                  <c:v>NPSR</c:v>
                </c:pt>
                <c:pt idx="4">
                  <c:v>Contracts and Grants</c:v>
                </c:pt>
                <c:pt idx="5">
                  <c:v>Contributions</c:v>
                </c:pt>
                <c:pt idx="6">
                  <c:v>Auxiliary Enterprises</c:v>
                </c:pt>
                <c:pt idx="7">
                  <c:v>Sales, Services, and Other</c:v>
                </c:pt>
                <c:pt idx="8">
                  <c:v>Investment &amp; Endowment Income </c:v>
                </c:pt>
                <c:pt idx="9">
                  <c:v>Net appreciation (loss) on investments</c:v>
                </c:pt>
              </c:strCache>
            </c:strRef>
          </c:cat>
          <c:val>
            <c:numRef>
              <c:f>'Revenues (AA)'!$N$72:$N$81</c:f>
              <c:numCache>
                <c:formatCode>0%</c:formatCode>
                <c:ptCount val="10"/>
                <c:pt idx="0">
                  <c:v>0.39725377363488401</c:v>
                </c:pt>
                <c:pt idx="1">
                  <c:v>0.11090615239784805</c:v>
                </c:pt>
                <c:pt idx="2">
                  <c:v>0.28634762507858769</c:v>
                </c:pt>
                <c:pt idx="3">
                  <c:v>0.20459938844618986</c:v>
                </c:pt>
                <c:pt idx="4">
                  <c:v>0.10300719248011028</c:v>
                </c:pt>
                <c:pt idx="5">
                  <c:v>0.15287857644514888</c:v>
                </c:pt>
                <c:pt idx="6">
                  <c:v>7.6093351786902519E-2</c:v>
                </c:pt>
                <c:pt idx="7">
                  <c:v>4.6365106235704098E-2</c:v>
                </c:pt>
                <c:pt idx="8">
                  <c:v>2.113161563933786E-2</c:v>
                </c:pt>
                <c:pt idx="9">
                  <c:v>5.0966866529210474E-2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en-US" b="1"/>
              <a:t>Total Revenue Trend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'!$A$4</c:f>
              <c:strCache>
                <c:ptCount val="1"/>
                <c:pt idx="0">
                  <c:v>Total Revenue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cat>
            <c:strRef>
              <c:f>'Graphs '!$B$3:$L$3</c:f>
              <c:strCache>
                <c:ptCount val="11"/>
                <c:pt idx="0">
                  <c:v>
2007</c:v>
                </c:pt>
                <c:pt idx="1">
                  <c:v>
2008</c:v>
                </c:pt>
                <c:pt idx="2">
                  <c:v> 
2009</c:v>
                </c:pt>
                <c:pt idx="3">
                  <c:v>
2010</c:v>
                </c:pt>
                <c:pt idx="4">
                  <c:v>  
2011</c:v>
                </c:pt>
                <c:pt idx="5">
                  <c:v>
2012</c:v>
                </c:pt>
                <c:pt idx="6">
                  <c:v>  
2013</c:v>
                </c:pt>
                <c:pt idx="7">
                  <c:v>
2014</c:v>
                </c:pt>
                <c:pt idx="8">
                  <c:v> 
2015</c:v>
                </c:pt>
                <c:pt idx="9">
                  <c:v>
2016</c:v>
                </c:pt>
                <c:pt idx="10">
                  <c:v>  
2017</c:v>
                </c:pt>
              </c:strCache>
            </c:strRef>
          </c:cat>
          <c:val>
            <c:numRef>
              <c:f>'Graphs '!$B$4:$L$4</c:f>
              <c:numCache>
                <c:formatCode>#,##0_);[Red]\(#,##0\)</c:formatCode>
                <c:ptCount val="11"/>
                <c:pt idx="0">
                  <c:v>2523525000</c:v>
                </c:pt>
                <c:pt idx="1">
                  <c:v>1902376000</c:v>
                </c:pt>
                <c:pt idx="2">
                  <c:v>1321283000</c:v>
                </c:pt>
                <c:pt idx="3">
                  <c:v>3129147119.5239997</c:v>
                </c:pt>
                <c:pt idx="4">
                  <c:v>3922665000</c:v>
                </c:pt>
                <c:pt idx="5">
                  <c:v>3233714000</c:v>
                </c:pt>
                <c:pt idx="6">
                  <c:v>3861467000</c:v>
                </c:pt>
                <c:pt idx="7">
                  <c:v>4760460000</c:v>
                </c:pt>
                <c:pt idx="8">
                  <c:v>4242714000</c:v>
                </c:pt>
                <c:pt idx="9">
                  <c:v>4336854000</c:v>
                </c:pt>
                <c:pt idx="10">
                  <c:v>5268465000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C5-4563-BAA8-F4383B2E2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485648"/>
        <c:axId val="799487824"/>
      </c:lineChart>
      <c:catAx>
        <c:axId val="79948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799487824"/>
        <c:crosses val="autoZero"/>
        <c:auto val="1"/>
        <c:lblAlgn val="ctr"/>
        <c:lblOffset val="100"/>
        <c:noMultiLvlLbl val="0"/>
      </c:catAx>
      <c:valAx>
        <c:axId val="799487824"/>
        <c:scaling>
          <c:orientation val="minMax"/>
          <c:min val="1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/>
                  <a:t>Millions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79948564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en-US" b="1"/>
              <a:t>Total Expense Trend Analysis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37386993292505"/>
          <c:y val="0.12468750000000001"/>
          <c:w val="0.86055205599300089"/>
          <c:h val="0.68576006124234468"/>
        </c:manualLayout>
      </c:layout>
      <c:lineChart>
        <c:grouping val="standard"/>
        <c:varyColors val="0"/>
        <c:ser>
          <c:idx val="0"/>
          <c:order val="0"/>
          <c:tx>
            <c:strRef>
              <c:f>'Graphs '!$A$5</c:f>
              <c:strCache>
                <c:ptCount val="1"/>
                <c:pt idx="0">
                  <c:v>Total Expense 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cat>
            <c:strRef>
              <c:f>'Graphs '!$B$3:$L$3</c:f>
              <c:strCache>
                <c:ptCount val="11"/>
                <c:pt idx="0">
                  <c:v>
2007</c:v>
                </c:pt>
                <c:pt idx="1">
                  <c:v>
2008</c:v>
                </c:pt>
                <c:pt idx="2">
                  <c:v> 
2009</c:v>
                </c:pt>
                <c:pt idx="3">
                  <c:v>
2010</c:v>
                </c:pt>
                <c:pt idx="4">
                  <c:v>  
2011</c:v>
                </c:pt>
                <c:pt idx="5">
                  <c:v>
2012</c:v>
                </c:pt>
                <c:pt idx="6">
                  <c:v>  
2013</c:v>
                </c:pt>
                <c:pt idx="7">
                  <c:v>
2014</c:v>
                </c:pt>
                <c:pt idx="8">
                  <c:v> 
2015</c:v>
                </c:pt>
                <c:pt idx="9">
                  <c:v>
2016</c:v>
                </c:pt>
                <c:pt idx="10">
                  <c:v>  
2017</c:v>
                </c:pt>
              </c:strCache>
            </c:strRef>
          </c:cat>
          <c:val>
            <c:numRef>
              <c:f>'Graphs '!$B$5:$L$5</c:f>
              <c:numCache>
                <c:formatCode>#,##0_);[Red]\(#,##0\)</c:formatCode>
                <c:ptCount val="11"/>
                <c:pt idx="0">
                  <c:v>1849344000</c:v>
                </c:pt>
                <c:pt idx="1">
                  <c:v>1933529000</c:v>
                </c:pt>
                <c:pt idx="2">
                  <c:v>2191669000</c:v>
                </c:pt>
                <c:pt idx="3">
                  <c:v>2698272178</c:v>
                </c:pt>
                <c:pt idx="4">
                  <c:v>2930739000</c:v>
                </c:pt>
                <c:pt idx="5">
                  <c:v>3165396000</c:v>
                </c:pt>
                <c:pt idx="6">
                  <c:v>3273784000</c:v>
                </c:pt>
                <c:pt idx="7">
                  <c:v>3682731000</c:v>
                </c:pt>
                <c:pt idx="8">
                  <c:v>3980355000</c:v>
                </c:pt>
                <c:pt idx="9">
                  <c:v>4179379000</c:v>
                </c:pt>
                <c:pt idx="10">
                  <c:v>4370669000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2F-4A61-AB74-0C436AE72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584336"/>
        <c:axId val="889585424"/>
      </c:lineChart>
      <c:catAx>
        <c:axId val="88958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889585424"/>
        <c:crosses val="autoZero"/>
        <c:auto val="1"/>
        <c:lblAlgn val="ctr"/>
        <c:lblOffset val="100"/>
        <c:noMultiLvlLbl val="0"/>
      </c:catAx>
      <c:valAx>
        <c:axId val="889585424"/>
        <c:scaling>
          <c:orientation val="minMax"/>
          <c:max val="4500000000"/>
          <c:min val="15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/>
                  <a:t>Millions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889584336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en-US" b="1"/>
              <a:t>2007</a:t>
            </a:r>
            <a:r>
              <a:rPr lang="en-US" b="1" baseline="0"/>
              <a:t> - 2022 Revenue Forecast Trendline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'!$F$78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Pt>
            <c:idx val="11"/>
            <c:marker>
              <c:symbol val="none"/>
            </c:marker>
            <c:bubble3D val="0"/>
            <c:spPr>
              <a:ln w="28575" cap="rnd">
                <a:solidFill>
                  <a:srgbClr val="FDE383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F91-42AC-80E9-53937137AC6A}"/>
              </c:ext>
            </c:extLst>
          </c:dPt>
          <c:dPt>
            <c:idx val="12"/>
            <c:marker>
              <c:symbol val="none"/>
            </c:marker>
            <c:bubble3D val="0"/>
            <c:spPr>
              <a:ln w="28575" cap="rnd">
                <a:solidFill>
                  <a:srgbClr val="FDE383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F91-42AC-80E9-53937137AC6A}"/>
              </c:ext>
            </c:extLst>
          </c:dPt>
          <c:dPt>
            <c:idx val="13"/>
            <c:marker>
              <c:symbol val="none"/>
            </c:marker>
            <c:bubble3D val="0"/>
            <c:spPr>
              <a:ln w="28575" cap="rnd">
                <a:solidFill>
                  <a:srgbClr val="FDE383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F91-42AC-80E9-53937137AC6A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28575" cap="rnd">
                <a:solidFill>
                  <a:srgbClr val="FDE383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F91-42AC-80E9-53937137AC6A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28575" cap="rnd">
                <a:solidFill>
                  <a:srgbClr val="FDE383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F91-42AC-80E9-53937137AC6A}"/>
              </c:ext>
            </c:extLst>
          </c:dPt>
          <c:cat>
            <c:numRef>
              <c:f>'Graphs '!$G$77:$V$77</c:f>
              <c:numCache>
                <c:formatCode>0</c:formatCod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numCache>
            </c:numRef>
          </c:cat>
          <c:val>
            <c:numRef>
              <c:f>'Graphs '!$G$78:$V$78</c:f>
              <c:numCache>
                <c:formatCode>General</c:formatCode>
                <c:ptCount val="16"/>
                <c:pt idx="0">
                  <c:v>2523525000</c:v>
                </c:pt>
                <c:pt idx="1">
                  <c:v>1902376000</c:v>
                </c:pt>
                <c:pt idx="2">
                  <c:v>1321283000</c:v>
                </c:pt>
                <c:pt idx="3">
                  <c:v>3129147119.5239997</c:v>
                </c:pt>
                <c:pt idx="4">
                  <c:v>3922665000</c:v>
                </c:pt>
                <c:pt idx="5">
                  <c:v>3233714000</c:v>
                </c:pt>
                <c:pt idx="6">
                  <c:v>3861467000</c:v>
                </c:pt>
                <c:pt idx="7">
                  <c:v>4760460000</c:v>
                </c:pt>
                <c:pt idx="8">
                  <c:v>4242714000</c:v>
                </c:pt>
                <c:pt idx="9">
                  <c:v>4336854000</c:v>
                </c:pt>
                <c:pt idx="10">
                  <c:v>5268465000</c:v>
                </c:pt>
                <c:pt idx="11" formatCode="0">
                  <c:v>5432697252.3723145</c:v>
                </c:pt>
                <c:pt idx="12" formatCode="0">
                  <c:v>5754773004.7445068</c:v>
                </c:pt>
                <c:pt idx="13" formatCode="0">
                  <c:v>6076848757.1169434</c:v>
                </c:pt>
                <c:pt idx="14" formatCode="0">
                  <c:v>6398924509.4892578</c:v>
                </c:pt>
                <c:pt idx="15" formatCode="0">
                  <c:v>6721000261.8614502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5F91-42AC-80E9-53937137A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590320"/>
        <c:axId val="889582704"/>
      </c:lineChart>
      <c:catAx>
        <c:axId val="88959032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889582704"/>
        <c:crosses val="autoZero"/>
        <c:auto val="1"/>
        <c:lblAlgn val="ctr"/>
        <c:lblOffset val="100"/>
        <c:tickLblSkip val="1"/>
        <c:tickMarkSkip val="2"/>
        <c:noMultiLvlLbl val="0"/>
      </c:catAx>
      <c:valAx>
        <c:axId val="8895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/>
                  <a:t>Millions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889590320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en-US" b="1"/>
              <a:t>2007 - 2022 Revenue</a:t>
            </a:r>
            <a:r>
              <a:rPr lang="en-US" b="1" baseline="0"/>
              <a:t> Forecast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'!$F$78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FDE383"/>
              </a:solidFill>
              <a:ln>
                <a:solidFill>
                  <a:srgbClr val="FDE383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EC4-48E2-8D41-844FB371154A}"/>
              </c:ext>
            </c:extLst>
          </c:dPt>
          <c:dPt>
            <c:idx val="12"/>
            <c:invertIfNegative val="0"/>
            <c:bubble3D val="0"/>
            <c:spPr>
              <a:solidFill>
                <a:srgbClr val="FDE383"/>
              </a:solidFill>
              <a:ln>
                <a:solidFill>
                  <a:srgbClr val="FDE383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EC4-48E2-8D41-844FB371154A}"/>
              </c:ext>
            </c:extLst>
          </c:dPt>
          <c:dPt>
            <c:idx val="13"/>
            <c:invertIfNegative val="0"/>
            <c:bubble3D val="0"/>
            <c:spPr>
              <a:solidFill>
                <a:srgbClr val="FDE383"/>
              </a:solidFill>
              <a:ln>
                <a:solidFill>
                  <a:srgbClr val="FDE383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EC4-48E2-8D41-844FB371154A}"/>
              </c:ext>
            </c:extLst>
          </c:dPt>
          <c:dPt>
            <c:idx val="14"/>
            <c:invertIfNegative val="0"/>
            <c:bubble3D val="0"/>
            <c:spPr>
              <a:solidFill>
                <a:srgbClr val="FDE383"/>
              </a:solidFill>
              <a:ln>
                <a:solidFill>
                  <a:srgbClr val="FDE383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EC4-48E2-8D41-844FB371154A}"/>
              </c:ext>
            </c:extLst>
          </c:dPt>
          <c:dPt>
            <c:idx val="15"/>
            <c:invertIfNegative val="0"/>
            <c:bubble3D val="0"/>
            <c:spPr>
              <a:solidFill>
                <a:srgbClr val="FDE383"/>
              </a:solidFill>
              <a:ln>
                <a:solidFill>
                  <a:srgbClr val="FDE383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EC4-48E2-8D41-844FB371154A}"/>
              </c:ext>
            </c:extLst>
          </c:dPt>
          <c:cat>
            <c:numRef>
              <c:f>'Graphs '!$G$77:$V$77</c:f>
              <c:numCache>
                <c:formatCode>0</c:formatCod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numCache>
            </c:numRef>
          </c:cat>
          <c:val>
            <c:numRef>
              <c:f>'Graphs '!$G$78:$V$78</c:f>
              <c:numCache>
                <c:formatCode>General</c:formatCode>
                <c:ptCount val="16"/>
                <c:pt idx="0">
                  <c:v>2523525000</c:v>
                </c:pt>
                <c:pt idx="1">
                  <c:v>1902376000</c:v>
                </c:pt>
                <c:pt idx="2">
                  <c:v>1321283000</c:v>
                </c:pt>
                <c:pt idx="3">
                  <c:v>3129147119.5239997</c:v>
                </c:pt>
                <c:pt idx="4">
                  <c:v>3922665000</c:v>
                </c:pt>
                <c:pt idx="5">
                  <c:v>3233714000</c:v>
                </c:pt>
                <c:pt idx="6">
                  <c:v>3861467000</c:v>
                </c:pt>
                <c:pt idx="7">
                  <c:v>4760460000</c:v>
                </c:pt>
                <c:pt idx="8">
                  <c:v>4242714000</c:v>
                </c:pt>
                <c:pt idx="9">
                  <c:v>4336854000</c:v>
                </c:pt>
                <c:pt idx="10">
                  <c:v>5268465000</c:v>
                </c:pt>
                <c:pt idx="11" formatCode="0">
                  <c:v>5432697252.3723145</c:v>
                </c:pt>
                <c:pt idx="12" formatCode="0">
                  <c:v>5754773004.7445068</c:v>
                </c:pt>
                <c:pt idx="13" formatCode="0">
                  <c:v>6076848757.1169434</c:v>
                </c:pt>
                <c:pt idx="14" formatCode="0">
                  <c:v>6398924509.4892578</c:v>
                </c:pt>
                <c:pt idx="15" formatCode="0">
                  <c:v>6721000261.8614502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6EC4-48E2-8D41-844FB3711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9583792"/>
        <c:axId val="889585968"/>
      </c:barChart>
      <c:catAx>
        <c:axId val="8895837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889585968"/>
        <c:crosses val="autoZero"/>
        <c:auto val="1"/>
        <c:lblAlgn val="ctr"/>
        <c:lblOffset val="100"/>
        <c:noMultiLvlLbl val="0"/>
      </c:catAx>
      <c:valAx>
        <c:axId val="8895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/>
                  <a:t>Millions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889583792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en-US" b="1"/>
              <a:t>2007 - 2022 Expense Forecast Trendline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'!$F$79</c:f>
              <c:strCache>
                <c:ptCount val="1"/>
                <c:pt idx="0">
                  <c:v>Total Expense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Pt>
            <c:idx val="11"/>
            <c:marker>
              <c:symbol val="none"/>
            </c:marker>
            <c:bubble3D val="0"/>
            <c:spPr>
              <a:ln w="28575" cap="rnd">
                <a:solidFill>
                  <a:srgbClr val="FF5757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04C-43B9-A1BA-826570653D9D}"/>
              </c:ext>
            </c:extLst>
          </c:dPt>
          <c:dPt>
            <c:idx val="12"/>
            <c:marker>
              <c:symbol val="none"/>
            </c:marker>
            <c:bubble3D val="0"/>
            <c:spPr>
              <a:ln w="28575" cap="rnd">
                <a:solidFill>
                  <a:srgbClr val="FF5757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04C-43B9-A1BA-826570653D9D}"/>
              </c:ext>
            </c:extLst>
          </c:dPt>
          <c:dPt>
            <c:idx val="13"/>
            <c:marker>
              <c:symbol val="none"/>
            </c:marker>
            <c:bubble3D val="0"/>
            <c:spPr>
              <a:ln w="28575" cap="rnd">
                <a:solidFill>
                  <a:srgbClr val="FF5757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04C-43B9-A1BA-826570653D9D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28575" cap="rnd">
                <a:solidFill>
                  <a:srgbClr val="FF5757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04C-43B9-A1BA-826570653D9D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28575" cap="rnd">
                <a:solidFill>
                  <a:srgbClr val="FF5757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04C-43B9-A1BA-826570653D9D}"/>
              </c:ext>
            </c:extLst>
          </c:dPt>
          <c:cat>
            <c:numRef>
              <c:f>'Graphs '!$G$77:$V$77</c:f>
              <c:numCache>
                <c:formatCode>0</c:formatCod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numCache>
            </c:numRef>
          </c:cat>
          <c:val>
            <c:numRef>
              <c:f>'Graphs '!$G$79:$V$79</c:f>
              <c:numCache>
                <c:formatCode>General</c:formatCode>
                <c:ptCount val="16"/>
                <c:pt idx="0">
                  <c:v>1849344000</c:v>
                </c:pt>
                <c:pt idx="1">
                  <c:v>1933529000</c:v>
                </c:pt>
                <c:pt idx="2">
                  <c:v>2191669000</c:v>
                </c:pt>
                <c:pt idx="3">
                  <c:v>2698272178</c:v>
                </c:pt>
                <c:pt idx="4">
                  <c:v>2930739000</c:v>
                </c:pt>
                <c:pt idx="5">
                  <c:v>3165396000</c:v>
                </c:pt>
                <c:pt idx="6">
                  <c:v>3273784000</c:v>
                </c:pt>
                <c:pt idx="7">
                  <c:v>3682731000</c:v>
                </c:pt>
                <c:pt idx="8">
                  <c:v>3980355000</c:v>
                </c:pt>
                <c:pt idx="9">
                  <c:v>4179379000</c:v>
                </c:pt>
                <c:pt idx="10">
                  <c:v>4370669000</c:v>
                </c:pt>
                <c:pt idx="11" formatCode="0">
                  <c:v>4710608596.7636108</c:v>
                </c:pt>
                <c:pt idx="12" formatCode="0">
                  <c:v>4976681738.9818115</c:v>
                </c:pt>
                <c:pt idx="13" formatCode="0">
                  <c:v>5242754881.2000122</c:v>
                </c:pt>
                <c:pt idx="14" formatCode="0">
                  <c:v>5508828023.4181519</c:v>
                </c:pt>
                <c:pt idx="15" formatCode="0">
                  <c:v>5774901165.6363525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104C-43B9-A1BA-826570653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575632"/>
        <c:axId val="889589776"/>
      </c:lineChart>
      <c:catAx>
        <c:axId val="88957563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889589776"/>
        <c:crosses val="autoZero"/>
        <c:auto val="1"/>
        <c:lblAlgn val="ctr"/>
        <c:lblOffset val="100"/>
        <c:noMultiLvlLbl val="0"/>
      </c:catAx>
      <c:valAx>
        <c:axId val="88958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/>
                  <a:t>Millions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889575632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2.xml"/><Relationship Id="rId7" Type="http://schemas.openxmlformats.org/officeDocument/2006/relationships/chart" Target="../charts/chart35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4.xml"/><Relationship Id="rId5" Type="http://schemas.openxmlformats.org/officeDocument/2006/relationships/image" Target="../media/image1.png"/><Relationship Id="rId4" Type="http://schemas.openxmlformats.org/officeDocument/2006/relationships/chart" Target="../charts/chart3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12" Type="http://schemas.openxmlformats.org/officeDocument/2006/relationships/chart" Target="../charts/chart47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6.xml"/><Relationship Id="rId5" Type="http://schemas.openxmlformats.org/officeDocument/2006/relationships/chart" Target="../charts/chart41.xml"/><Relationship Id="rId10" Type="http://schemas.openxmlformats.org/officeDocument/2006/relationships/chart" Target="../charts/chart45.xml"/><Relationship Id="rId4" Type="http://schemas.openxmlformats.org/officeDocument/2006/relationships/chart" Target="../charts/chart40.xml"/><Relationship Id="rId9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396874</xdr:colOff>
      <xdr:row>7</xdr:row>
      <xdr:rowOff>2117</xdr:rowOff>
    </xdr:from>
    <xdr:to>
      <xdr:col>6</xdr:col>
      <xdr:colOff>488314</xdr:colOff>
      <xdr:row>26</xdr:row>
      <xdr:rowOff>40217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668338</xdr:colOff>
      <xdr:row>7</xdr:row>
      <xdr:rowOff>4233</xdr:rowOff>
    </xdr:from>
    <xdr:to>
      <xdr:col>13</xdr:col>
      <xdr:colOff>649288</xdr:colOff>
      <xdr:row>26</xdr:row>
      <xdr:rowOff>42333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645054</xdr:colOff>
      <xdr:row>27</xdr:row>
      <xdr:rowOff>10051</xdr:rowOff>
    </xdr:from>
    <xdr:to>
      <xdr:col>13</xdr:col>
      <xdr:colOff>626004</xdr:colOff>
      <xdr:row>46</xdr:row>
      <xdr:rowOff>48151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404283</xdr:colOff>
      <xdr:row>26</xdr:row>
      <xdr:rowOff>187853</xdr:rowOff>
    </xdr:from>
    <xdr:to>
      <xdr:col>6</xdr:col>
      <xdr:colOff>495723</xdr:colOff>
      <xdr:row>46</xdr:row>
      <xdr:rowOff>35453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800896</xdr:colOff>
      <xdr:row>7</xdr:row>
      <xdr:rowOff>14239</xdr:rowOff>
    </xdr:from>
    <xdr:to>
      <xdr:col>20</xdr:col>
      <xdr:colOff>324646</xdr:colOff>
      <xdr:row>26</xdr:row>
      <xdr:rowOff>52339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791288</xdr:colOff>
      <xdr:row>27</xdr:row>
      <xdr:rowOff>7834</xdr:rowOff>
    </xdr:from>
    <xdr:to>
      <xdr:col>20</xdr:col>
      <xdr:colOff>315038</xdr:colOff>
      <xdr:row>46</xdr:row>
      <xdr:rowOff>45934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161925</xdr:colOff>
      <xdr:row>80</xdr:row>
      <xdr:rowOff>138112</xdr:rowOff>
    </xdr:from>
    <xdr:to>
      <xdr:col>11</xdr:col>
      <xdr:colOff>847725</xdr:colOff>
      <xdr:row>98</xdr:row>
      <xdr:rowOff>952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161925</xdr:colOff>
      <xdr:row>98</xdr:row>
      <xdr:rowOff>185737</xdr:rowOff>
    </xdr:from>
    <xdr:to>
      <xdr:col>11</xdr:col>
      <xdr:colOff>847725</xdr:colOff>
      <xdr:row>123</xdr:row>
      <xdr:rowOff>48577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9524</xdr:colOff>
      <xdr:row>80</xdr:row>
      <xdr:rowOff>138111</xdr:rowOff>
    </xdr:from>
    <xdr:to>
      <xdr:col>18</xdr:col>
      <xdr:colOff>571499</xdr:colOff>
      <xdr:row>98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1047749</xdr:colOff>
      <xdr:row>99</xdr:row>
      <xdr:rowOff>14286</xdr:rowOff>
    </xdr:from>
    <xdr:to>
      <xdr:col>18</xdr:col>
      <xdr:colOff>581024</xdr:colOff>
      <xdr:row>123</xdr:row>
      <xdr:rowOff>66675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762001</xdr:colOff>
      <xdr:row>80</xdr:row>
      <xdr:rowOff>158352</xdr:rowOff>
    </xdr:from>
    <xdr:to>
      <xdr:col>26</xdr:col>
      <xdr:colOff>95250</xdr:colOff>
      <xdr:row>97</xdr:row>
      <xdr:rowOff>178593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773905</xdr:colOff>
      <xdr:row>99</xdr:row>
      <xdr:rowOff>15477</xdr:rowOff>
    </xdr:from>
    <xdr:to>
      <xdr:col>26</xdr:col>
      <xdr:colOff>107155</xdr:colOff>
      <xdr:row>123</xdr:row>
      <xdr:rowOff>71437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416719</xdr:colOff>
      <xdr:row>129</xdr:row>
      <xdr:rowOff>3571</xdr:rowOff>
    </xdr:from>
    <xdr:to>
      <xdr:col>5</xdr:col>
      <xdr:colOff>1031081</xdr:colOff>
      <xdr:row>150</xdr:row>
      <xdr:rowOff>117871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250027</xdr:colOff>
      <xdr:row>129</xdr:row>
      <xdr:rowOff>3570</xdr:rowOff>
    </xdr:from>
    <xdr:to>
      <xdr:col>12</xdr:col>
      <xdr:colOff>471483</xdr:colOff>
      <xdr:row>150</xdr:row>
      <xdr:rowOff>119061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714375</xdr:colOff>
      <xdr:row>129</xdr:row>
      <xdr:rowOff>15478</xdr:rowOff>
    </xdr:from>
    <xdr:to>
      <xdr:col>18</xdr:col>
      <xdr:colOff>828675</xdr:colOff>
      <xdr:row>150</xdr:row>
      <xdr:rowOff>129778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359832</xdr:colOff>
      <xdr:row>160</xdr:row>
      <xdr:rowOff>7406</xdr:rowOff>
    </xdr:from>
    <xdr:to>
      <xdr:col>5</xdr:col>
      <xdr:colOff>407457</xdr:colOff>
      <xdr:row>176</xdr:row>
      <xdr:rowOff>159806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360891</xdr:colOff>
      <xdr:row>178</xdr:row>
      <xdr:rowOff>5291</xdr:rowOff>
    </xdr:from>
    <xdr:to>
      <xdr:col>5</xdr:col>
      <xdr:colOff>408516</xdr:colOff>
      <xdr:row>194</xdr:row>
      <xdr:rowOff>157691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642408</xdr:colOff>
      <xdr:row>160</xdr:row>
      <xdr:rowOff>11642</xdr:rowOff>
    </xdr:from>
    <xdr:to>
      <xdr:col>11</xdr:col>
      <xdr:colOff>385233</xdr:colOff>
      <xdr:row>176</xdr:row>
      <xdr:rowOff>164042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636059</xdr:colOff>
      <xdr:row>178</xdr:row>
      <xdr:rowOff>6350</xdr:rowOff>
    </xdr:from>
    <xdr:to>
      <xdr:col>11</xdr:col>
      <xdr:colOff>378884</xdr:colOff>
      <xdr:row>194</xdr:row>
      <xdr:rowOff>158750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606425</xdr:colOff>
      <xdr:row>178</xdr:row>
      <xdr:rowOff>1058</xdr:rowOff>
    </xdr:from>
    <xdr:to>
      <xdr:col>17</xdr:col>
      <xdr:colOff>263525</xdr:colOff>
      <xdr:row>194</xdr:row>
      <xdr:rowOff>153458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608541</xdr:colOff>
      <xdr:row>159</xdr:row>
      <xdr:rowOff>187325</xdr:rowOff>
    </xdr:from>
    <xdr:to>
      <xdr:col>17</xdr:col>
      <xdr:colOff>265641</xdr:colOff>
      <xdr:row>176</xdr:row>
      <xdr:rowOff>149225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333373</xdr:colOff>
      <xdr:row>196</xdr:row>
      <xdr:rowOff>3570</xdr:rowOff>
    </xdr:from>
    <xdr:to>
      <xdr:col>8</xdr:col>
      <xdr:colOff>785811</xdr:colOff>
      <xdr:row>222</xdr:row>
      <xdr:rowOff>190499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11905</xdr:colOff>
      <xdr:row>195</xdr:row>
      <xdr:rowOff>182164</xdr:rowOff>
    </xdr:from>
    <xdr:to>
      <xdr:col>18</xdr:col>
      <xdr:colOff>0</xdr:colOff>
      <xdr:row>223</xdr:row>
      <xdr:rowOff>11906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400841</xdr:colOff>
      <xdr:row>227</xdr:row>
      <xdr:rowOff>444101</xdr:rowOff>
    </xdr:from>
    <xdr:to>
      <xdr:col>7</xdr:col>
      <xdr:colOff>-1</xdr:colOff>
      <xdr:row>256</xdr:row>
      <xdr:rowOff>47625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26</xdr:col>
      <xdr:colOff>244929</xdr:colOff>
      <xdr:row>80</xdr:row>
      <xdr:rowOff>172810</xdr:rowOff>
    </xdr:from>
    <xdr:to>
      <xdr:col>36</xdr:col>
      <xdr:colOff>149679</xdr:colOff>
      <xdr:row>98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26</xdr:col>
      <xdr:colOff>217715</xdr:colOff>
      <xdr:row>98</xdr:row>
      <xdr:rowOff>186417</xdr:rowOff>
    </xdr:from>
    <xdr:to>
      <xdr:col>36</xdr:col>
      <xdr:colOff>367393</xdr:colOff>
      <xdr:row>120</xdr:row>
      <xdr:rowOff>40821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1188356</xdr:colOff>
      <xdr:row>232</xdr:row>
      <xdr:rowOff>186417</xdr:rowOff>
    </xdr:from>
    <xdr:to>
      <xdr:col>15</xdr:col>
      <xdr:colOff>303892</xdr:colOff>
      <xdr:row>261</xdr:row>
      <xdr:rowOff>176893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16</xdr:col>
      <xdr:colOff>9071</xdr:colOff>
      <xdr:row>232</xdr:row>
      <xdr:rowOff>188684</xdr:rowOff>
    </xdr:from>
    <xdr:to>
      <xdr:col>23</xdr:col>
      <xdr:colOff>573767</xdr:colOff>
      <xdr:row>262</xdr:row>
      <xdr:rowOff>2267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396874</xdr:colOff>
      <xdr:row>258</xdr:row>
      <xdr:rowOff>1587</xdr:rowOff>
    </xdr:from>
    <xdr:to>
      <xdr:col>6</xdr:col>
      <xdr:colOff>1158874</xdr:colOff>
      <xdr:row>284</xdr:row>
      <xdr:rowOff>174625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31749</xdr:colOff>
      <xdr:row>3</xdr:row>
      <xdr:rowOff>128587</xdr:rowOff>
    </xdr:from>
    <xdr:to>
      <xdr:col>5</xdr:col>
      <xdr:colOff>517578</xdr:colOff>
      <xdr:row>17</xdr:row>
      <xdr:rowOff>101155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55D59BB-8459-427A-8B77-214F01C91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638174</xdr:colOff>
      <xdr:row>4</xdr:row>
      <xdr:rowOff>19049</xdr:rowOff>
    </xdr:from>
    <xdr:to>
      <xdr:col>10</xdr:col>
      <xdr:colOff>103468</xdr:colOff>
      <xdr:row>17</xdr:row>
      <xdr:rowOff>154903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483C9794-AB74-482E-87CA-8AABDEEC4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231774</xdr:colOff>
      <xdr:row>3</xdr:row>
      <xdr:rowOff>142874</xdr:rowOff>
    </xdr:from>
    <xdr:to>
      <xdr:col>16</xdr:col>
      <xdr:colOff>268568</xdr:colOff>
      <xdr:row>17</xdr:row>
      <xdr:rowOff>115442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14BC2F6A-9558-46C6-8B80-5D78C5645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190500</xdr:colOff>
      <xdr:row>18</xdr:row>
      <xdr:rowOff>111125</xdr:rowOff>
    </xdr:from>
    <xdr:to>
      <xdr:col>5</xdr:col>
      <xdr:colOff>676329</xdr:colOff>
      <xdr:row>32</xdr:row>
      <xdr:rowOff>83693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85E8997A-71A5-43F0-B623-EA4296377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7</xdr:col>
      <xdr:colOff>442232</xdr:colOff>
      <xdr:row>0</xdr:row>
      <xdr:rowOff>9071</xdr:rowOff>
    </xdr:from>
    <xdr:ext cx="1694684" cy="800281"/>
    <xdr:pic>
      <xdr:nvPicPr>
        <xdr:cNvPr id="6" name="Picture 2">
          <a:extLst>
            <a:ext uri="{FF2B5EF4-FFF2-40B4-BE49-F238E27FC236}">
              <a16:creationId xmlns:a16="http://schemas.microsoft.com/office/drawing/2014/main" xmlns="" id="{F0678F2A-851D-4B4C-8FB3-6CC0A081E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4709432" y="9071"/>
          <a:ext cx="1694684" cy="800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>
    <xdr:from>
      <xdr:col>5</xdr:col>
      <xdr:colOff>773205</xdr:colOff>
      <xdr:row>18</xdr:row>
      <xdr:rowOff>145677</xdr:rowOff>
    </xdr:from>
    <xdr:to>
      <xdr:col>10</xdr:col>
      <xdr:colOff>238499</xdr:colOff>
      <xdr:row>32</xdr:row>
      <xdr:rowOff>118245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6C516734-2B3F-403C-8EEB-A8719D53B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17318</xdr:colOff>
      <xdr:row>60</xdr:row>
      <xdr:rowOff>18184</xdr:rowOff>
    </xdr:from>
    <xdr:to>
      <xdr:col>8</xdr:col>
      <xdr:colOff>424296</xdr:colOff>
      <xdr:row>77</xdr:row>
      <xdr:rowOff>155864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666751</xdr:colOff>
      <xdr:row>60</xdr:row>
      <xdr:rowOff>18183</xdr:rowOff>
    </xdr:from>
    <xdr:to>
      <xdr:col>15</xdr:col>
      <xdr:colOff>355024</xdr:colOff>
      <xdr:row>77</xdr:row>
      <xdr:rowOff>173182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31749</xdr:colOff>
      <xdr:row>3</xdr:row>
      <xdr:rowOff>128586</xdr:rowOff>
    </xdr:from>
    <xdr:to>
      <xdr:col>5</xdr:col>
      <xdr:colOff>563348</xdr:colOff>
      <xdr:row>18</xdr:row>
      <xdr:rowOff>49199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742081</xdr:colOff>
      <xdr:row>4</xdr:row>
      <xdr:rowOff>19048</xdr:rowOff>
    </xdr:from>
    <xdr:to>
      <xdr:col>10</xdr:col>
      <xdr:colOff>269225</xdr:colOff>
      <xdr:row>18</xdr:row>
      <xdr:rowOff>95525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456908</xdr:colOff>
      <xdr:row>4</xdr:row>
      <xdr:rowOff>38963</xdr:rowOff>
    </xdr:from>
    <xdr:to>
      <xdr:col>16</xdr:col>
      <xdr:colOff>520916</xdr:colOff>
      <xdr:row>18</xdr:row>
      <xdr:rowOff>115440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190500</xdr:colOff>
      <xdr:row>18</xdr:row>
      <xdr:rowOff>111124</xdr:rowOff>
    </xdr:from>
    <xdr:to>
      <xdr:col>5</xdr:col>
      <xdr:colOff>722099</xdr:colOff>
      <xdr:row>33</xdr:row>
      <xdr:rowOff>31738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848589</xdr:colOff>
      <xdr:row>19</xdr:row>
      <xdr:rowOff>2886</xdr:rowOff>
    </xdr:from>
    <xdr:to>
      <xdr:col>10</xdr:col>
      <xdr:colOff>375733</xdr:colOff>
      <xdr:row>33</xdr:row>
      <xdr:rowOff>79363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473939</xdr:colOff>
      <xdr:row>19</xdr:row>
      <xdr:rowOff>50510</xdr:rowOff>
    </xdr:from>
    <xdr:to>
      <xdr:col>16</xdr:col>
      <xdr:colOff>537947</xdr:colOff>
      <xdr:row>33</xdr:row>
      <xdr:rowOff>126987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181428</xdr:colOff>
      <xdr:row>34</xdr:row>
      <xdr:rowOff>74838</xdr:rowOff>
    </xdr:from>
    <xdr:to>
      <xdr:col>5</xdr:col>
      <xdr:colOff>713027</xdr:colOff>
      <xdr:row>48</xdr:row>
      <xdr:rowOff>151315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840901</xdr:colOff>
      <xdr:row>34</xdr:row>
      <xdr:rowOff>69316</xdr:rowOff>
    </xdr:from>
    <xdr:to>
      <xdr:col>10</xdr:col>
      <xdr:colOff>368045</xdr:colOff>
      <xdr:row>48</xdr:row>
      <xdr:rowOff>145793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8FADC18F-4B63-4190-B22E-458C9F6A7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7</xdr:col>
      <xdr:colOff>442232</xdr:colOff>
      <xdr:row>0</xdr:row>
      <xdr:rowOff>9071</xdr:rowOff>
    </xdr:from>
    <xdr:ext cx="1694684" cy="800281"/>
    <xdr:pic>
      <xdr:nvPicPr>
        <xdr:cNvPr id="10" name="Picture 2">
          <a:extLst>
            <a:ext uri="{FF2B5EF4-FFF2-40B4-BE49-F238E27FC236}">
              <a16:creationId xmlns:a16="http://schemas.microsoft.com/office/drawing/2014/main" xmlns="" id="{2D570388-0854-4A18-B9F9-DD804D69C7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4709432" y="9071"/>
          <a:ext cx="1694684" cy="800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>
    <xdr:from>
      <xdr:col>10</xdr:col>
      <xdr:colOff>453985</xdr:colOff>
      <xdr:row>34</xdr:row>
      <xdr:rowOff>68037</xdr:rowOff>
    </xdr:from>
    <xdr:to>
      <xdr:col>16</xdr:col>
      <xdr:colOff>517993</xdr:colOff>
      <xdr:row>48</xdr:row>
      <xdr:rowOff>144514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3F2301C0-618F-4DBF-9FD3-4B46979D9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11204</xdr:colOff>
      <xdr:row>84</xdr:row>
      <xdr:rowOff>146795</xdr:rowOff>
    </xdr:from>
    <xdr:to>
      <xdr:col>18</xdr:col>
      <xdr:colOff>313765</xdr:colOff>
      <xdr:row>109</xdr:row>
      <xdr:rowOff>100853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582706</xdr:colOff>
      <xdr:row>84</xdr:row>
      <xdr:rowOff>135589</xdr:rowOff>
    </xdr:from>
    <xdr:to>
      <xdr:col>8</xdr:col>
      <xdr:colOff>773206</xdr:colOff>
      <xdr:row>109</xdr:row>
      <xdr:rowOff>56028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Laura%20Ponder\Jim\Moody's\Audited%20Financial%20Statements\CHGS_07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Laura%20Ponder\Jim\Moody's\Audited%20Financial%20Statements\CHGS_16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Laura%20Ponder\Jim\Moody's\Audited%20Financial%20Statements\CHGS_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Laura%20Ponder\Jim\Moody's\Audited%20Financial%20Statements\CHGS_0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Laura%20Ponder\Jim\Moody's\Audited%20Financial%20Statements\CHGS_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Laura%20Ponder\Jim\Moody's\Audited%20Financial%20Statements\BAL10and%200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Laura%20Ponder\Jim\Moody's\Audited%20Financial%20Statements\CHGS_1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Laura%20Ponder\Jim\Moody's\Audited%20Financial%20Statements\CHGS_1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Laura%20Ponder\Jim\Moody's\Audited%20Financial%20Statements\CHGS_13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Laura%20Ponder\Jim\Moody's\Audited%20Financial%20Statements\CHGS_1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Laura%20Ponder\Jim\Moody's\Audited%20Financial%20Statements\CHGS_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s FY07"/>
      <sheetName val="Rounded Changes FY07"/>
    </sheetNames>
    <sheetDataSet>
      <sheetData sheetId="0">
        <row r="15">
          <cell r="B15">
            <v>950076793.73000002</v>
          </cell>
        </row>
        <row r="16">
          <cell r="B16">
            <v>-277211744.63</v>
          </cell>
        </row>
        <row r="18">
          <cell r="B18">
            <v>38384711.969999999</v>
          </cell>
          <cell r="D18">
            <v>30068873</v>
          </cell>
          <cell r="L18">
            <v>370614</v>
          </cell>
        </row>
        <row r="19">
          <cell r="B19">
            <v>17777879.890000001</v>
          </cell>
          <cell r="D19">
            <v>3150214</v>
          </cell>
          <cell r="E19">
            <v>18769294</v>
          </cell>
          <cell r="H19">
            <v>-27323</v>
          </cell>
          <cell r="K19">
            <v>5098</v>
          </cell>
          <cell r="L19">
            <v>224058</v>
          </cell>
        </row>
        <row r="20">
          <cell r="D20">
            <v>-4809573</v>
          </cell>
          <cell r="E20">
            <v>-960153</v>
          </cell>
          <cell r="G20">
            <v>522511245</v>
          </cell>
          <cell r="K20">
            <v>-682513</v>
          </cell>
          <cell r="L20">
            <v>-2679398</v>
          </cell>
        </row>
        <row r="21">
          <cell r="D21">
            <v>245463234</v>
          </cell>
        </row>
        <row r="22">
          <cell r="B22">
            <v>101981522.8</v>
          </cell>
        </row>
        <row r="23">
          <cell r="B23">
            <v>41010970.18</v>
          </cell>
          <cell r="D23">
            <v>188984458</v>
          </cell>
          <cell r="E23">
            <v>13897361</v>
          </cell>
          <cell r="F23">
            <v>1213325</v>
          </cell>
          <cell r="G23">
            <v>0</v>
          </cell>
          <cell r="K23">
            <v>39138764</v>
          </cell>
          <cell r="L23">
            <v>79355339</v>
          </cell>
        </row>
        <row r="24">
          <cell r="B24">
            <v>31484051.109999999</v>
          </cell>
        </row>
        <row r="25">
          <cell r="B25">
            <v>213469245.90000001</v>
          </cell>
        </row>
        <row r="26">
          <cell r="C26">
            <v>79772974</v>
          </cell>
        </row>
        <row r="27">
          <cell r="C27">
            <v>88010691</v>
          </cell>
        </row>
        <row r="28">
          <cell r="F28">
            <v>-1473512</v>
          </cell>
        </row>
        <row r="29">
          <cell r="B29">
            <v>72272065.659999996</v>
          </cell>
          <cell r="D29">
            <v>18081611</v>
          </cell>
        </row>
        <row r="30">
          <cell r="K30">
            <v>4938716</v>
          </cell>
          <cell r="L30">
            <v>10956648</v>
          </cell>
        </row>
        <row r="31">
          <cell r="D31">
            <v>29081664</v>
          </cell>
          <cell r="E31">
            <v>11024787</v>
          </cell>
          <cell r="F31">
            <v>0</v>
          </cell>
          <cell r="G31">
            <v>530877</v>
          </cell>
          <cell r="K31">
            <v>-41888875</v>
          </cell>
          <cell r="L31">
            <v>1251547</v>
          </cell>
        </row>
        <row r="35">
          <cell r="B35">
            <v>1096412908</v>
          </cell>
          <cell r="D35">
            <v>482666492</v>
          </cell>
          <cell r="F35">
            <v>47765</v>
          </cell>
        </row>
        <row r="36">
          <cell r="C36">
            <v>154036251</v>
          </cell>
        </row>
        <row r="37">
          <cell r="F37">
            <v>93694606</v>
          </cell>
        </row>
        <row r="38">
          <cell r="E38">
            <v>19459309</v>
          </cell>
        </row>
        <row r="39">
          <cell r="E39">
            <v>3026271</v>
          </cell>
        </row>
        <row r="43">
          <cell r="B43">
            <v>-21810291</v>
          </cell>
          <cell r="C43">
            <v>-1145189</v>
          </cell>
          <cell r="D43">
            <v>-7897378.8500000015</v>
          </cell>
          <cell r="E43">
            <v>30852858.850000001</v>
          </cell>
        </row>
        <row r="44">
          <cell r="B44">
            <v>0</v>
          </cell>
          <cell r="H44">
            <v>0</v>
          </cell>
        </row>
        <row r="45">
          <cell r="B45">
            <v>-9257391</v>
          </cell>
          <cell r="G45">
            <v>9257391</v>
          </cell>
        </row>
        <row r="46">
          <cell r="B46">
            <v>-17999029</v>
          </cell>
          <cell r="C46">
            <v>-2124613</v>
          </cell>
          <cell r="D46">
            <v>-22275708</v>
          </cell>
          <cell r="E46">
            <v>42399351</v>
          </cell>
        </row>
        <row r="47">
          <cell r="B47">
            <v>31209099</v>
          </cell>
          <cell r="D47">
            <v>33520492</v>
          </cell>
          <cell r="G47">
            <v>-64729591</v>
          </cell>
        </row>
        <row r="48">
          <cell r="B48">
            <v>42569351</v>
          </cell>
          <cell r="C48">
            <v>-3194</v>
          </cell>
          <cell r="D48">
            <v>-42566157</v>
          </cell>
        </row>
        <row r="49">
          <cell r="B49">
            <v>-98018188</v>
          </cell>
          <cell r="C49">
            <v>-14952773</v>
          </cell>
          <cell r="D49">
            <v>-53451213</v>
          </cell>
          <cell r="E49">
            <v>54743636</v>
          </cell>
          <cell r="G49">
            <v>111678538</v>
          </cell>
        </row>
        <row r="50">
          <cell r="D50">
            <v>0</v>
          </cell>
        </row>
        <row r="51">
          <cell r="B51">
            <v>-19386945</v>
          </cell>
          <cell r="C51">
            <v>-130558</v>
          </cell>
          <cell r="D51">
            <v>14192843.850000001</v>
          </cell>
          <cell r="E51">
            <v>-186465500.84999999</v>
          </cell>
          <cell r="F51">
            <v>191790160</v>
          </cell>
        </row>
        <row r="56">
          <cell r="B56">
            <v>-139195</v>
          </cell>
          <cell r="D56">
            <v>139194</v>
          </cell>
        </row>
        <row r="57">
          <cell r="B57">
            <v>0</v>
          </cell>
          <cell r="C57">
            <v>-24000982</v>
          </cell>
          <cell r="D57">
            <v>545340173</v>
          </cell>
          <cell r="E57">
            <v>199804097</v>
          </cell>
          <cell r="F57">
            <v>385291631</v>
          </cell>
          <cell r="G57">
            <v>2044656864</v>
          </cell>
          <cell r="H57">
            <v>-3168218</v>
          </cell>
          <cell r="K57">
            <v>208008948</v>
          </cell>
          <cell r="L57">
            <v>1177482167</v>
          </cell>
        </row>
        <row r="62">
          <cell r="C62">
            <v>-33598500</v>
          </cell>
          <cell r="D62">
            <v>57857699</v>
          </cell>
          <cell r="F62">
            <v>-4484092.4800000004</v>
          </cell>
          <cell r="H62">
            <v>-7839247</v>
          </cell>
        </row>
        <row r="63">
          <cell r="D63">
            <v>297809955</v>
          </cell>
          <cell r="E63">
            <v>98865189.109999999</v>
          </cell>
          <cell r="H63">
            <v>4643707</v>
          </cell>
        </row>
        <row r="64">
          <cell r="K64">
            <v>22569613</v>
          </cell>
          <cell r="L64">
            <v>32365497</v>
          </cell>
        </row>
        <row r="65">
          <cell r="G65">
            <v>0</v>
          </cell>
          <cell r="K65">
            <v>127445935</v>
          </cell>
          <cell r="L65">
            <v>55228279</v>
          </cell>
        </row>
        <row r="66">
          <cell r="C66">
            <v>4988605</v>
          </cell>
        </row>
        <row r="67">
          <cell r="D67">
            <v>138688576</v>
          </cell>
        </row>
        <row r="68">
          <cell r="K68">
            <v>59460795</v>
          </cell>
          <cell r="L68">
            <v>88043366</v>
          </cell>
        </row>
        <row r="69">
          <cell r="K69">
            <v>43792</v>
          </cell>
          <cell r="L69">
            <v>1091323833</v>
          </cell>
        </row>
        <row r="71">
          <cell r="G71">
            <v>785391979</v>
          </cell>
        </row>
        <row r="72">
          <cell r="G72">
            <v>5701380</v>
          </cell>
        </row>
        <row r="73">
          <cell r="G73">
            <v>1364548823</v>
          </cell>
        </row>
        <row r="74">
          <cell r="G74">
            <v>468263142</v>
          </cell>
        </row>
        <row r="75">
          <cell r="E75">
            <v>62714962.270000003</v>
          </cell>
        </row>
        <row r="76">
          <cell r="F76">
            <v>487563325.48000002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s FY16"/>
      <sheetName val="Hospital Expense Reclas"/>
      <sheetName val="Doheny Cap Lease"/>
      <sheetName val="Coliseum Cap Lease"/>
      <sheetName val="Coliseum Post Retire Med Plan"/>
      <sheetName val="Rounded Changes FY16"/>
    </sheetNames>
    <sheetDataSet>
      <sheetData sheetId="0">
        <row r="15">
          <cell r="B15">
            <v>1793219132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K15">
            <v>0</v>
          </cell>
          <cell r="L15">
            <v>0</v>
          </cell>
        </row>
        <row r="16">
          <cell r="B16">
            <v>-483068048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K16">
            <v>0</v>
          </cell>
          <cell r="L16">
            <v>0</v>
          </cell>
        </row>
        <row r="17">
          <cell r="B17">
            <v>1310151084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K17">
            <v>0</v>
          </cell>
          <cell r="L17">
            <v>0</v>
          </cell>
        </row>
        <row r="18">
          <cell r="B18">
            <v>20512258</v>
          </cell>
          <cell r="C18">
            <v>0</v>
          </cell>
          <cell r="D18">
            <v>8009384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K18">
            <v>0</v>
          </cell>
          <cell r="L18">
            <v>615670</v>
          </cell>
        </row>
        <row r="19">
          <cell r="B19">
            <v>3212319</v>
          </cell>
          <cell r="C19">
            <v>0</v>
          </cell>
          <cell r="D19">
            <v>822228</v>
          </cell>
          <cell r="E19">
            <v>30959099</v>
          </cell>
          <cell r="F19">
            <v>0</v>
          </cell>
          <cell r="G19">
            <v>0</v>
          </cell>
          <cell r="H19">
            <v>-101966</v>
          </cell>
          <cell r="K19">
            <v>1278</v>
          </cell>
          <cell r="L19">
            <v>301110</v>
          </cell>
        </row>
        <row r="20">
          <cell r="B20">
            <v>0</v>
          </cell>
          <cell r="C20">
            <v>0</v>
          </cell>
          <cell r="D20">
            <v>-4815290</v>
          </cell>
          <cell r="E20">
            <v>0</v>
          </cell>
          <cell r="F20">
            <v>0</v>
          </cell>
          <cell r="G20">
            <v>-48668524</v>
          </cell>
          <cell r="H20">
            <v>0</v>
          </cell>
          <cell r="K20">
            <v>-63325982</v>
          </cell>
          <cell r="L20">
            <v>-7930269</v>
          </cell>
        </row>
        <row r="21">
          <cell r="B21">
            <v>0</v>
          </cell>
          <cell r="C21">
            <v>0</v>
          </cell>
          <cell r="D21">
            <v>295872302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K21">
            <v>0</v>
          </cell>
          <cell r="L21">
            <v>0</v>
          </cell>
        </row>
        <row r="22">
          <cell r="B22">
            <v>137674915</v>
          </cell>
          <cell r="C22">
            <v>0</v>
          </cell>
          <cell r="D22">
            <v>1198651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K22">
            <v>0</v>
          </cell>
          <cell r="L22">
            <v>0</v>
          </cell>
        </row>
        <row r="23">
          <cell r="B23">
            <v>84245117</v>
          </cell>
          <cell r="C23">
            <v>0</v>
          </cell>
          <cell r="D23">
            <v>245204081</v>
          </cell>
          <cell r="E23">
            <v>17438289</v>
          </cell>
          <cell r="F23">
            <v>2824772</v>
          </cell>
          <cell r="G23">
            <v>0</v>
          </cell>
          <cell r="H23">
            <v>0</v>
          </cell>
          <cell r="K23">
            <v>93461307</v>
          </cell>
          <cell r="L23">
            <v>161772090</v>
          </cell>
        </row>
        <row r="24">
          <cell r="B24">
            <v>54713867</v>
          </cell>
          <cell r="C24">
            <v>0</v>
          </cell>
          <cell r="D24">
            <v>79187030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K24">
            <v>0</v>
          </cell>
          <cell r="L24">
            <v>0</v>
          </cell>
        </row>
        <row r="25">
          <cell r="B25">
            <v>318525045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K25">
            <v>0</v>
          </cell>
          <cell r="L25">
            <v>0</v>
          </cell>
        </row>
        <row r="26">
          <cell r="B26">
            <v>0</v>
          </cell>
          <cell r="C26">
            <v>1322537325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K26">
            <v>0</v>
          </cell>
          <cell r="L26">
            <v>0</v>
          </cell>
        </row>
        <row r="27">
          <cell r="B27">
            <v>0</v>
          </cell>
          <cell r="C27">
            <v>140908241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K27">
            <v>0</v>
          </cell>
          <cell r="L27">
            <v>0</v>
          </cell>
        </row>
        <row r="28">
          <cell r="B28">
            <v>0</v>
          </cell>
          <cell r="C28">
            <v>3890673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K28">
            <v>0</v>
          </cell>
          <cell r="L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14385</v>
          </cell>
          <cell r="F29">
            <v>-1593634</v>
          </cell>
          <cell r="G29">
            <v>0</v>
          </cell>
          <cell r="H29">
            <v>0</v>
          </cell>
          <cell r="K29">
            <v>0</v>
          </cell>
          <cell r="L29">
            <v>0</v>
          </cell>
        </row>
        <row r="30">
          <cell r="B30">
            <v>111496647</v>
          </cell>
          <cell r="C30">
            <v>0</v>
          </cell>
          <cell r="D30">
            <v>0</v>
          </cell>
          <cell r="E30">
            <v>0</v>
          </cell>
          <cell r="F30">
            <v>8450000</v>
          </cell>
          <cell r="G30">
            <v>0</v>
          </cell>
          <cell r="H30">
            <v>0</v>
          </cell>
          <cell r="K30">
            <v>0</v>
          </cell>
          <cell r="L30">
            <v>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K31">
            <v>696974</v>
          </cell>
          <cell r="L31">
            <v>8594585</v>
          </cell>
        </row>
        <row r="32">
          <cell r="B32">
            <v>-100000</v>
          </cell>
          <cell r="C32">
            <v>0</v>
          </cell>
          <cell r="D32">
            <v>77863510</v>
          </cell>
          <cell r="E32">
            <v>33318100</v>
          </cell>
          <cell r="F32">
            <v>0</v>
          </cell>
          <cell r="G32">
            <v>126733774</v>
          </cell>
          <cell r="H32">
            <v>0</v>
          </cell>
          <cell r="K32">
            <v>-237699345</v>
          </cell>
          <cell r="L32">
            <v>-116039</v>
          </cell>
        </row>
        <row r="36">
          <cell r="B36">
            <v>1847182467</v>
          </cell>
          <cell r="C36">
            <v>0</v>
          </cell>
          <cell r="D36">
            <v>682031559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K36">
            <v>0</v>
          </cell>
          <cell r="L36">
            <v>0</v>
          </cell>
        </row>
        <row r="37">
          <cell r="B37">
            <v>0</v>
          </cell>
          <cell r="C37">
            <v>1368121474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K37">
            <v>0</v>
          </cell>
          <cell r="L37">
            <v>0</v>
          </cell>
        </row>
        <row r="38">
          <cell r="B38">
            <v>0</v>
          </cell>
          <cell r="C38">
            <v>42248272</v>
          </cell>
          <cell r="D38">
            <v>0</v>
          </cell>
          <cell r="E38">
            <v>0</v>
          </cell>
          <cell r="F38">
            <v>165821078</v>
          </cell>
          <cell r="G38">
            <v>0</v>
          </cell>
          <cell r="H38">
            <v>0</v>
          </cell>
          <cell r="K38">
            <v>0</v>
          </cell>
          <cell r="L38">
            <v>0</v>
          </cell>
        </row>
        <row r="39">
          <cell r="B39">
            <v>0</v>
          </cell>
          <cell r="C39">
            <v>1338149</v>
          </cell>
          <cell r="D39">
            <v>0</v>
          </cell>
          <cell r="E39">
            <v>72636543</v>
          </cell>
          <cell r="F39">
            <v>0</v>
          </cell>
          <cell r="G39">
            <v>0</v>
          </cell>
          <cell r="H39">
            <v>0</v>
          </cell>
          <cell r="K39">
            <v>0</v>
          </cell>
          <cell r="L39">
            <v>0</v>
          </cell>
        </row>
        <row r="43">
          <cell r="B43">
            <v>-84673771</v>
          </cell>
          <cell r="C43">
            <v>-1068444</v>
          </cell>
          <cell r="D43">
            <v>20580494.530000001</v>
          </cell>
          <cell r="E43">
            <v>65161720.469999999</v>
          </cell>
          <cell r="F43">
            <v>0</v>
          </cell>
          <cell r="G43">
            <v>0</v>
          </cell>
          <cell r="H43">
            <v>0</v>
          </cell>
          <cell r="K43">
            <v>0</v>
          </cell>
          <cell r="L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K44">
            <v>0</v>
          </cell>
          <cell r="L44">
            <v>0</v>
          </cell>
        </row>
        <row r="45">
          <cell r="B45">
            <v>-53060116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53060116</v>
          </cell>
          <cell r="H45">
            <v>0</v>
          </cell>
          <cell r="K45">
            <v>0</v>
          </cell>
          <cell r="L45">
            <v>0</v>
          </cell>
        </row>
        <row r="46">
          <cell r="B46">
            <v>-23487497</v>
          </cell>
          <cell r="C46">
            <v>-1468096</v>
          </cell>
          <cell r="D46">
            <v>-1515824</v>
          </cell>
          <cell r="E46">
            <v>26471417</v>
          </cell>
          <cell r="F46">
            <v>0</v>
          </cell>
          <cell r="G46">
            <v>0</v>
          </cell>
          <cell r="H46">
            <v>0</v>
          </cell>
          <cell r="K46">
            <v>0</v>
          </cell>
          <cell r="L46">
            <v>0</v>
          </cell>
        </row>
        <row r="47">
          <cell r="B47">
            <v>73411249</v>
          </cell>
          <cell r="C47">
            <v>0</v>
          </cell>
          <cell r="D47">
            <v>105602726</v>
          </cell>
          <cell r="E47">
            <v>0</v>
          </cell>
          <cell r="F47">
            <v>0</v>
          </cell>
          <cell r="G47">
            <v>-179013975</v>
          </cell>
          <cell r="H47">
            <v>0</v>
          </cell>
          <cell r="K47">
            <v>0</v>
          </cell>
          <cell r="L47">
            <v>0</v>
          </cell>
        </row>
        <row r="48">
          <cell r="B48">
            <v>68885919</v>
          </cell>
          <cell r="C48">
            <v>0</v>
          </cell>
          <cell r="D48">
            <v>-68885919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K48">
            <v>0</v>
          </cell>
          <cell r="L48">
            <v>0</v>
          </cell>
        </row>
        <row r="49">
          <cell r="B49">
            <v>-141402329</v>
          </cell>
          <cell r="C49">
            <v>-47399692</v>
          </cell>
          <cell r="D49">
            <v>31810447</v>
          </cell>
          <cell r="E49">
            <v>154641389</v>
          </cell>
          <cell r="F49">
            <v>0</v>
          </cell>
          <cell r="G49">
            <v>2350186</v>
          </cell>
          <cell r="H49">
            <v>0</v>
          </cell>
          <cell r="K49">
            <v>0</v>
          </cell>
          <cell r="L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K50">
            <v>0</v>
          </cell>
          <cell r="L50">
            <v>0</v>
          </cell>
        </row>
        <row r="51">
          <cell r="B51">
            <v>-32922239</v>
          </cell>
          <cell r="C51">
            <v>-785895</v>
          </cell>
          <cell r="D51">
            <v>46237393.469999999</v>
          </cell>
          <cell r="E51">
            <v>-213846952.47</v>
          </cell>
          <cell r="F51">
            <v>201317693</v>
          </cell>
          <cell r="G51">
            <v>0</v>
          </cell>
          <cell r="H51">
            <v>0</v>
          </cell>
          <cell r="K51">
            <v>0</v>
          </cell>
          <cell r="L51">
            <v>0</v>
          </cell>
        </row>
        <row r="53">
          <cell r="G53">
            <v>0</v>
          </cell>
          <cell r="K53">
            <v>0</v>
          </cell>
        </row>
        <row r="54"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K54">
            <v>0</v>
          </cell>
        </row>
        <row r="55">
          <cell r="B55">
            <v>0</v>
          </cell>
          <cell r="C55">
            <v>-233150493.86000001</v>
          </cell>
          <cell r="D55">
            <v>1077323082</v>
          </cell>
          <cell r="E55">
            <v>277315527</v>
          </cell>
          <cell r="F55">
            <v>1036810546</v>
          </cell>
          <cell r="G55">
            <v>1337682840</v>
          </cell>
          <cell r="H55">
            <v>-13095595</v>
          </cell>
          <cell r="K55">
            <v>1999459206</v>
          </cell>
          <cell r="L55">
            <v>2242601469</v>
          </cell>
        </row>
        <row r="60">
          <cell r="B60">
            <v>0</v>
          </cell>
          <cell r="C60">
            <v>-37316912</v>
          </cell>
          <cell r="D60">
            <v>170885551</v>
          </cell>
          <cell r="E60">
            <v>0</v>
          </cell>
          <cell r="F60">
            <v>0</v>
          </cell>
          <cell r="G60">
            <v>0</v>
          </cell>
          <cell r="H60">
            <v>-17841268</v>
          </cell>
          <cell r="K60">
            <v>0</v>
          </cell>
          <cell r="L60">
            <v>0</v>
          </cell>
        </row>
        <row r="61">
          <cell r="B61">
            <v>0</v>
          </cell>
          <cell r="C61">
            <v>-190927365</v>
          </cell>
          <cell r="D61">
            <v>822399460</v>
          </cell>
          <cell r="E61">
            <v>207766160.31</v>
          </cell>
          <cell r="F61">
            <v>0</v>
          </cell>
          <cell r="G61">
            <v>0</v>
          </cell>
          <cell r="H61">
            <v>4643707</v>
          </cell>
          <cell r="K61">
            <v>0</v>
          </cell>
          <cell r="L61">
            <v>0</v>
          </cell>
        </row>
        <row r="62"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K62">
            <v>64246183.369999886</v>
          </cell>
          <cell r="L62">
            <v>25216619</v>
          </cell>
        </row>
        <row r="63"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K63">
            <v>323299009.63</v>
          </cell>
          <cell r="L63">
            <v>340504362</v>
          </cell>
        </row>
        <row r="64"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K64">
            <v>0</v>
          </cell>
          <cell r="L64">
            <v>0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K65">
            <v>0</v>
          </cell>
          <cell r="L65">
            <v>0</v>
          </cell>
        </row>
        <row r="66">
          <cell r="B66">
            <v>0</v>
          </cell>
          <cell r="C66">
            <v>0</v>
          </cell>
          <cell r="D66">
            <v>239177721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K66">
            <v>0</v>
          </cell>
          <cell r="L66">
            <v>0</v>
          </cell>
        </row>
        <row r="67"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K67">
            <v>53168117</v>
          </cell>
          <cell r="L67">
            <v>75427918</v>
          </cell>
        </row>
        <row r="68"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K68">
            <v>1351880128</v>
          </cell>
          <cell r="L68">
            <v>1964689721</v>
          </cell>
        </row>
        <row r="69"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K69">
            <v>0</v>
          </cell>
          <cell r="L69">
            <v>0</v>
          </cell>
        </row>
        <row r="70"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1292144417</v>
          </cell>
          <cell r="H70">
            <v>0</v>
          </cell>
          <cell r="K70">
            <v>0</v>
          </cell>
          <cell r="L70">
            <v>0</v>
          </cell>
        </row>
        <row r="71"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K71">
            <v>0</v>
          </cell>
          <cell r="L71">
            <v>0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K72">
            <v>0</v>
          </cell>
          <cell r="L72">
            <v>0</v>
          </cell>
        </row>
        <row r="73"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K73">
            <v>0</v>
          </cell>
          <cell r="L73">
            <v>0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111070267.11</v>
          </cell>
          <cell r="F74">
            <v>0</v>
          </cell>
          <cell r="G74">
            <v>0</v>
          </cell>
          <cell r="H74">
            <v>0</v>
          </cell>
          <cell r="K74">
            <v>0</v>
          </cell>
          <cell r="L74">
            <v>0</v>
          </cell>
        </row>
        <row r="75"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1081988299</v>
          </cell>
          <cell r="G75">
            <v>0</v>
          </cell>
          <cell r="H75">
            <v>0</v>
          </cell>
          <cell r="K75">
            <v>0</v>
          </cell>
          <cell r="L75">
            <v>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s FY17"/>
      <sheetName val="Doheny Cap Lease"/>
      <sheetName val="Coliseum Cap Lease"/>
      <sheetName val="Coliseum Post Retire Med Plan"/>
      <sheetName val="Debt Interest Reclassed 2017"/>
      <sheetName val="Topsided Entry"/>
      <sheetName val="Rounded Changes FY17"/>
      <sheetName val="Changes in Endow NA 2017"/>
    </sheetNames>
    <sheetDataSet>
      <sheetData sheetId="0">
        <row r="15">
          <cell r="B15">
            <v>1899584286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K15">
            <v>0</v>
          </cell>
          <cell r="L15">
            <v>0</v>
          </cell>
        </row>
        <row r="16">
          <cell r="B16">
            <v>-510550672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K16">
            <v>0</v>
          </cell>
          <cell r="L16">
            <v>0</v>
          </cell>
        </row>
        <row r="17">
          <cell r="B17">
            <v>1389033614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K17">
            <v>0</v>
          </cell>
          <cell r="L17">
            <v>0</v>
          </cell>
        </row>
        <row r="18">
          <cell r="B18">
            <v>23905669</v>
          </cell>
          <cell r="C18">
            <v>0</v>
          </cell>
          <cell r="D18">
            <v>9740158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K18">
            <v>0</v>
          </cell>
          <cell r="L18">
            <v>819607</v>
          </cell>
        </row>
        <row r="19">
          <cell r="B19">
            <v>7741890</v>
          </cell>
          <cell r="C19">
            <v>0</v>
          </cell>
          <cell r="D19">
            <v>944561</v>
          </cell>
          <cell r="E19">
            <v>39790789</v>
          </cell>
          <cell r="F19">
            <v>0</v>
          </cell>
          <cell r="G19">
            <v>0</v>
          </cell>
          <cell r="H19">
            <v>-211065</v>
          </cell>
          <cell r="K19">
            <v>1158653</v>
          </cell>
          <cell r="L19">
            <v>191990</v>
          </cell>
        </row>
        <row r="20">
          <cell r="B20">
            <v>0</v>
          </cell>
          <cell r="C20">
            <v>0</v>
          </cell>
          <cell r="D20">
            <v>9826369</v>
          </cell>
          <cell r="E20">
            <v>0</v>
          </cell>
          <cell r="F20">
            <v>0</v>
          </cell>
          <cell r="G20">
            <v>152314538</v>
          </cell>
          <cell r="H20">
            <v>0</v>
          </cell>
          <cell r="K20">
            <v>397154535</v>
          </cell>
          <cell r="L20">
            <v>21612870</v>
          </cell>
        </row>
        <row r="21">
          <cell r="B21">
            <v>0</v>
          </cell>
          <cell r="C21">
            <v>0</v>
          </cell>
          <cell r="D21">
            <v>327405982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K21">
            <v>0</v>
          </cell>
          <cell r="L21">
            <v>0</v>
          </cell>
        </row>
        <row r="22">
          <cell r="B22">
            <v>146402343</v>
          </cell>
          <cell r="C22">
            <v>0</v>
          </cell>
          <cell r="D22">
            <v>1377132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K22">
            <v>0</v>
          </cell>
          <cell r="L22">
            <v>0</v>
          </cell>
        </row>
        <row r="23">
          <cell r="B23">
            <v>37368274</v>
          </cell>
          <cell r="C23">
            <v>0</v>
          </cell>
          <cell r="D23">
            <v>243716014</v>
          </cell>
          <cell r="E23">
            <v>19342280</v>
          </cell>
          <cell r="F23">
            <v>3205081</v>
          </cell>
          <cell r="G23">
            <v>0</v>
          </cell>
          <cell r="H23">
            <v>0</v>
          </cell>
          <cell r="K23">
            <v>138747022</v>
          </cell>
          <cell r="L23">
            <v>167630725</v>
          </cell>
        </row>
        <row r="24">
          <cell r="B24">
            <v>60298775</v>
          </cell>
          <cell r="C24">
            <v>0</v>
          </cell>
          <cell r="D24">
            <v>97841016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K24">
            <v>0</v>
          </cell>
          <cell r="L24">
            <v>0</v>
          </cell>
        </row>
        <row r="25">
          <cell r="B25">
            <v>346401610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K25">
            <v>0</v>
          </cell>
          <cell r="L25">
            <v>0</v>
          </cell>
        </row>
        <row r="26">
          <cell r="B26">
            <v>0</v>
          </cell>
          <cell r="C26">
            <v>1407150396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K26">
            <v>0</v>
          </cell>
          <cell r="L26">
            <v>0</v>
          </cell>
        </row>
        <row r="27">
          <cell r="B27">
            <v>0</v>
          </cell>
          <cell r="C27">
            <v>141601917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K27">
            <v>0</v>
          </cell>
          <cell r="L27">
            <v>0</v>
          </cell>
        </row>
        <row r="28">
          <cell r="B28">
            <v>0</v>
          </cell>
          <cell r="C28">
            <v>3477615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K28">
            <v>0</v>
          </cell>
          <cell r="L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-6560057</v>
          </cell>
          <cell r="G29">
            <v>0</v>
          </cell>
          <cell r="H29">
            <v>0</v>
          </cell>
          <cell r="K29">
            <v>0</v>
          </cell>
          <cell r="L29">
            <v>0</v>
          </cell>
        </row>
        <row r="30">
          <cell r="B30">
            <v>117261696</v>
          </cell>
          <cell r="C30">
            <v>0</v>
          </cell>
          <cell r="D30">
            <v>0</v>
          </cell>
          <cell r="E30">
            <v>2950270</v>
          </cell>
          <cell r="F30">
            <v>-37280545</v>
          </cell>
          <cell r="G30">
            <v>0</v>
          </cell>
          <cell r="H30">
            <v>0</v>
          </cell>
          <cell r="K30">
            <v>0</v>
          </cell>
          <cell r="L30">
            <v>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K31">
            <v>-692520</v>
          </cell>
          <cell r="L31">
            <v>-3203505</v>
          </cell>
        </row>
        <row r="32">
          <cell r="B32">
            <v>856244</v>
          </cell>
          <cell r="C32">
            <v>0</v>
          </cell>
          <cell r="D32">
            <v>110762484</v>
          </cell>
          <cell r="E32">
            <v>32107856</v>
          </cell>
          <cell r="F32">
            <v>0</v>
          </cell>
          <cell r="G32">
            <v>133844228</v>
          </cell>
          <cell r="H32">
            <v>0</v>
          </cell>
          <cell r="K32">
            <v>-282290322</v>
          </cell>
          <cell r="L32">
            <v>4719509</v>
          </cell>
        </row>
        <row r="36">
          <cell r="B36">
            <v>1885282579</v>
          </cell>
          <cell r="C36">
            <v>0</v>
          </cell>
          <cell r="D36">
            <v>748414627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K36">
            <v>0</v>
          </cell>
          <cell r="L36">
            <v>0</v>
          </cell>
        </row>
        <row r="37">
          <cell r="B37">
            <v>0</v>
          </cell>
          <cell r="C37">
            <v>1423551439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K37">
            <v>0</v>
          </cell>
          <cell r="L37">
            <v>0</v>
          </cell>
        </row>
        <row r="38">
          <cell r="B38">
            <v>0</v>
          </cell>
          <cell r="C38">
            <v>44520883</v>
          </cell>
          <cell r="D38">
            <v>0</v>
          </cell>
          <cell r="E38">
            <v>1376458</v>
          </cell>
          <cell r="F38">
            <v>199514197</v>
          </cell>
          <cell r="G38">
            <v>0</v>
          </cell>
          <cell r="H38">
            <v>0</v>
          </cell>
          <cell r="K38">
            <v>0</v>
          </cell>
          <cell r="L38">
            <v>0</v>
          </cell>
        </row>
        <row r="39">
          <cell r="B39">
            <v>0</v>
          </cell>
          <cell r="C39">
            <v>1139158</v>
          </cell>
          <cell r="D39">
            <v>0</v>
          </cell>
          <cell r="E39">
            <v>66870037</v>
          </cell>
          <cell r="F39">
            <v>0</v>
          </cell>
          <cell r="G39">
            <v>0</v>
          </cell>
          <cell r="H39">
            <v>0</v>
          </cell>
          <cell r="K39">
            <v>0</v>
          </cell>
          <cell r="L39">
            <v>0</v>
          </cell>
        </row>
        <row r="43">
          <cell r="B43">
            <v>-72017464</v>
          </cell>
          <cell r="C43">
            <v>-1068444</v>
          </cell>
          <cell r="D43">
            <v>0.25</v>
          </cell>
          <cell r="E43">
            <v>73085907.75</v>
          </cell>
          <cell r="F43">
            <v>0</v>
          </cell>
          <cell r="G43">
            <v>0</v>
          </cell>
          <cell r="H43">
            <v>0</v>
          </cell>
          <cell r="K43">
            <v>0</v>
          </cell>
          <cell r="L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12709455</v>
          </cell>
          <cell r="F44">
            <v>-12709455</v>
          </cell>
          <cell r="G44">
            <v>0</v>
          </cell>
          <cell r="H44">
            <v>0</v>
          </cell>
          <cell r="K44">
            <v>0</v>
          </cell>
          <cell r="L44">
            <v>0</v>
          </cell>
        </row>
        <row r="45">
          <cell r="B45">
            <v>-1883095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1883095</v>
          </cell>
          <cell r="H45">
            <v>0</v>
          </cell>
          <cell r="K45">
            <v>0</v>
          </cell>
          <cell r="L45">
            <v>0</v>
          </cell>
        </row>
        <row r="46">
          <cell r="B46">
            <v>-29949813</v>
          </cell>
          <cell r="C46">
            <v>-1527966</v>
          </cell>
          <cell r="D46">
            <v>-1204993</v>
          </cell>
          <cell r="E46">
            <v>32682772</v>
          </cell>
          <cell r="F46">
            <v>0</v>
          </cell>
          <cell r="G46">
            <v>0</v>
          </cell>
          <cell r="H46">
            <v>0</v>
          </cell>
          <cell r="K46">
            <v>0</v>
          </cell>
          <cell r="L46">
            <v>0</v>
          </cell>
        </row>
        <row r="47">
          <cell r="B47">
            <v>84863856</v>
          </cell>
          <cell r="C47">
            <v>0</v>
          </cell>
          <cell r="D47">
            <v>109410776</v>
          </cell>
          <cell r="E47">
            <v>0</v>
          </cell>
          <cell r="F47">
            <v>0</v>
          </cell>
          <cell r="G47">
            <v>-194274632</v>
          </cell>
          <cell r="H47">
            <v>0</v>
          </cell>
          <cell r="K47">
            <v>0</v>
          </cell>
          <cell r="L47">
            <v>0</v>
          </cell>
        </row>
        <row r="48">
          <cell r="B48">
            <v>65199337</v>
          </cell>
          <cell r="C48">
            <v>0</v>
          </cell>
          <cell r="D48">
            <v>-65199337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K48">
            <v>0</v>
          </cell>
          <cell r="L48">
            <v>0</v>
          </cell>
        </row>
        <row r="49">
          <cell r="B49">
            <v>-252666373</v>
          </cell>
          <cell r="C49">
            <v>-48320433</v>
          </cell>
          <cell r="D49">
            <v>96436082</v>
          </cell>
          <cell r="E49">
            <v>201041293</v>
          </cell>
          <cell r="F49">
            <v>0</v>
          </cell>
          <cell r="G49">
            <v>3509429</v>
          </cell>
          <cell r="H49">
            <v>0</v>
          </cell>
          <cell r="K49">
            <v>0</v>
          </cell>
          <cell r="L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K50">
            <v>0</v>
          </cell>
          <cell r="L50">
            <v>0</v>
          </cell>
        </row>
        <row r="51">
          <cell r="B51">
            <v>-37533985</v>
          </cell>
          <cell r="C51">
            <v>-482140</v>
          </cell>
          <cell r="D51">
            <v>54636167.75</v>
          </cell>
          <cell r="E51">
            <v>-331951437.75</v>
          </cell>
          <cell r="F51">
            <v>315331395</v>
          </cell>
          <cell r="G51">
            <v>0</v>
          </cell>
          <cell r="H51">
            <v>0</v>
          </cell>
          <cell r="K51">
            <v>0</v>
          </cell>
          <cell r="L51">
            <v>0</v>
          </cell>
        </row>
        <row r="53">
          <cell r="D53">
            <v>0</v>
          </cell>
          <cell r="F53">
            <v>7419457</v>
          </cell>
        </row>
        <row r="54">
          <cell r="D54">
            <v>0</v>
          </cell>
          <cell r="F54">
            <v>-7419457</v>
          </cell>
          <cell r="G54">
            <v>0</v>
          </cell>
          <cell r="K54">
            <v>0</v>
          </cell>
        </row>
        <row r="55">
          <cell r="B55">
            <v>0</v>
          </cell>
          <cell r="C55">
            <v>0</v>
          </cell>
          <cell r="D55">
            <v>-6439617.75</v>
          </cell>
          <cell r="E55">
            <v>0</v>
          </cell>
          <cell r="F55">
            <v>6439617.75</v>
          </cell>
          <cell r="G55">
            <v>0</v>
          </cell>
          <cell r="H55">
            <v>0</v>
          </cell>
          <cell r="K55">
            <v>0</v>
          </cell>
        </row>
        <row r="56">
          <cell r="G56">
            <v>15277896</v>
          </cell>
          <cell r="K56">
            <v>-15277896</v>
          </cell>
        </row>
        <row r="57">
          <cell r="B57">
            <v>0</v>
          </cell>
          <cell r="C57">
            <v>-228244276.86000001</v>
          </cell>
          <cell r="D57">
            <v>1232462732</v>
          </cell>
          <cell r="E57">
            <v>318836431</v>
          </cell>
          <cell r="F57">
            <v>1081988299</v>
          </cell>
          <cell r="G57">
            <v>1292144417</v>
          </cell>
          <cell r="H57">
            <v>-13197561</v>
          </cell>
          <cell r="K57">
            <v>1792593438</v>
          </cell>
          <cell r="L57">
            <v>2405838616</v>
          </cell>
        </row>
        <row r="62">
          <cell r="B62">
            <v>0</v>
          </cell>
          <cell r="C62">
            <v>-33091424</v>
          </cell>
          <cell r="D62">
            <v>222313434</v>
          </cell>
          <cell r="E62">
            <v>0</v>
          </cell>
          <cell r="F62">
            <v>0</v>
          </cell>
          <cell r="G62">
            <v>0</v>
          </cell>
          <cell r="H62">
            <v>-18052333</v>
          </cell>
          <cell r="K62">
            <v>0</v>
          </cell>
          <cell r="L62">
            <v>0</v>
          </cell>
        </row>
        <row r="63">
          <cell r="B63">
            <v>0</v>
          </cell>
          <cell r="C63">
            <v>-163533387</v>
          </cell>
          <cell r="D63">
            <v>984843590</v>
          </cell>
          <cell r="E63">
            <v>225969082.81</v>
          </cell>
          <cell r="F63">
            <v>0</v>
          </cell>
          <cell r="G63">
            <v>0</v>
          </cell>
          <cell r="H63">
            <v>4643707</v>
          </cell>
          <cell r="K63">
            <v>0</v>
          </cell>
          <cell r="L63">
            <v>0</v>
          </cell>
        </row>
        <row r="64"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K64">
            <v>101341195</v>
          </cell>
          <cell r="L64">
            <v>23884440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K65">
            <v>284356721</v>
          </cell>
          <cell r="L65">
            <v>344276273</v>
          </cell>
        </row>
        <row r="66"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K66">
            <v>0</v>
          </cell>
          <cell r="L66">
            <v>0</v>
          </cell>
        </row>
        <row r="67"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K67">
            <v>0</v>
          </cell>
          <cell r="L67">
            <v>0</v>
          </cell>
        </row>
        <row r="68">
          <cell r="B68">
            <v>0</v>
          </cell>
          <cell r="C68">
            <v>0</v>
          </cell>
          <cell r="D68">
            <v>266143875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K68">
            <v>0</v>
          </cell>
          <cell r="L68">
            <v>0</v>
          </cell>
        </row>
        <row r="69"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K69">
            <v>57662821</v>
          </cell>
          <cell r="L69">
            <v>91660255</v>
          </cell>
        </row>
        <row r="70"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K70">
            <v>1588032173</v>
          </cell>
          <cell r="L70">
            <v>2137788847</v>
          </cell>
        </row>
        <row r="71"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K71">
            <v>0</v>
          </cell>
          <cell r="L71">
            <v>0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1404698971</v>
          </cell>
          <cell r="H72">
            <v>0</v>
          </cell>
          <cell r="K72">
            <v>0</v>
          </cell>
          <cell r="L72">
            <v>0</v>
          </cell>
        </row>
        <row r="73"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K73">
            <v>0</v>
          </cell>
          <cell r="L73">
            <v>0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K74">
            <v>0</v>
          </cell>
          <cell r="L74">
            <v>0</v>
          </cell>
        </row>
        <row r="75"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K75">
            <v>0</v>
          </cell>
          <cell r="L75">
            <v>0</v>
          </cell>
        </row>
        <row r="76">
          <cell r="B76">
            <v>0</v>
          </cell>
          <cell r="C76">
            <v>0</v>
          </cell>
          <cell r="D76">
            <v>0</v>
          </cell>
          <cell r="E76">
            <v>106380035</v>
          </cell>
          <cell r="F76">
            <v>0</v>
          </cell>
          <cell r="G76">
            <v>0</v>
          </cell>
          <cell r="H76">
            <v>0</v>
          </cell>
          <cell r="K76">
            <v>0</v>
          </cell>
          <cell r="L76">
            <v>0</v>
          </cell>
        </row>
        <row r="77"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1150900138.75</v>
          </cell>
          <cell r="G77">
            <v>0</v>
          </cell>
          <cell r="H77">
            <v>0</v>
          </cell>
          <cell r="K77">
            <v>0</v>
          </cell>
          <cell r="L7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s FY08"/>
      <sheetName val="Rounded Changes FY08"/>
    </sheetNames>
    <sheetDataSet>
      <sheetData sheetId="0">
        <row r="15">
          <cell r="B15">
            <v>1000289076.75</v>
          </cell>
        </row>
        <row r="16">
          <cell r="B16">
            <v>-294308423.06999999</v>
          </cell>
        </row>
        <row r="18">
          <cell r="B18">
            <v>38692153.140000001</v>
          </cell>
          <cell r="D18">
            <v>33965150</v>
          </cell>
          <cell r="L18">
            <v>315444</v>
          </cell>
        </row>
        <row r="19">
          <cell r="B19">
            <v>11104363.960000001</v>
          </cell>
          <cell r="D19">
            <v>2704262</v>
          </cell>
          <cell r="E19">
            <v>11520017</v>
          </cell>
          <cell r="H19">
            <v>-278533</v>
          </cell>
          <cell r="K19">
            <v>3142</v>
          </cell>
          <cell r="L19">
            <v>199116</v>
          </cell>
        </row>
        <row r="20">
          <cell r="D20">
            <v>-10659071</v>
          </cell>
          <cell r="E20">
            <v>-4286998</v>
          </cell>
          <cell r="G20">
            <v>-128060190</v>
          </cell>
          <cell r="K20">
            <v>-4785786</v>
          </cell>
          <cell r="L20">
            <v>-11663776</v>
          </cell>
        </row>
        <row r="21">
          <cell r="D21">
            <v>240060520</v>
          </cell>
        </row>
        <row r="22">
          <cell r="B22">
            <v>103955546.65000001</v>
          </cell>
        </row>
        <row r="23">
          <cell r="B23">
            <v>50615174.450000003</v>
          </cell>
          <cell r="D23">
            <v>206813751</v>
          </cell>
          <cell r="E23">
            <v>50715793</v>
          </cell>
          <cell r="F23">
            <v>92033</v>
          </cell>
          <cell r="K23">
            <v>49306164</v>
          </cell>
          <cell r="L23">
            <v>52561223</v>
          </cell>
        </row>
        <row r="24">
          <cell r="B24">
            <v>32057046.48</v>
          </cell>
        </row>
        <row r="25">
          <cell r="B25">
            <v>223125575.18000001</v>
          </cell>
        </row>
        <row r="26">
          <cell r="C26">
            <v>81200942</v>
          </cell>
        </row>
        <row r="27">
          <cell r="C27">
            <v>75251421</v>
          </cell>
        </row>
        <row r="28">
          <cell r="D28">
            <v>912243</v>
          </cell>
          <cell r="F28">
            <v>-876903</v>
          </cell>
        </row>
        <row r="29">
          <cell r="B29">
            <v>73977932.510000005</v>
          </cell>
          <cell r="D29">
            <v>12094590</v>
          </cell>
          <cell r="F29">
            <v>413934</v>
          </cell>
        </row>
        <row r="30">
          <cell r="K30">
            <v>3991631</v>
          </cell>
          <cell r="L30">
            <v>1356372</v>
          </cell>
        </row>
        <row r="31">
          <cell r="D31">
            <v>33824199</v>
          </cell>
          <cell r="E31">
            <v>5619571</v>
          </cell>
          <cell r="F31">
            <v>0</v>
          </cell>
          <cell r="G31">
            <v>-4753673</v>
          </cell>
          <cell r="K31">
            <v>-43077979</v>
          </cell>
          <cell r="L31">
            <v>8387882</v>
          </cell>
        </row>
        <row r="35">
          <cell r="B35">
            <v>1187474944</v>
          </cell>
          <cell r="D35">
            <v>470537771</v>
          </cell>
        </row>
        <row r="36">
          <cell r="C36">
            <v>149402006</v>
          </cell>
        </row>
        <row r="37">
          <cell r="F37">
            <v>103628565</v>
          </cell>
        </row>
        <row r="38">
          <cell r="E38">
            <v>22485475</v>
          </cell>
        </row>
        <row r="43">
          <cell r="B43">
            <v>-21904326</v>
          </cell>
          <cell r="C43">
            <v>-1145189</v>
          </cell>
          <cell r="D43">
            <v>-1487759.1899999976</v>
          </cell>
          <cell r="E43">
            <v>24537274.189999998</v>
          </cell>
        </row>
        <row r="45">
          <cell r="B45">
            <v>-14351641</v>
          </cell>
          <cell r="G45">
            <v>14351641</v>
          </cell>
        </row>
        <row r="46">
          <cell r="B46">
            <v>-17418066</v>
          </cell>
          <cell r="C46">
            <v>-1592882</v>
          </cell>
          <cell r="D46">
            <v>-36378</v>
          </cell>
          <cell r="E46">
            <v>19047326</v>
          </cell>
        </row>
        <row r="47">
          <cell r="B47">
            <v>30685660</v>
          </cell>
          <cell r="D47">
            <v>41591345</v>
          </cell>
          <cell r="G47">
            <v>-72277006</v>
          </cell>
        </row>
        <row r="48">
          <cell r="B48">
            <v>47705031</v>
          </cell>
          <cell r="C48">
            <v>-18789</v>
          </cell>
          <cell r="D48">
            <v>-47686242</v>
          </cell>
        </row>
        <row r="49">
          <cell r="B49">
            <v>-54825276</v>
          </cell>
          <cell r="C49">
            <v>-2429926</v>
          </cell>
          <cell r="D49">
            <v>-34291438</v>
          </cell>
          <cell r="E49">
            <v>83411874</v>
          </cell>
          <cell r="G49">
            <v>8134766</v>
          </cell>
        </row>
        <row r="51">
          <cell r="B51">
            <v>-21819322</v>
          </cell>
          <cell r="C51">
            <v>-154651</v>
          </cell>
          <cell r="D51">
            <v>7044682.1899999976</v>
          </cell>
          <cell r="E51">
            <v>-144439920.19</v>
          </cell>
          <cell r="F51">
            <v>159369211</v>
          </cell>
        </row>
        <row r="53">
          <cell r="B53">
            <v>-105562</v>
          </cell>
          <cell r="D53">
            <v>105562</v>
          </cell>
        </row>
        <row r="54">
          <cell r="B54">
            <v>-0.3899998664855957</v>
          </cell>
          <cell r="C54">
            <v>-28609895</v>
          </cell>
          <cell r="D54">
            <v>494356235</v>
          </cell>
          <cell r="E54">
            <v>161580151</v>
          </cell>
          <cell r="F54">
            <v>483079233</v>
          </cell>
          <cell r="G54">
            <v>2623905324</v>
          </cell>
          <cell r="H54">
            <v>-3195541</v>
          </cell>
          <cell r="K54">
            <v>209520138</v>
          </cell>
          <cell r="L54">
            <v>1266960975</v>
          </cell>
        </row>
        <row r="59">
          <cell r="C59">
            <v>-30417178</v>
          </cell>
          <cell r="D59">
            <v>53093514</v>
          </cell>
          <cell r="F59">
            <v>-4070159</v>
          </cell>
          <cell r="H59">
            <v>-8117781</v>
          </cell>
        </row>
        <row r="60">
          <cell r="D60">
            <v>306021127</v>
          </cell>
          <cell r="E60">
            <v>114719928.51000001</v>
          </cell>
          <cell r="H60">
            <v>4643707</v>
          </cell>
        </row>
        <row r="61">
          <cell r="K61">
            <v>17185831</v>
          </cell>
          <cell r="L61">
            <v>33206040</v>
          </cell>
        </row>
        <row r="62">
          <cell r="K62">
            <v>143465820</v>
          </cell>
          <cell r="L62">
            <v>58024041</v>
          </cell>
        </row>
        <row r="63">
          <cell r="C63">
            <v>3516203</v>
          </cell>
        </row>
        <row r="64">
          <cell r="D64">
            <v>149659233</v>
          </cell>
        </row>
        <row r="65">
          <cell r="K65">
            <v>54261867</v>
          </cell>
          <cell r="L65">
            <v>79007583</v>
          </cell>
        </row>
        <row r="66">
          <cell r="K66">
            <v>43792</v>
          </cell>
          <cell r="L66">
            <v>1147879571</v>
          </cell>
        </row>
        <row r="68">
          <cell r="G68">
            <v>813487300</v>
          </cell>
        </row>
        <row r="69">
          <cell r="G69">
            <v>5701380</v>
          </cell>
        </row>
        <row r="70">
          <cell r="G70">
            <v>1444288907</v>
          </cell>
        </row>
        <row r="71">
          <cell r="G71">
            <v>177823276</v>
          </cell>
        </row>
        <row r="72">
          <cell r="E72">
            <v>70499685.590000004</v>
          </cell>
        </row>
        <row r="73">
          <cell r="F73">
            <v>542519102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s FY09"/>
      <sheetName val="CIRM Grant"/>
      <sheetName val="Rounded Changes FY09"/>
    </sheetNames>
    <sheetDataSet>
      <sheetData sheetId="0">
        <row r="15">
          <cell r="B15">
            <v>1065341510.64</v>
          </cell>
        </row>
        <row r="16">
          <cell r="B16">
            <v>-320160958.42000002</v>
          </cell>
        </row>
        <row r="18">
          <cell r="B18">
            <v>34236257.310000002</v>
          </cell>
          <cell r="D18">
            <v>27740982</v>
          </cell>
          <cell r="L18">
            <v>420375</v>
          </cell>
        </row>
        <row r="19">
          <cell r="B19">
            <v>1187639.95</v>
          </cell>
          <cell r="D19">
            <v>1845416</v>
          </cell>
          <cell r="E19">
            <v>5263375</v>
          </cell>
          <cell r="H19">
            <v>-1032525</v>
          </cell>
          <cell r="K19">
            <v>440180</v>
          </cell>
          <cell r="L19">
            <v>9993</v>
          </cell>
        </row>
        <row r="20">
          <cell r="D20">
            <v>-917671</v>
          </cell>
          <cell r="E20">
            <v>594069</v>
          </cell>
          <cell r="G20">
            <v>-919624771</v>
          </cell>
          <cell r="H20">
            <v>-3065838</v>
          </cell>
          <cell r="K20">
            <v>34785203</v>
          </cell>
          <cell r="L20">
            <v>-14859029</v>
          </cell>
        </row>
        <row r="21">
          <cell r="D21">
            <v>255863735</v>
          </cell>
        </row>
        <row r="22">
          <cell r="B22">
            <v>111587633.51000001</v>
          </cell>
        </row>
        <row r="23">
          <cell r="B23">
            <v>41243310.170000002</v>
          </cell>
          <cell r="D23">
            <v>201123948</v>
          </cell>
          <cell r="E23">
            <v>62528938</v>
          </cell>
          <cell r="F23">
            <v>418816</v>
          </cell>
          <cell r="K23">
            <v>63120837</v>
          </cell>
          <cell r="L23">
            <v>24462299</v>
          </cell>
        </row>
        <row r="24">
          <cell r="B24">
            <v>32512653.98</v>
          </cell>
        </row>
        <row r="25">
          <cell r="B25">
            <v>226972326.81</v>
          </cell>
        </row>
        <row r="26">
          <cell r="C26">
            <v>101558511</v>
          </cell>
        </row>
        <row r="27">
          <cell r="C27">
            <v>102983404</v>
          </cell>
        </row>
        <row r="28">
          <cell r="C28">
            <v>80427066</v>
          </cell>
        </row>
        <row r="29">
          <cell r="F29">
            <v>-6558473</v>
          </cell>
        </row>
        <row r="30">
          <cell r="B30">
            <v>75478366.219999999</v>
          </cell>
          <cell r="D30">
            <v>12149186</v>
          </cell>
          <cell r="F30">
            <v>-928</v>
          </cell>
        </row>
        <row r="31">
          <cell r="K31">
            <v>7650546</v>
          </cell>
          <cell r="L31">
            <v>15556906</v>
          </cell>
        </row>
        <row r="32">
          <cell r="B32">
            <v>-250000</v>
          </cell>
          <cell r="D32">
            <v>41220396</v>
          </cell>
          <cell r="E32">
            <v>6785651</v>
          </cell>
          <cell r="F32">
            <v>0</v>
          </cell>
          <cell r="G32">
            <v>2731288</v>
          </cell>
          <cell r="K32">
            <v>-50479803</v>
          </cell>
          <cell r="L32">
            <v>-7533</v>
          </cell>
        </row>
        <row r="36">
          <cell r="B36">
            <v>1262155027</v>
          </cell>
          <cell r="D36">
            <v>504584234</v>
          </cell>
        </row>
        <row r="37">
          <cell r="C37">
            <v>273526098</v>
          </cell>
        </row>
        <row r="38">
          <cell r="C38">
            <v>5287423</v>
          </cell>
          <cell r="F38">
            <v>114756551</v>
          </cell>
        </row>
        <row r="39">
          <cell r="C39">
            <v>32018</v>
          </cell>
          <cell r="E39">
            <v>31327908</v>
          </cell>
        </row>
        <row r="43">
          <cell r="B43">
            <v>-23066801</v>
          </cell>
          <cell r="C43">
            <v>-1145189</v>
          </cell>
          <cell r="D43">
            <v>-0.75</v>
          </cell>
          <cell r="E43">
            <v>24211989.75</v>
          </cell>
        </row>
        <row r="45">
          <cell r="B45">
            <v>-4958681</v>
          </cell>
          <cell r="G45">
            <v>4958681</v>
          </cell>
        </row>
        <row r="46">
          <cell r="B46">
            <v>-24604178</v>
          </cell>
          <cell r="C46">
            <v>-1667741</v>
          </cell>
          <cell r="D46">
            <v>-38622</v>
          </cell>
          <cell r="E46">
            <v>26310541</v>
          </cell>
        </row>
        <row r="47">
          <cell r="B47">
            <v>35041128</v>
          </cell>
          <cell r="D47">
            <v>49430291</v>
          </cell>
          <cell r="G47">
            <v>-84471419</v>
          </cell>
        </row>
        <row r="48">
          <cell r="B48">
            <v>57447780</v>
          </cell>
          <cell r="C48">
            <v>-33510</v>
          </cell>
          <cell r="D48">
            <v>-57414270</v>
          </cell>
        </row>
        <row r="49">
          <cell r="B49">
            <v>-26826638</v>
          </cell>
          <cell r="C49">
            <v>-20853568</v>
          </cell>
          <cell r="D49">
            <v>-37128641</v>
          </cell>
          <cell r="E49">
            <v>97593077.189999998</v>
          </cell>
          <cell r="G49">
            <v>-12784230</v>
          </cell>
        </row>
        <row r="51">
          <cell r="B51">
            <v>-19026322</v>
          </cell>
          <cell r="C51">
            <v>-251520</v>
          </cell>
          <cell r="D51">
            <v>4053793.75</v>
          </cell>
          <cell r="E51">
            <v>-229818245.75</v>
          </cell>
          <cell r="F51">
            <v>245042295</v>
          </cell>
        </row>
        <row r="53">
          <cell r="G53">
            <v>-675169928</v>
          </cell>
          <cell r="K53">
            <v>675169928</v>
          </cell>
        </row>
        <row r="55">
          <cell r="B55">
            <v>-0.3899998664855957</v>
          </cell>
          <cell r="C55">
            <v>-26900975</v>
          </cell>
          <cell r="D55">
            <v>508773874</v>
          </cell>
          <cell r="E55">
            <v>185219615</v>
          </cell>
          <cell r="F55">
            <v>538448943</v>
          </cell>
          <cell r="G55">
            <v>2441300862</v>
          </cell>
          <cell r="H55">
            <v>-3474074</v>
          </cell>
          <cell r="K55">
            <v>214957310</v>
          </cell>
          <cell r="L55">
            <v>1318117236</v>
          </cell>
        </row>
        <row r="60">
          <cell r="C60">
            <v>-38027871</v>
          </cell>
          <cell r="D60">
            <v>59197279</v>
          </cell>
          <cell r="F60">
            <v>-4071087</v>
          </cell>
          <cell r="H60">
            <v>-12216144</v>
          </cell>
        </row>
        <row r="61">
          <cell r="D61">
            <v>290822448</v>
          </cell>
          <cell r="E61">
            <v>77474558.489999995</v>
          </cell>
          <cell r="H61">
            <v>4643707</v>
          </cell>
        </row>
        <row r="62">
          <cell r="K62">
            <v>37963547</v>
          </cell>
          <cell r="L62">
            <v>33413885</v>
          </cell>
        </row>
        <row r="63">
          <cell r="K63">
            <v>142503552</v>
          </cell>
          <cell r="L63">
            <v>51309106</v>
          </cell>
        </row>
        <row r="64">
          <cell r="C64">
            <v>-6803550</v>
          </cell>
        </row>
        <row r="65">
          <cell r="C65">
            <v>102360</v>
          </cell>
        </row>
        <row r="66">
          <cell r="D66">
            <v>152098458</v>
          </cell>
        </row>
        <row r="67">
          <cell r="K67">
            <v>36703288</v>
          </cell>
          <cell r="L67">
            <v>72966031</v>
          </cell>
        </row>
        <row r="68">
          <cell r="K68">
            <v>728473814</v>
          </cell>
          <cell r="L68">
            <v>1186011225</v>
          </cell>
        </row>
        <row r="70">
          <cell r="G70">
            <v>756940483</v>
          </cell>
        </row>
        <row r="74">
          <cell r="E74">
            <v>69886542.25</v>
          </cell>
        </row>
        <row r="75">
          <cell r="F75">
            <v>666665190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 FY10"/>
      <sheetName val="Rounded Balance Sheet FY10"/>
    </sheetNames>
    <sheetDataSet>
      <sheetData sheetId="0">
        <row r="35">
          <cell r="AA35">
            <v>2320548851.1300001</v>
          </cell>
          <cell r="AB35">
            <v>0</v>
          </cell>
          <cell r="AC35">
            <v>-4071886.7800000012</v>
          </cell>
          <cell r="AD35">
            <v>26036220.179999989</v>
          </cell>
          <cell r="AE35">
            <v>6612776</v>
          </cell>
          <cell r="AF35">
            <v>12484.61</v>
          </cell>
          <cell r="AG35">
            <v>-60824124</v>
          </cell>
        </row>
        <row r="38">
          <cell r="AI38">
            <v>4736931764.5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s FY11"/>
      <sheetName val="CIRM Grant"/>
      <sheetName val="Rounded Changes FY11"/>
    </sheetNames>
    <sheetDataSet>
      <sheetData sheetId="0">
        <row r="15">
          <cell r="B15">
            <v>1267544594.51</v>
          </cell>
        </row>
        <row r="16">
          <cell r="B16">
            <v>-356859439.85000002</v>
          </cell>
        </row>
        <row r="18">
          <cell r="B18">
            <v>29309712.75</v>
          </cell>
          <cell r="D18">
            <v>23889891</v>
          </cell>
        </row>
        <row r="19">
          <cell r="B19">
            <v>876970.84</v>
          </cell>
          <cell r="D19">
            <v>2501545</v>
          </cell>
          <cell r="E19">
            <v>2222379</v>
          </cell>
          <cell r="H19">
            <v>-1095850</v>
          </cell>
          <cell r="K19">
            <v>365</v>
          </cell>
          <cell r="L19">
            <v>184209</v>
          </cell>
        </row>
        <row r="20">
          <cell r="D20">
            <v>1128458</v>
          </cell>
          <cell r="E20">
            <v>764732</v>
          </cell>
          <cell r="G20">
            <v>217053423</v>
          </cell>
          <cell r="K20">
            <v>386210785</v>
          </cell>
          <cell r="L20">
            <v>19801376</v>
          </cell>
        </row>
        <row r="21">
          <cell r="D21">
            <v>350826819</v>
          </cell>
        </row>
        <row r="22">
          <cell r="B22">
            <v>132254332.36</v>
          </cell>
        </row>
        <row r="23">
          <cell r="B23">
            <v>29868489.829999998</v>
          </cell>
          <cell r="C23">
            <v>0</v>
          </cell>
          <cell r="D23">
            <v>262832128</v>
          </cell>
          <cell r="E23">
            <v>24108780</v>
          </cell>
          <cell r="F23">
            <v>1516100</v>
          </cell>
          <cell r="K23">
            <v>145989266</v>
          </cell>
          <cell r="L23">
            <v>216951812</v>
          </cell>
        </row>
        <row r="24">
          <cell r="B24">
            <v>31028730.140000001</v>
          </cell>
        </row>
        <row r="25">
          <cell r="B25">
            <v>243011415.96000001</v>
          </cell>
        </row>
        <row r="26">
          <cell r="C26">
            <v>684977719</v>
          </cell>
        </row>
        <row r="27">
          <cell r="C27">
            <v>113838663</v>
          </cell>
        </row>
        <row r="28">
          <cell r="C28">
            <v>12721054</v>
          </cell>
        </row>
        <row r="30">
          <cell r="B30">
            <v>84694583.959999993</v>
          </cell>
          <cell r="D30">
            <v>13616501</v>
          </cell>
          <cell r="F30">
            <v>-2606078</v>
          </cell>
        </row>
        <row r="31">
          <cell r="K31">
            <v>-3193632</v>
          </cell>
          <cell r="L31">
            <v>-13305257</v>
          </cell>
        </row>
        <row r="32">
          <cell r="B32">
            <v>6683</v>
          </cell>
          <cell r="D32">
            <v>33691326</v>
          </cell>
          <cell r="E32">
            <v>15000000</v>
          </cell>
          <cell r="F32">
            <v>0</v>
          </cell>
          <cell r="G32">
            <v>67920989</v>
          </cell>
          <cell r="K32">
            <v>-119326846</v>
          </cell>
          <cell r="L32">
            <v>2707848</v>
          </cell>
        </row>
        <row r="36">
          <cell r="B36">
            <v>1332008138</v>
          </cell>
          <cell r="D36">
            <v>599726719</v>
          </cell>
        </row>
        <row r="37">
          <cell r="C37">
            <v>799943546</v>
          </cell>
        </row>
        <row r="38">
          <cell r="C38">
            <v>28372044</v>
          </cell>
          <cell r="F38">
            <v>125274782</v>
          </cell>
        </row>
        <row r="39">
          <cell r="E39">
            <v>45413384</v>
          </cell>
        </row>
        <row r="43">
          <cell r="B43">
            <v>-47167585</v>
          </cell>
          <cell r="C43">
            <v>-1173739.93</v>
          </cell>
          <cell r="D43">
            <v>-0.14000000059604645</v>
          </cell>
          <cell r="E43">
            <v>48341325.140000001</v>
          </cell>
        </row>
        <row r="45">
          <cell r="B45">
            <v>-1401062</v>
          </cell>
          <cell r="G45">
            <v>1401062</v>
          </cell>
        </row>
        <row r="46">
          <cell r="B46">
            <v>-25280216</v>
          </cell>
          <cell r="C46">
            <v>-1864340.51</v>
          </cell>
          <cell r="D46">
            <v>-229023</v>
          </cell>
          <cell r="E46">
            <v>27373579</v>
          </cell>
        </row>
        <row r="47">
          <cell r="B47">
            <v>43874276</v>
          </cell>
          <cell r="D47">
            <v>57213410</v>
          </cell>
          <cell r="G47">
            <v>-101087686</v>
          </cell>
        </row>
        <row r="48">
          <cell r="B48">
            <v>47648415</v>
          </cell>
          <cell r="D48">
            <v>-47648415</v>
          </cell>
        </row>
        <row r="49">
          <cell r="B49">
            <v>-125860207</v>
          </cell>
          <cell r="C49">
            <v>-34240599</v>
          </cell>
          <cell r="D49">
            <v>13174744</v>
          </cell>
          <cell r="E49">
            <v>135783750</v>
          </cell>
          <cell r="G49">
            <v>11142311</v>
          </cell>
        </row>
        <row r="51">
          <cell r="B51">
            <v>-21541556</v>
          </cell>
          <cell r="C51">
            <v>-760953.62999999989</v>
          </cell>
          <cell r="D51">
            <v>25401966.140000001</v>
          </cell>
          <cell r="E51">
            <v>-241604021.13999999</v>
          </cell>
          <cell r="F51">
            <v>238504564</v>
          </cell>
        </row>
        <row r="55">
          <cell r="B55">
            <v>0</v>
          </cell>
          <cell r="C55">
            <v>-76933287</v>
          </cell>
          <cell r="D55">
            <v>612490622</v>
          </cell>
          <cell r="E55">
            <v>206443187</v>
          </cell>
          <cell r="F55">
            <v>684018071</v>
          </cell>
          <cell r="G55">
            <v>872877135</v>
          </cell>
          <cell r="H55">
            <v>-10581405</v>
          </cell>
          <cell r="K55">
            <v>1039471626</v>
          </cell>
          <cell r="L55">
            <v>1409145816</v>
          </cell>
        </row>
        <row r="60">
          <cell r="C60">
            <v>-31109728</v>
          </cell>
          <cell r="D60">
            <v>118655732</v>
          </cell>
          <cell r="H60">
            <v>-16320962</v>
          </cell>
        </row>
        <row r="61">
          <cell r="C61">
            <v>-100641347</v>
          </cell>
          <cell r="D61">
            <v>448797505</v>
          </cell>
          <cell r="E61">
            <v>101225713.79000001</v>
          </cell>
          <cell r="H61">
            <v>4643707</v>
          </cell>
        </row>
        <row r="62">
          <cell r="K62">
            <v>38952826</v>
          </cell>
          <cell r="L62">
            <v>35052642</v>
          </cell>
        </row>
        <row r="63">
          <cell r="K63">
            <v>223104030</v>
          </cell>
          <cell r="L63">
            <v>211252098</v>
          </cell>
        </row>
        <row r="66">
          <cell r="D66">
            <v>181710017</v>
          </cell>
        </row>
        <row r="67">
          <cell r="K67">
            <v>46627840</v>
          </cell>
          <cell r="L67">
            <v>81782219</v>
          </cell>
        </row>
        <row r="68">
          <cell r="K68">
            <v>1140466868</v>
          </cell>
          <cell r="L68">
            <v>1307398845</v>
          </cell>
        </row>
        <row r="70">
          <cell r="G70">
            <v>1069307234</v>
          </cell>
        </row>
        <row r="74">
          <cell r="E74">
            <v>71794611.480000004</v>
          </cell>
        </row>
        <row r="75">
          <cell r="F75">
            <v>796157877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s FY12"/>
      <sheetName val="Doheny Cap Lease"/>
      <sheetName val="Rounded Changes FY12"/>
    </sheetNames>
    <sheetDataSet>
      <sheetData sheetId="0">
        <row r="15">
          <cell r="B15">
            <v>1365963351.1900001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K15">
            <v>0</v>
          </cell>
          <cell r="L15">
            <v>0</v>
          </cell>
        </row>
        <row r="16">
          <cell r="B16">
            <v>-388803397.24000001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K16">
            <v>0</v>
          </cell>
          <cell r="L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K17">
            <v>0</v>
          </cell>
          <cell r="L17">
            <v>0</v>
          </cell>
        </row>
        <row r="18">
          <cell r="B18">
            <v>31223003.710000001</v>
          </cell>
          <cell r="C18">
            <v>0</v>
          </cell>
          <cell r="D18">
            <v>24917604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K18">
            <v>0</v>
          </cell>
          <cell r="L18">
            <v>441390</v>
          </cell>
        </row>
        <row r="19">
          <cell r="B19">
            <v>3358939.58</v>
          </cell>
          <cell r="C19">
            <v>0</v>
          </cell>
          <cell r="D19">
            <v>2450251</v>
          </cell>
          <cell r="E19">
            <v>6766715</v>
          </cell>
          <cell r="F19">
            <v>0</v>
          </cell>
          <cell r="G19">
            <v>0</v>
          </cell>
          <cell r="H19">
            <v>-714599</v>
          </cell>
          <cell r="K19">
            <v>1825</v>
          </cell>
          <cell r="L19">
            <v>167551</v>
          </cell>
        </row>
        <row r="20">
          <cell r="B20">
            <v>0</v>
          </cell>
          <cell r="C20">
            <v>0</v>
          </cell>
          <cell r="D20">
            <v>-1554423</v>
          </cell>
          <cell r="E20">
            <v>1600174</v>
          </cell>
          <cell r="F20">
            <v>0</v>
          </cell>
          <cell r="G20">
            <v>-27065190</v>
          </cell>
          <cell r="H20">
            <v>0</v>
          </cell>
          <cell r="K20">
            <v>-29592168</v>
          </cell>
          <cell r="L20">
            <v>-3785487</v>
          </cell>
        </row>
        <row r="21">
          <cell r="B21">
            <v>0</v>
          </cell>
          <cell r="C21">
            <v>0</v>
          </cell>
          <cell r="D21">
            <v>323788930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K21">
            <v>0</v>
          </cell>
          <cell r="L21">
            <v>0</v>
          </cell>
        </row>
        <row r="22">
          <cell r="B22">
            <v>132011837.34999999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K22">
            <v>0</v>
          </cell>
          <cell r="L22">
            <v>0</v>
          </cell>
        </row>
        <row r="23">
          <cell r="B23">
            <v>37787526.159999996</v>
          </cell>
          <cell r="C23">
            <v>0</v>
          </cell>
          <cell r="D23">
            <v>238454379</v>
          </cell>
          <cell r="E23">
            <v>19256352</v>
          </cell>
          <cell r="F23">
            <v>41085</v>
          </cell>
          <cell r="G23">
            <v>0</v>
          </cell>
          <cell r="H23">
            <v>0</v>
          </cell>
          <cell r="K23">
            <v>93872832</v>
          </cell>
          <cell r="L23">
            <v>138498521</v>
          </cell>
        </row>
        <row r="24">
          <cell r="B24">
            <v>28901825.370000001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K24">
            <v>0</v>
          </cell>
          <cell r="L24">
            <v>0</v>
          </cell>
        </row>
        <row r="25">
          <cell r="B25">
            <v>254857238.28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K25">
            <v>0</v>
          </cell>
          <cell r="L25">
            <v>0</v>
          </cell>
        </row>
        <row r="26">
          <cell r="C26">
            <v>750120035</v>
          </cell>
        </row>
        <row r="27">
          <cell r="B27">
            <v>0</v>
          </cell>
          <cell r="C27">
            <v>119501213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K27">
            <v>0</v>
          </cell>
          <cell r="L27">
            <v>0</v>
          </cell>
        </row>
        <row r="28">
          <cell r="B28">
            <v>0</v>
          </cell>
          <cell r="C28">
            <v>12511660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K28">
            <v>0</v>
          </cell>
          <cell r="L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K29">
            <v>0</v>
          </cell>
          <cell r="L29">
            <v>0</v>
          </cell>
        </row>
        <row r="30">
          <cell r="B30">
            <v>89086757.359999999</v>
          </cell>
          <cell r="C30">
            <v>0</v>
          </cell>
          <cell r="D30">
            <v>14294037</v>
          </cell>
          <cell r="E30">
            <v>0</v>
          </cell>
          <cell r="F30">
            <v>-2101127</v>
          </cell>
          <cell r="G30">
            <v>0</v>
          </cell>
          <cell r="H30">
            <v>0</v>
          </cell>
          <cell r="K30">
            <v>0</v>
          </cell>
          <cell r="L30">
            <v>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K31">
            <v>518606</v>
          </cell>
          <cell r="L31">
            <v>-3062724</v>
          </cell>
        </row>
        <row r="32">
          <cell r="B32">
            <v>7119</v>
          </cell>
          <cell r="C32">
            <v>0</v>
          </cell>
          <cell r="D32">
            <v>47780898</v>
          </cell>
          <cell r="E32">
            <v>1205979</v>
          </cell>
          <cell r="F32">
            <v>0</v>
          </cell>
          <cell r="G32">
            <v>72124767</v>
          </cell>
          <cell r="H32">
            <v>0</v>
          </cell>
          <cell r="K32">
            <v>-127134538</v>
          </cell>
          <cell r="L32">
            <v>6015775</v>
          </cell>
        </row>
        <row r="36">
          <cell r="B36">
            <v>1471086627</v>
          </cell>
          <cell r="C36">
            <v>0</v>
          </cell>
          <cell r="D36">
            <v>607762161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K36">
            <v>0</v>
          </cell>
          <cell r="L36">
            <v>0</v>
          </cell>
        </row>
        <row r="37">
          <cell r="B37">
            <v>0</v>
          </cell>
          <cell r="C37">
            <v>864535462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K37">
            <v>0</v>
          </cell>
          <cell r="L37">
            <v>0</v>
          </cell>
        </row>
        <row r="38">
          <cell r="B38">
            <v>0</v>
          </cell>
          <cell r="C38">
            <v>28664421</v>
          </cell>
          <cell r="D38">
            <v>0</v>
          </cell>
          <cell r="E38">
            <v>0</v>
          </cell>
          <cell r="F38">
            <v>130574041</v>
          </cell>
          <cell r="G38">
            <v>0</v>
          </cell>
          <cell r="H38">
            <v>0</v>
          </cell>
          <cell r="K38">
            <v>0</v>
          </cell>
          <cell r="L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62773646</v>
          </cell>
          <cell r="F39">
            <v>0</v>
          </cell>
          <cell r="G39">
            <v>0</v>
          </cell>
          <cell r="H39">
            <v>0</v>
          </cell>
          <cell r="K39">
            <v>0</v>
          </cell>
          <cell r="L39">
            <v>0</v>
          </cell>
        </row>
        <row r="43">
          <cell r="B43">
            <v>-57228895</v>
          </cell>
          <cell r="C43">
            <v>-1173739.93</v>
          </cell>
          <cell r="D43">
            <v>0.66000000387430191</v>
          </cell>
          <cell r="E43">
            <v>58402635.339999996</v>
          </cell>
          <cell r="F43">
            <v>0</v>
          </cell>
          <cell r="G43">
            <v>0</v>
          </cell>
          <cell r="H43">
            <v>0</v>
          </cell>
          <cell r="K43">
            <v>0</v>
          </cell>
          <cell r="L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K44">
            <v>0</v>
          </cell>
          <cell r="L44">
            <v>0</v>
          </cell>
        </row>
        <row r="45">
          <cell r="B45">
            <v>-6328455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6328455</v>
          </cell>
          <cell r="H45">
            <v>0</v>
          </cell>
          <cell r="K45">
            <v>0</v>
          </cell>
          <cell r="L45">
            <v>0</v>
          </cell>
        </row>
        <row r="46">
          <cell r="B46">
            <v>-30747025</v>
          </cell>
          <cell r="C46">
            <v>-1251184</v>
          </cell>
          <cell r="D46">
            <v>-1118176</v>
          </cell>
          <cell r="E46">
            <v>33116385</v>
          </cell>
          <cell r="F46">
            <v>0</v>
          </cell>
          <cell r="G46">
            <v>0</v>
          </cell>
          <cell r="H46">
            <v>0</v>
          </cell>
          <cell r="K46">
            <v>0</v>
          </cell>
          <cell r="L46">
            <v>0</v>
          </cell>
        </row>
        <row r="47">
          <cell r="B47">
            <v>43927932</v>
          </cell>
          <cell r="C47">
            <v>0</v>
          </cell>
          <cell r="D47">
            <v>58339229</v>
          </cell>
          <cell r="E47">
            <v>0</v>
          </cell>
          <cell r="F47">
            <v>0</v>
          </cell>
          <cell r="G47">
            <v>-102267160</v>
          </cell>
          <cell r="H47">
            <v>0</v>
          </cell>
          <cell r="K47">
            <v>0</v>
          </cell>
          <cell r="L47">
            <v>0</v>
          </cell>
        </row>
        <row r="48">
          <cell r="B48">
            <v>53120577</v>
          </cell>
          <cell r="C48">
            <v>-23382</v>
          </cell>
          <cell r="D48">
            <v>-53097195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K48">
            <v>0</v>
          </cell>
          <cell r="L48">
            <v>0</v>
          </cell>
        </row>
        <row r="49">
          <cell r="B49">
            <v>-62643110</v>
          </cell>
          <cell r="C49">
            <v>-38811384</v>
          </cell>
          <cell r="D49">
            <v>-47343403</v>
          </cell>
          <cell r="E49">
            <v>139379973</v>
          </cell>
          <cell r="F49">
            <v>0</v>
          </cell>
          <cell r="G49">
            <v>9417927</v>
          </cell>
          <cell r="H49">
            <v>0</v>
          </cell>
          <cell r="K49">
            <v>0</v>
          </cell>
          <cell r="L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</row>
        <row r="51">
          <cell r="B51">
            <v>-23408597</v>
          </cell>
          <cell r="C51">
            <v>-241876</v>
          </cell>
          <cell r="D51">
            <v>39078331.339999996</v>
          </cell>
          <cell r="E51">
            <v>-158744284.34</v>
          </cell>
          <cell r="F51">
            <v>143316426</v>
          </cell>
          <cell r="G51">
            <v>0</v>
          </cell>
          <cell r="H51">
            <v>0</v>
          </cell>
          <cell r="K51">
            <v>0</v>
          </cell>
          <cell r="L51">
            <v>0</v>
          </cell>
        </row>
        <row r="53">
          <cell r="G53">
            <v>0</v>
          </cell>
          <cell r="K53">
            <v>0</v>
          </cell>
        </row>
        <row r="54"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</row>
        <row r="55">
          <cell r="B55">
            <v>0</v>
          </cell>
          <cell r="C55">
            <v>-131751074.06999999</v>
          </cell>
          <cell r="D55">
            <v>749163253</v>
          </cell>
          <cell r="E55">
            <v>173020327</v>
          </cell>
          <cell r="F55">
            <v>796157875</v>
          </cell>
          <cell r="G55">
            <v>1069307234</v>
          </cell>
          <cell r="H55">
            <v>-11677255</v>
          </cell>
          <cell r="K55">
            <v>1449151564</v>
          </cell>
          <cell r="L55">
            <v>1635485804</v>
          </cell>
        </row>
        <row r="60">
          <cell r="B60">
            <v>0</v>
          </cell>
          <cell r="C60">
            <v>-32259055</v>
          </cell>
          <cell r="D60">
            <v>107728964</v>
          </cell>
          <cell r="E60">
            <v>0</v>
          </cell>
          <cell r="F60">
            <v>0</v>
          </cell>
          <cell r="G60">
            <v>0</v>
          </cell>
          <cell r="H60">
            <v>-17035561</v>
          </cell>
          <cell r="K60">
            <v>0</v>
          </cell>
          <cell r="L60">
            <v>0</v>
          </cell>
        </row>
        <row r="61">
          <cell r="B61">
            <v>0</v>
          </cell>
          <cell r="C61">
            <v>-152060560</v>
          </cell>
          <cell r="D61">
            <v>487761334</v>
          </cell>
          <cell r="E61">
            <v>136406224.61000001</v>
          </cell>
          <cell r="F61">
            <v>0</v>
          </cell>
          <cell r="G61">
            <v>0</v>
          </cell>
          <cell r="H61">
            <v>4643707</v>
          </cell>
          <cell r="K61">
            <v>0</v>
          </cell>
          <cell r="L61">
            <v>0</v>
          </cell>
        </row>
        <row r="62"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K62">
            <v>71739371</v>
          </cell>
          <cell r="L62">
            <v>35119867</v>
          </cell>
        </row>
        <row r="63"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K63">
            <v>231451782</v>
          </cell>
          <cell r="L63">
            <v>242598970</v>
          </cell>
        </row>
        <row r="64">
          <cell r="C64">
            <v>0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K65">
            <v>0</v>
          </cell>
          <cell r="L65">
            <v>0</v>
          </cell>
        </row>
        <row r="66">
          <cell r="B66">
            <v>0</v>
          </cell>
          <cell r="C66">
            <v>0</v>
          </cell>
          <cell r="D66">
            <v>191901258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K66">
            <v>0</v>
          </cell>
          <cell r="L66">
            <v>0</v>
          </cell>
        </row>
        <row r="67"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K67">
            <v>45313057</v>
          </cell>
          <cell r="L67">
            <v>73269175</v>
          </cell>
        </row>
        <row r="68"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K68">
            <v>1038313911</v>
          </cell>
          <cell r="L68">
            <v>1422772819</v>
          </cell>
        </row>
        <row r="69"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K69">
            <v>0</v>
          </cell>
          <cell r="L69">
            <v>0</v>
          </cell>
        </row>
        <row r="70"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1027846033</v>
          </cell>
          <cell r="H70">
            <v>0</v>
          </cell>
          <cell r="K70">
            <v>0</v>
          </cell>
          <cell r="L70">
            <v>0</v>
          </cell>
        </row>
        <row r="71"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K71">
            <v>0</v>
          </cell>
          <cell r="L71">
            <v>0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K72">
            <v>0</v>
          </cell>
          <cell r="L72">
            <v>0</v>
          </cell>
        </row>
        <row r="73"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K73">
            <v>0</v>
          </cell>
          <cell r="L73">
            <v>0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74824382.040000007</v>
          </cell>
          <cell r="F74">
            <v>0</v>
          </cell>
          <cell r="G74">
            <v>0</v>
          </cell>
          <cell r="H74">
            <v>0</v>
          </cell>
          <cell r="K74">
            <v>0</v>
          </cell>
          <cell r="L74">
            <v>0</v>
          </cell>
        </row>
        <row r="75"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806840218</v>
          </cell>
          <cell r="G75">
            <v>0</v>
          </cell>
          <cell r="H75">
            <v>0</v>
          </cell>
          <cell r="K75">
            <v>0</v>
          </cell>
          <cell r="L75">
            <v>0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s FY13"/>
      <sheetName val="Doheny Cap Lease"/>
      <sheetName val="Rounded Changes FY13"/>
    </sheetNames>
    <sheetDataSet>
      <sheetData sheetId="0">
        <row r="15">
          <cell r="B15">
            <v>1488276434.6600001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K15">
            <v>0</v>
          </cell>
          <cell r="L15">
            <v>0</v>
          </cell>
        </row>
        <row r="16">
          <cell r="B16">
            <v>-413465056.02999997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K16">
            <v>0</v>
          </cell>
          <cell r="L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K17">
            <v>0</v>
          </cell>
          <cell r="L17">
            <v>0</v>
          </cell>
        </row>
        <row r="18">
          <cell r="B18">
            <v>35609598.649999999</v>
          </cell>
          <cell r="C18">
            <v>0</v>
          </cell>
          <cell r="D18">
            <v>30097133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K18">
            <v>0</v>
          </cell>
          <cell r="L18">
            <v>540079</v>
          </cell>
        </row>
        <row r="19">
          <cell r="B19">
            <v>3303331.63</v>
          </cell>
          <cell r="C19">
            <v>0</v>
          </cell>
          <cell r="D19">
            <v>945729</v>
          </cell>
          <cell r="E19">
            <v>7864838</v>
          </cell>
          <cell r="F19">
            <v>0</v>
          </cell>
          <cell r="G19">
            <v>0</v>
          </cell>
          <cell r="H19">
            <v>-366592</v>
          </cell>
          <cell r="L19">
            <v>179342</v>
          </cell>
        </row>
        <row r="20">
          <cell r="B20">
            <v>0</v>
          </cell>
          <cell r="C20">
            <v>0</v>
          </cell>
          <cell r="D20">
            <v>-386360</v>
          </cell>
          <cell r="E20">
            <v>-10263524</v>
          </cell>
          <cell r="F20">
            <v>8405000</v>
          </cell>
          <cell r="G20">
            <v>110415550</v>
          </cell>
          <cell r="H20">
            <v>0</v>
          </cell>
          <cell r="K20">
            <v>234621504</v>
          </cell>
          <cell r="L20">
            <v>7770531</v>
          </cell>
        </row>
        <row r="21">
          <cell r="B21">
            <v>0</v>
          </cell>
          <cell r="C21">
            <v>0</v>
          </cell>
          <cell r="D21">
            <v>313724713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K21">
            <v>0</v>
          </cell>
          <cell r="L21">
            <v>0</v>
          </cell>
        </row>
        <row r="22">
          <cell r="B22">
            <v>131546838.33</v>
          </cell>
          <cell r="C22">
            <v>0</v>
          </cell>
          <cell r="D22">
            <v>1372886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K22">
            <v>0</v>
          </cell>
          <cell r="L22">
            <v>0</v>
          </cell>
        </row>
        <row r="23">
          <cell r="B23">
            <v>33089393.91</v>
          </cell>
          <cell r="C23">
            <v>0</v>
          </cell>
          <cell r="D23">
            <v>269302143</v>
          </cell>
          <cell r="E23">
            <v>30500056</v>
          </cell>
          <cell r="F23">
            <v>0</v>
          </cell>
          <cell r="G23">
            <v>0</v>
          </cell>
          <cell r="H23">
            <v>0</v>
          </cell>
          <cell r="K23">
            <v>106660109</v>
          </cell>
          <cell r="L23">
            <v>110599629</v>
          </cell>
        </row>
        <row r="24">
          <cell r="B24">
            <v>28200553.920000002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K24">
            <v>0</v>
          </cell>
          <cell r="L24">
            <v>0</v>
          </cell>
        </row>
        <row r="25">
          <cell r="B25">
            <v>273223573.32999998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K25">
            <v>0</v>
          </cell>
          <cell r="L25">
            <v>0</v>
          </cell>
        </row>
        <row r="26">
          <cell r="C26">
            <v>823834106</v>
          </cell>
        </row>
        <row r="27">
          <cell r="B27">
            <v>0</v>
          </cell>
          <cell r="C27">
            <v>128135712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K27">
            <v>0</v>
          </cell>
          <cell r="L27">
            <v>0</v>
          </cell>
        </row>
        <row r="28">
          <cell r="B28">
            <v>0</v>
          </cell>
          <cell r="C28">
            <v>9646078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K28">
            <v>0</v>
          </cell>
          <cell r="L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K29">
            <v>0</v>
          </cell>
          <cell r="L29">
            <v>0</v>
          </cell>
        </row>
        <row r="30">
          <cell r="B30">
            <v>93672883.239999995</v>
          </cell>
          <cell r="C30">
            <v>0</v>
          </cell>
          <cell r="D30">
            <v>12778664</v>
          </cell>
          <cell r="E30">
            <v>0</v>
          </cell>
          <cell r="F30">
            <v>-452125</v>
          </cell>
          <cell r="G30">
            <v>0</v>
          </cell>
          <cell r="H30">
            <v>0</v>
          </cell>
          <cell r="K30">
            <v>0</v>
          </cell>
          <cell r="L30">
            <v>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K31">
            <v>-1355155</v>
          </cell>
          <cell r="L31">
            <v>-6560184</v>
          </cell>
        </row>
        <row r="32">
          <cell r="B32">
            <v>0</v>
          </cell>
          <cell r="C32">
            <v>0</v>
          </cell>
          <cell r="D32">
            <v>28526681</v>
          </cell>
          <cell r="E32">
            <v>36951909</v>
          </cell>
          <cell r="F32">
            <v>0</v>
          </cell>
          <cell r="G32">
            <v>71134431</v>
          </cell>
          <cell r="H32">
            <v>0</v>
          </cell>
          <cell r="K32">
            <v>-140177601</v>
          </cell>
          <cell r="L32">
            <v>3564581</v>
          </cell>
        </row>
        <row r="36">
          <cell r="B36">
            <v>1507211231</v>
          </cell>
          <cell r="C36">
            <v>0</v>
          </cell>
          <cell r="D36">
            <v>637354115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K36">
            <v>0</v>
          </cell>
          <cell r="L36">
            <v>0</v>
          </cell>
        </row>
        <row r="37">
          <cell r="B37">
            <v>0</v>
          </cell>
          <cell r="C37">
            <v>904627534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K37">
            <v>0</v>
          </cell>
          <cell r="L37">
            <v>0</v>
          </cell>
        </row>
        <row r="38">
          <cell r="B38">
            <v>0</v>
          </cell>
          <cell r="C38">
            <v>22556066</v>
          </cell>
          <cell r="D38">
            <v>0</v>
          </cell>
          <cell r="E38">
            <v>0</v>
          </cell>
          <cell r="F38">
            <v>138728951</v>
          </cell>
          <cell r="G38">
            <v>0</v>
          </cell>
          <cell r="H38">
            <v>0</v>
          </cell>
          <cell r="K38">
            <v>0</v>
          </cell>
          <cell r="L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63306562</v>
          </cell>
          <cell r="F39">
            <v>0</v>
          </cell>
          <cell r="G39">
            <v>0</v>
          </cell>
          <cell r="H39">
            <v>0</v>
          </cell>
          <cell r="K39">
            <v>0</v>
          </cell>
          <cell r="L39">
            <v>0</v>
          </cell>
        </row>
        <row r="43">
          <cell r="B43">
            <v>-59490595</v>
          </cell>
          <cell r="C43">
            <v>-1173739.93</v>
          </cell>
          <cell r="D43">
            <v>0.2199999988079071</v>
          </cell>
          <cell r="E43">
            <v>60664335.780000001</v>
          </cell>
          <cell r="F43">
            <v>0</v>
          </cell>
          <cell r="G43">
            <v>0</v>
          </cell>
          <cell r="H43">
            <v>0</v>
          </cell>
          <cell r="K43">
            <v>0</v>
          </cell>
          <cell r="L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K44">
            <v>0</v>
          </cell>
          <cell r="L44">
            <v>0</v>
          </cell>
        </row>
        <row r="45">
          <cell r="B45">
            <v>-3110510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3110510</v>
          </cell>
          <cell r="H45">
            <v>0</v>
          </cell>
          <cell r="K45">
            <v>0</v>
          </cell>
          <cell r="L45">
            <v>0</v>
          </cell>
        </row>
        <row r="46">
          <cell r="B46">
            <v>-33008551</v>
          </cell>
          <cell r="C46">
            <v>-1302204</v>
          </cell>
          <cell r="D46">
            <v>-550449</v>
          </cell>
          <cell r="E46">
            <v>34861205</v>
          </cell>
          <cell r="F46">
            <v>0</v>
          </cell>
          <cell r="G46">
            <v>0</v>
          </cell>
          <cell r="H46">
            <v>0</v>
          </cell>
          <cell r="K46">
            <v>0</v>
          </cell>
          <cell r="L46">
            <v>0</v>
          </cell>
        </row>
        <row r="47">
          <cell r="B47">
            <v>42657467</v>
          </cell>
          <cell r="C47">
            <v>0</v>
          </cell>
          <cell r="D47">
            <v>56613296</v>
          </cell>
          <cell r="E47">
            <v>0</v>
          </cell>
          <cell r="F47">
            <v>0</v>
          </cell>
          <cell r="G47">
            <v>-99270762</v>
          </cell>
          <cell r="H47">
            <v>0</v>
          </cell>
          <cell r="K47">
            <v>0</v>
          </cell>
          <cell r="L47">
            <v>0</v>
          </cell>
        </row>
        <row r="48">
          <cell r="B48">
            <v>55162629</v>
          </cell>
          <cell r="C48">
            <v>-7944</v>
          </cell>
          <cell r="D48">
            <v>-55154685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K48">
            <v>0</v>
          </cell>
          <cell r="L48">
            <v>0</v>
          </cell>
        </row>
        <row r="49">
          <cell r="B49">
            <v>-139545369</v>
          </cell>
          <cell r="C49">
            <v>-44758280</v>
          </cell>
          <cell r="D49">
            <v>41470645</v>
          </cell>
          <cell r="E49">
            <v>121705582</v>
          </cell>
          <cell r="F49">
            <v>0</v>
          </cell>
          <cell r="G49">
            <v>21127421</v>
          </cell>
          <cell r="H49">
            <v>0</v>
          </cell>
          <cell r="K49">
            <v>0</v>
          </cell>
          <cell r="L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</row>
        <row r="51">
          <cell r="B51">
            <v>-28911390</v>
          </cell>
          <cell r="C51">
            <v>-294982</v>
          </cell>
          <cell r="D51">
            <v>39167460.780000001</v>
          </cell>
          <cell r="E51">
            <v>-209185574.78</v>
          </cell>
          <cell r="F51">
            <v>199224486</v>
          </cell>
          <cell r="G51">
            <v>0</v>
          </cell>
          <cell r="H51">
            <v>0</v>
          </cell>
          <cell r="K51">
            <v>0</v>
          </cell>
          <cell r="L51">
            <v>0</v>
          </cell>
        </row>
        <row r="53">
          <cell r="G53">
            <v>0</v>
          </cell>
          <cell r="K53">
            <v>0</v>
          </cell>
        </row>
        <row r="54"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</row>
        <row r="55">
          <cell r="B55">
            <v>0</v>
          </cell>
          <cell r="C55">
            <v>-184319615</v>
          </cell>
          <cell r="D55">
            <v>787391555</v>
          </cell>
          <cell r="E55">
            <v>211230610</v>
          </cell>
          <cell r="F55">
            <v>806840218</v>
          </cell>
          <cell r="G55">
            <v>1027846033</v>
          </cell>
          <cell r="H55">
            <v>-12391854</v>
          </cell>
          <cell r="K55">
            <v>1386818121</v>
          </cell>
          <cell r="L55">
            <v>1773760830</v>
          </cell>
        </row>
        <row r="60">
          <cell r="B60">
            <v>0</v>
          </cell>
          <cell r="C60">
            <v>-37286496</v>
          </cell>
          <cell r="D60">
            <v>92043752</v>
          </cell>
          <cell r="E60">
            <v>0</v>
          </cell>
          <cell r="F60">
            <v>0</v>
          </cell>
          <cell r="G60">
            <v>0</v>
          </cell>
          <cell r="H60">
            <v>-17402154</v>
          </cell>
          <cell r="K60">
            <v>0</v>
          </cell>
          <cell r="L60">
            <v>0</v>
          </cell>
        </row>
        <row r="61">
          <cell r="B61">
            <v>0</v>
          </cell>
          <cell r="C61">
            <v>-160137973</v>
          </cell>
          <cell r="D61">
            <v>606851198</v>
          </cell>
          <cell r="E61">
            <v>150693478.52000001</v>
          </cell>
          <cell r="F61">
            <v>0</v>
          </cell>
          <cell r="G61">
            <v>0</v>
          </cell>
          <cell r="H61">
            <v>4643707</v>
          </cell>
          <cell r="K61">
            <v>0</v>
          </cell>
          <cell r="L61">
            <v>0</v>
          </cell>
        </row>
        <row r="62"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K62">
            <v>64798734</v>
          </cell>
          <cell r="L62">
            <v>35242048</v>
          </cell>
        </row>
        <row r="63"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K63">
            <v>280789059</v>
          </cell>
          <cell r="L63">
            <v>239133092</v>
          </cell>
        </row>
        <row r="64">
          <cell r="C64">
            <v>0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K65">
            <v>0</v>
          </cell>
          <cell r="L65">
            <v>0</v>
          </cell>
        </row>
        <row r="66">
          <cell r="B66">
            <v>0</v>
          </cell>
          <cell r="C66">
            <v>0</v>
          </cell>
          <cell r="D66">
            <v>189050345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K66">
            <v>0</v>
          </cell>
          <cell r="L66">
            <v>0</v>
          </cell>
        </row>
        <row r="67"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K67">
            <v>43653347</v>
          </cell>
          <cell r="L67">
            <v>78813740</v>
          </cell>
        </row>
        <row r="68"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K68">
            <v>1197326298</v>
          </cell>
          <cell r="L68">
            <v>1536665932</v>
          </cell>
        </row>
        <row r="69"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K69">
            <v>0</v>
          </cell>
          <cell r="L69">
            <v>0</v>
          </cell>
        </row>
        <row r="70"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1134363183</v>
          </cell>
          <cell r="H70">
            <v>0</v>
          </cell>
          <cell r="K70">
            <v>0</v>
          </cell>
          <cell r="L70">
            <v>0</v>
          </cell>
        </row>
        <row r="71"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K71">
            <v>0</v>
          </cell>
          <cell r="L71">
            <v>0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K72">
            <v>0</v>
          </cell>
          <cell r="L72">
            <v>0</v>
          </cell>
        </row>
        <row r="73"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K73">
            <v>0</v>
          </cell>
          <cell r="L73">
            <v>0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70329392.620000005</v>
          </cell>
          <cell r="F74">
            <v>0</v>
          </cell>
          <cell r="G74">
            <v>0</v>
          </cell>
          <cell r="H74">
            <v>0</v>
          </cell>
          <cell r="K74">
            <v>0</v>
          </cell>
          <cell r="L74">
            <v>0</v>
          </cell>
        </row>
        <row r="75"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875288628</v>
          </cell>
          <cell r="G75">
            <v>0</v>
          </cell>
          <cell r="H75">
            <v>0</v>
          </cell>
          <cell r="K75">
            <v>0</v>
          </cell>
          <cell r="L75">
            <v>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s FY14"/>
      <sheetName val="Doheny Cap Lease"/>
      <sheetName val="Coliseum Cap Lease"/>
      <sheetName val="Coliseum Post Retire Med Plan"/>
      <sheetName val="Rounded Changes FY14"/>
    </sheetNames>
    <sheetDataSet>
      <sheetData sheetId="0">
        <row r="15">
          <cell r="B15">
            <v>1602331237.1300001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K15">
            <v>0</v>
          </cell>
          <cell r="L15">
            <v>0</v>
          </cell>
        </row>
        <row r="16">
          <cell r="B16">
            <v>-440013997.69999999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K16">
            <v>0</v>
          </cell>
          <cell r="L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K17">
            <v>0</v>
          </cell>
          <cell r="L17">
            <v>0</v>
          </cell>
        </row>
        <row r="18">
          <cell r="B18">
            <v>28310061</v>
          </cell>
          <cell r="C18">
            <v>0</v>
          </cell>
          <cell r="D18">
            <v>22210548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K18">
            <v>0</v>
          </cell>
          <cell r="L18">
            <v>437565</v>
          </cell>
        </row>
        <row r="19">
          <cell r="B19">
            <v>917442.66</v>
          </cell>
          <cell r="C19">
            <v>0</v>
          </cell>
          <cell r="D19">
            <v>1012618</v>
          </cell>
          <cell r="E19">
            <v>8901261</v>
          </cell>
          <cell r="F19">
            <v>0</v>
          </cell>
          <cell r="G19">
            <v>0</v>
          </cell>
          <cell r="H19">
            <v>-38227</v>
          </cell>
          <cell r="L19">
            <v>221972</v>
          </cell>
        </row>
        <row r="20">
          <cell r="B20">
            <v>0</v>
          </cell>
          <cell r="C20">
            <v>0</v>
          </cell>
          <cell r="D20">
            <v>6207463</v>
          </cell>
          <cell r="E20">
            <v>-44355</v>
          </cell>
          <cell r="F20">
            <v>0</v>
          </cell>
          <cell r="G20">
            <v>210770492</v>
          </cell>
          <cell r="H20">
            <v>0</v>
          </cell>
          <cell r="K20">
            <v>503163643</v>
          </cell>
          <cell r="L20">
            <v>19239489</v>
          </cell>
        </row>
        <row r="21">
          <cell r="B21">
            <v>0</v>
          </cell>
          <cell r="C21">
            <v>0</v>
          </cell>
          <cell r="D21">
            <v>316268792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K21">
            <v>0</v>
          </cell>
          <cell r="L21">
            <v>0</v>
          </cell>
        </row>
        <row r="22">
          <cell r="B22">
            <v>134690410.47</v>
          </cell>
          <cell r="C22">
            <v>0</v>
          </cell>
          <cell r="D22">
            <v>1765323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K22">
            <v>0</v>
          </cell>
          <cell r="L22">
            <v>0</v>
          </cell>
        </row>
        <row r="23">
          <cell r="B23">
            <v>36149610.670000002</v>
          </cell>
          <cell r="C23">
            <v>79670502</v>
          </cell>
          <cell r="D23">
            <v>242122301</v>
          </cell>
          <cell r="E23">
            <v>47697690</v>
          </cell>
          <cell r="F23">
            <v>0</v>
          </cell>
          <cell r="G23">
            <v>597328</v>
          </cell>
          <cell r="H23">
            <v>0</v>
          </cell>
          <cell r="K23">
            <v>129297958</v>
          </cell>
          <cell r="L23">
            <v>180740045</v>
          </cell>
        </row>
        <row r="24">
          <cell r="B24">
            <v>33739001.460000001</v>
          </cell>
          <cell r="C24">
            <v>0</v>
          </cell>
          <cell r="D24">
            <v>40047352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K24">
            <v>0</v>
          </cell>
          <cell r="L24">
            <v>0</v>
          </cell>
        </row>
        <row r="25">
          <cell r="B25">
            <v>296334647.97000003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K25">
            <v>0</v>
          </cell>
          <cell r="L25">
            <v>0</v>
          </cell>
        </row>
        <row r="26">
          <cell r="C26">
            <v>1027459107</v>
          </cell>
        </row>
        <row r="27">
          <cell r="B27">
            <v>0</v>
          </cell>
          <cell r="C27">
            <v>135115832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K27">
            <v>0</v>
          </cell>
          <cell r="L27">
            <v>0</v>
          </cell>
        </row>
        <row r="28">
          <cell r="B28">
            <v>0</v>
          </cell>
          <cell r="C28">
            <v>4770772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K28">
            <v>0</v>
          </cell>
          <cell r="L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K29">
            <v>0</v>
          </cell>
          <cell r="L29">
            <v>0</v>
          </cell>
        </row>
        <row r="30">
          <cell r="B30">
            <v>100958349.51000001</v>
          </cell>
          <cell r="C30">
            <v>0</v>
          </cell>
          <cell r="D30">
            <v>0</v>
          </cell>
          <cell r="E30">
            <v>0</v>
          </cell>
          <cell r="F30">
            <v>-3755121</v>
          </cell>
          <cell r="G30">
            <v>0</v>
          </cell>
          <cell r="H30">
            <v>0</v>
          </cell>
          <cell r="K30">
            <v>0</v>
          </cell>
          <cell r="L30">
            <v>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K31">
            <v>-1050221</v>
          </cell>
          <cell r="L31">
            <v>-5787217</v>
          </cell>
        </row>
        <row r="32">
          <cell r="B32">
            <v>34111</v>
          </cell>
          <cell r="C32">
            <v>0</v>
          </cell>
          <cell r="D32">
            <v>63709381</v>
          </cell>
          <cell r="E32">
            <v>98718835</v>
          </cell>
          <cell r="F32">
            <v>0</v>
          </cell>
          <cell r="G32">
            <v>95544409</v>
          </cell>
          <cell r="H32">
            <v>0</v>
          </cell>
          <cell r="K32">
            <v>-251184690</v>
          </cell>
          <cell r="L32">
            <v>-6822046</v>
          </cell>
        </row>
        <row r="36">
          <cell r="B36">
            <v>1640512595</v>
          </cell>
          <cell r="C36">
            <v>0</v>
          </cell>
          <cell r="D36">
            <v>672418971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K36">
            <v>0</v>
          </cell>
          <cell r="L36">
            <v>0</v>
          </cell>
        </row>
        <row r="37">
          <cell r="B37">
            <v>0</v>
          </cell>
          <cell r="C37">
            <v>1122177078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K37">
            <v>0</v>
          </cell>
          <cell r="L37">
            <v>0</v>
          </cell>
        </row>
        <row r="38">
          <cell r="B38">
            <v>0</v>
          </cell>
          <cell r="C38">
            <v>23976904</v>
          </cell>
          <cell r="D38">
            <v>0</v>
          </cell>
          <cell r="E38">
            <v>0</v>
          </cell>
          <cell r="F38">
            <v>156976052</v>
          </cell>
          <cell r="G38">
            <v>0</v>
          </cell>
          <cell r="H38">
            <v>0</v>
          </cell>
          <cell r="K38">
            <v>0</v>
          </cell>
          <cell r="L38">
            <v>0</v>
          </cell>
        </row>
        <row r="39">
          <cell r="B39">
            <v>0</v>
          </cell>
          <cell r="C39">
            <v>47344</v>
          </cell>
          <cell r="D39">
            <v>0</v>
          </cell>
          <cell r="E39">
            <v>66622608</v>
          </cell>
          <cell r="F39">
            <v>0</v>
          </cell>
          <cell r="G39">
            <v>0</v>
          </cell>
          <cell r="H39">
            <v>0</v>
          </cell>
          <cell r="K39">
            <v>0</v>
          </cell>
          <cell r="L39">
            <v>0</v>
          </cell>
        </row>
        <row r="43">
          <cell r="B43">
            <v>-60251420</v>
          </cell>
          <cell r="C43">
            <v>-1173739.93</v>
          </cell>
          <cell r="D43">
            <v>0</v>
          </cell>
          <cell r="E43">
            <v>61425160</v>
          </cell>
          <cell r="F43">
            <v>0</v>
          </cell>
          <cell r="G43">
            <v>0</v>
          </cell>
          <cell r="H43">
            <v>0</v>
          </cell>
          <cell r="K43">
            <v>0</v>
          </cell>
          <cell r="L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K44">
            <v>0</v>
          </cell>
          <cell r="L44">
            <v>0</v>
          </cell>
        </row>
        <row r="45">
          <cell r="B45">
            <v>-7046524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7046524</v>
          </cell>
          <cell r="H45">
            <v>0</v>
          </cell>
          <cell r="K45">
            <v>0</v>
          </cell>
          <cell r="L45">
            <v>0</v>
          </cell>
        </row>
        <row r="46">
          <cell r="B46">
            <v>-27542505</v>
          </cell>
          <cell r="C46">
            <v>-1355305</v>
          </cell>
          <cell r="D46">
            <v>-936611</v>
          </cell>
          <cell r="E46">
            <v>29834422</v>
          </cell>
          <cell r="F46">
            <v>0</v>
          </cell>
          <cell r="G46">
            <v>0</v>
          </cell>
          <cell r="H46">
            <v>0</v>
          </cell>
          <cell r="K46">
            <v>0</v>
          </cell>
          <cell r="L46">
            <v>0</v>
          </cell>
        </row>
        <row r="47">
          <cell r="B47">
            <v>52420162</v>
          </cell>
          <cell r="C47">
            <v>0</v>
          </cell>
          <cell r="D47">
            <v>71853752</v>
          </cell>
          <cell r="E47">
            <v>0</v>
          </cell>
          <cell r="F47">
            <v>0</v>
          </cell>
          <cell r="G47">
            <v>-124273914</v>
          </cell>
          <cell r="H47">
            <v>0</v>
          </cell>
          <cell r="K47">
            <v>0</v>
          </cell>
          <cell r="L47">
            <v>0</v>
          </cell>
        </row>
        <row r="48">
          <cell r="B48">
            <v>62497173</v>
          </cell>
          <cell r="C48">
            <v>0</v>
          </cell>
          <cell r="D48">
            <v>-62497173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K48">
            <v>0</v>
          </cell>
          <cell r="L48">
            <v>0</v>
          </cell>
        </row>
        <row r="49">
          <cell r="B49">
            <v>-143274831</v>
          </cell>
          <cell r="C49">
            <v>-41160170</v>
          </cell>
          <cell r="D49">
            <v>7780283</v>
          </cell>
          <cell r="E49">
            <v>170692481</v>
          </cell>
          <cell r="F49">
            <v>0</v>
          </cell>
          <cell r="G49">
            <v>5962235</v>
          </cell>
          <cell r="H49">
            <v>0</v>
          </cell>
          <cell r="K49">
            <v>0</v>
          </cell>
          <cell r="L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</row>
        <row r="51">
          <cell r="B51">
            <v>-29740334</v>
          </cell>
          <cell r="C51">
            <v>-173016</v>
          </cell>
          <cell r="D51">
            <v>37978639</v>
          </cell>
          <cell r="E51">
            <v>-346011022</v>
          </cell>
          <cell r="F51">
            <v>337945733</v>
          </cell>
          <cell r="G51">
            <v>0</v>
          </cell>
          <cell r="H51">
            <v>0</v>
          </cell>
          <cell r="K51">
            <v>0</v>
          </cell>
          <cell r="L51">
            <v>0</v>
          </cell>
        </row>
        <row r="53">
          <cell r="G53">
            <v>0</v>
          </cell>
          <cell r="K53">
            <v>0</v>
          </cell>
        </row>
        <row r="54"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</row>
        <row r="55">
          <cell r="B55">
            <v>0</v>
          </cell>
          <cell r="C55">
            <v>-197424468.93000001</v>
          </cell>
          <cell r="D55">
            <v>887945297</v>
          </cell>
          <cell r="E55">
            <v>221022875</v>
          </cell>
          <cell r="F55">
            <v>875288628</v>
          </cell>
          <cell r="G55">
            <v>1134363183</v>
          </cell>
          <cell r="H55">
            <v>-12758446</v>
          </cell>
          <cell r="K55">
            <v>1586567438</v>
          </cell>
          <cell r="L55">
            <v>1889854808</v>
          </cell>
        </row>
        <row r="60">
          <cell r="B60">
            <v>0</v>
          </cell>
          <cell r="C60">
            <v>-36092762</v>
          </cell>
          <cell r="D60">
            <v>89031647</v>
          </cell>
          <cell r="E60">
            <v>0</v>
          </cell>
          <cell r="F60">
            <v>0</v>
          </cell>
          <cell r="G60">
            <v>0</v>
          </cell>
          <cell r="H60">
            <v>-17440381</v>
          </cell>
          <cell r="K60">
            <v>0</v>
          </cell>
          <cell r="L60">
            <v>0</v>
          </cell>
        </row>
        <row r="61">
          <cell r="B61">
            <v>0</v>
          </cell>
          <cell r="C61">
            <v>-104379051</v>
          </cell>
          <cell r="D61">
            <v>677923018</v>
          </cell>
          <cell r="E61">
            <v>147183253.72</v>
          </cell>
          <cell r="F61">
            <v>0</v>
          </cell>
          <cell r="G61">
            <v>0</v>
          </cell>
          <cell r="H61">
            <v>4643707</v>
          </cell>
          <cell r="K61">
            <v>0</v>
          </cell>
          <cell r="L61">
            <v>0</v>
          </cell>
        </row>
        <row r="62"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K62">
            <v>35221504</v>
          </cell>
          <cell r="L62">
            <v>27914133</v>
          </cell>
        </row>
        <row r="63"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K63">
            <v>288879053</v>
          </cell>
          <cell r="L63">
            <v>288148059</v>
          </cell>
        </row>
        <row r="64">
          <cell r="C64">
            <v>0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K65">
            <v>0</v>
          </cell>
          <cell r="L65">
            <v>0</v>
          </cell>
        </row>
        <row r="66">
          <cell r="B66">
            <v>0</v>
          </cell>
          <cell r="C66">
            <v>0</v>
          </cell>
          <cell r="D66">
            <v>196094327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K66">
            <v>0</v>
          </cell>
          <cell r="L66">
            <v>0</v>
          </cell>
        </row>
        <row r="67"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K67">
            <v>50682979</v>
          </cell>
          <cell r="L67">
            <v>90829756</v>
          </cell>
        </row>
        <row r="68"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K68">
            <v>1592010965</v>
          </cell>
          <cell r="L68">
            <v>1670992671</v>
          </cell>
        </row>
        <row r="69"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K69">
            <v>0</v>
          </cell>
          <cell r="L69">
            <v>0</v>
          </cell>
        </row>
        <row r="70"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1330010257</v>
          </cell>
          <cell r="H70">
            <v>0</v>
          </cell>
          <cell r="K70">
            <v>0</v>
          </cell>
          <cell r="L70">
            <v>0</v>
          </cell>
        </row>
        <row r="71"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K71">
            <v>0</v>
          </cell>
          <cell r="L71">
            <v>0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K72">
            <v>0</v>
          </cell>
          <cell r="L72">
            <v>0</v>
          </cell>
        </row>
        <row r="73"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K73">
            <v>0</v>
          </cell>
          <cell r="L73">
            <v>0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78431481.099999994</v>
          </cell>
          <cell r="F74">
            <v>0</v>
          </cell>
          <cell r="G74">
            <v>0</v>
          </cell>
          <cell r="H74">
            <v>0</v>
          </cell>
          <cell r="K74">
            <v>0</v>
          </cell>
          <cell r="L74">
            <v>0</v>
          </cell>
        </row>
        <row r="75"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1052503188</v>
          </cell>
          <cell r="G75">
            <v>0</v>
          </cell>
          <cell r="H75">
            <v>0</v>
          </cell>
          <cell r="K75">
            <v>0</v>
          </cell>
          <cell r="L75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s FY15"/>
      <sheetName val="Hospital Expense Reclas"/>
      <sheetName val="Doheny Cap Lease"/>
      <sheetName val="Coliseum Cap Lease"/>
      <sheetName val="Coliseum Post Retire Med Plan"/>
      <sheetName val="Rounded Changes FY15"/>
    </sheetNames>
    <sheetDataSet>
      <sheetData sheetId="0">
        <row r="15">
          <cell r="B15">
            <v>1710225272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K15">
            <v>0</v>
          </cell>
          <cell r="L15">
            <v>0</v>
          </cell>
        </row>
        <row r="16">
          <cell r="B16">
            <v>-460276042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K16">
            <v>0</v>
          </cell>
          <cell r="L16">
            <v>0</v>
          </cell>
        </row>
        <row r="17">
          <cell r="B17">
            <v>1249949230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K17">
            <v>0</v>
          </cell>
          <cell r="L17">
            <v>0</v>
          </cell>
        </row>
        <row r="18">
          <cell r="B18">
            <v>27351759</v>
          </cell>
          <cell r="C18">
            <v>0</v>
          </cell>
          <cell r="D18">
            <v>18174559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K18">
            <v>0</v>
          </cell>
          <cell r="L18">
            <v>431916</v>
          </cell>
        </row>
        <row r="19">
          <cell r="B19">
            <v>3276942</v>
          </cell>
          <cell r="C19">
            <v>0</v>
          </cell>
          <cell r="D19">
            <v>834154</v>
          </cell>
          <cell r="E19">
            <v>10548348</v>
          </cell>
          <cell r="F19">
            <v>0</v>
          </cell>
          <cell r="G19">
            <v>0</v>
          </cell>
          <cell r="H19">
            <v>-298922</v>
          </cell>
          <cell r="K19">
            <v>308</v>
          </cell>
          <cell r="L19">
            <v>204847</v>
          </cell>
        </row>
        <row r="20">
          <cell r="B20">
            <v>0</v>
          </cell>
          <cell r="C20">
            <v>0</v>
          </cell>
          <cell r="D20">
            <v>-1783948</v>
          </cell>
          <cell r="E20">
            <v>0</v>
          </cell>
          <cell r="F20">
            <v>0</v>
          </cell>
          <cell r="G20">
            <v>35348749</v>
          </cell>
          <cell r="H20">
            <v>0</v>
          </cell>
          <cell r="K20">
            <v>73089840</v>
          </cell>
          <cell r="L20">
            <v>-2214304</v>
          </cell>
        </row>
        <row r="21">
          <cell r="B21">
            <v>0</v>
          </cell>
          <cell r="C21">
            <v>0</v>
          </cell>
          <cell r="D21">
            <v>313567839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K21">
            <v>0</v>
          </cell>
          <cell r="L21">
            <v>0</v>
          </cell>
        </row>
        <row r="22">
          <cell r="B22">
            <v>139246565</v>
          </cell>
          <cell r="C22">
            <v>0</v>
          </cell>
          <cell r="D22">
            <v>2361815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K22">
            <v>0</v>
          </cell>
          <cell r="L22">
            <v>0</v>
          </cell>
        </row>
        <row r="23">
          <cell r="B23">
            <v>33341541</v>
          </cell>
          <cell r="C23">
            <v>0</v>
          </cell>
          <cell r="D23">
            <v>202159832</v>
          </cell>
          <cell r="E23">
            <v>7994650</v>
          </cell>
          <cell r="F23">
            <v>5340108</v>
          </cell>
          <cell r="G23">
            <v>0</v>
          </cell>
          <cell r="H23">
            <v>0</v>
          </cell>
          <cell r="K23">
            <v>124010500</v>
          </cell>
          <cell r="L23">
            <v>164917502</v>
          </cell>
        </row>
        <row r="24">
          <cell r="B24">
            <v>42709446</v>
          </cell>
          <cell r="C24">
            <v>0</v>
          </cell>
          <cell r="D24">
            <v>78356374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K24">
            <v>0</v>
          </cell>
          <cell r="L24">
            <v>0</v>
          </cell>
        </row>
        <row r="25">
          <cell r="B25">
            <v>308514810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K25">
            <v>0</v>
          </cell>
          <cell r="L25">
            <v>0</v>
          </cell>
        </row>
        <row r="26">
          <cell r="B26">
            <v>0</v>
          </cell>
          <cell r="C26">
            <v>1167318462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K26">
            <v>0</v>
          </cell>
          <cell r="L26">
            <v>0</v>
          </cell>
        </row>
        <row r="27">
          <cell r="B27">
            <v>0</v>
          </cell>
          <cell r="C27">
            <v>138522388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K27">
            <v>0</v>
          </cell>
          <cell r="L27">
            <v>0</v>
          </cell>
        </row>
        <row r="28">
          <cell r="B28">
            <v>0</v>
          </cell>
          <cell r="C28">
            <v>5043118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K28">
            <v>0</v>
          </cell>
          <cell r="L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K29">
            <v>0</v>
          </cell>
          <cell r="L29">
            <v>0</v>
          </cell>
        </row>
        <row r="30">
          <cell r="B30">
            <v>104667537</v>
          </cell>
          <cell r="C30">
            <v>0</v>
          </cell>
          <cell r="D30">
            <v>0</v>
          </cell>
          <cell r="E30">
            <v>0</v>
          </cell>
          <cell r="F30">
            <v>-8275872</v>
          </cell>
          <cell r="G30">
            <v>0</v>
          </cell>
          <cell r="H30">
            <v>0</v>
          </cell>
          <cell r="K30">
            <v>0</v>
          </cell>
          <cell r="L30">
            <v>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K31">
            <v>36788</v>
          </cell>
          <cell r="L31">
            <v>-2033179</v>
          </cell>
        </row>
        <row r="32">
          <cell r="B32">
            <v>0</v>
          </cell>
          <cell r="C32">
            <v>0</v>
          </cell>
          <cell r="D32">
            <v>52024594</v>
          </cell>
          <cell r="E32">
            <v>6751037</v>
          </cell>
          <cell r="F32">
            <v>0</v>
          </cell>
          <cell r="G32">
            <v>102287029</v>
          </cell>
          <cell r="H32">
            <v>0</v>
          </cell>
          <cell r="K32">
            <v>-164472731</v>
          </cell>
          <cell r="L32">
            <v>3410071</v>
          </cell>
        </row>
        <row r="36">
          <cell r="B36">
            <v>1738135926</v>
          </cell>
          <cell r="C36">
            <v>18000000</v>
          </cell>
          <cell r="D36">
            <v>659465942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K36">
            <v>0</v>
          </cell>
          <cell r="L36">
            <v>0</v>
          </cell>
        </row>
        <row r="37">
          <cell r="B37">
            <v>0</v>
          </cell>
          <cell r="C37">
            <v>1300217829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K37">
            <v>0</v>
          </cell>
          <cell r="L37">
            <v>0</v>
          </cell>
        </row>
        <row r="38">
          <cell r="B38">
            <v>0</v>
          </cell>
          <cell r="C38">
            <v>38110976</v>
          </cell>
          <cell r="D38">
            <v>0</v>
          </cell>
          <cell r="E38">
            <v>0</v>
          </cell>
          <cell r="F38">
            <v>160246145</v>
          </cell>
          <cell r="G38">
            <v>0</v>
          </cell>
          <cell r="H38">
            <v>0</v>
          </cell>
          <cell r="K38">
            <v>0</v>
          </cell>
          <cell r="L38">
            <v>0</v>
          </cell>
        </row>
        <row r="39">
          <cell r="B39">
            <v>0</v>
          </cell>
          <cell r="C39">
            <v>31161</v>
          </cell>
          <cell r="D39">
            <v>0</v>
          </cell>
          <cell r="E39">
            <v>66146949</v>
          </cell>
          <cell r="F39">
            <v>0</v>
          </cell>
          <cell r="G39">
            <v>0</v>
          </cell>
          <cell r="H39">
            <v>0</v>
          </cell>
          <cell r="K39">
            <v>0</v>
          </cell>
          <cell r="L39">
            <v>0</v>
          </cell>
        </row>
        <row r="43">
          <cell r="B43">
            <v>-64093276</v>
          </cell>
          <cell r="C43">
            <v>-1068444</v>
          </cell>
          <cell r="D43">
            <v>-0.4699999988079071</v>
          </cell>
          <cell r="E43">
            <v>65161720.469999999</v>
          </cell>
          <cell r="F43">
            <v>0</v>
          </cell>
          <cell r="G43">
            <v>0</v>
          </cell>
          <cell r="H43">
            <v>0</v>
          </cell>
          <cell r="K43">
            <v>0</v>
          </cell>
          <cell r="L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K44">
            <v>0</v>
          </cell>
          <cell r="L44">
            <v>0</v>
          </cell>
        </row>
        <row r="45">
          <cell r="B45">
            <v>-3744627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3744627</v>
          </cell>
          <cell r="H45">
            <v>0</v>
          </cell>
          <cell r="K45">
            <v>0</v>
          </cell>
          <cell r="L45">
            <v>0</v>
          </cell>
        </row>
        <row r="46">
          <cell r="B46">
            <v>-35335472</v>
          </cell>
          <cell r="C46">
            <v>-1410573</v>
          </cell>
          <cell r="D46">
            <v>-3024654</v>
          </cell>
          <cell r="E46">
            <v>39770699</v>
          </cell>
          <cell r="F46">
            <v>0</v>
          </cell>
          <cell r="G46">
            <v>0</v>
          </cell>
          <cell r="H46">
            <v>0</v>
          </cell>
          <cell r="K46">
            <v>0</v>
          </cell>
          <cell r="L46">
            <v>0</v>
          </cell>
        </row>
        <row r="47">
          <cell r="B47">
            <v>59923739</v>
          </cell>
          <cell r="C47">
            <v>0</v>
          </cell>
          <cell r="D47">
            <v>85022359</v>
          </cell>
          <cell r="E47">
            <v>0</v>
          </cell>
          <cell r="F47">
            <v>0</v>
          </cell>
          <cell r="G47">
            <v>-144946098</v>
          </cell>
          <cell r="H47">
            <v>0</v>
          </cell>
          <cell r="K47">
            <v>0</v>
          </cell>
          <cell r="L47">
            <v>0</v>
          </cell>
        </row>
        <row r="48">
          <cell r="B48">
            <v>66379895</v>
          </cell>
          <cell r="C48">
            <v>0</v>
          </cell>
          <cell r="D48">
            <v>-66379895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K48">
            <v>0</v>
          </cell>
          <cell r="L48">
            <v>0</v>
          </cell>
        </row>
        <row r="49">
          <cell r="B49">
            <v>-164199040</v>
          </cell>
          <cell r="C49">
            <v>-44431275</v>
          </cell>
          <cell r="D49">
            <v>51104359</v>
          </cell>
          <cell r="E49">
            <v>176356628</v>
          </cell>
          <cell r="F49">
            <v>-30068949</v>
          </cell>
          <cell r="G49">
            <v>11238276</v>
          </cell>
          <cell r="H49">
            <v>0</v>
          </cell>
          <cell r="K49">
            <v>0</v>
          </cell>
          <cell r="L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K50">
            <v>0</v>
          </cell>
          <cell r="L50">
            <v>0</v>
          </cell>
        </row>
        <row r="51">
          <cell r="B51">
            <v>-29853122</v>
          </cell>
          <cell r="C51">
            <v>-292391</v>
          </cell>
          <cell r="D51">
            <v>41322642.469999999</v>
          </cell>
          <cell r="E51">
            <v>-188735345.47</v>
          </cell>
          <cell r="F51">
            <v>177558216</v>
          </cell>
          <cell r="G51">
            <v>0</v>
          </cell>
          <cell r="H51">
            <v>0</v>
          </cell>
          <cell r="K51">
            <v>0</v>
          </cell>
          <cell r="L51">
            <v>0</v>
          </cell>
        </row>
        <row r="53">
          <cell r="G53">
            <v>0</v>
          </cell>
          <cell r="K53">
            <v>0</v>
          </cell>
        </row>
        <row r="54"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K54">
            <v>0</v>
          </cell>
        </row>
        <row r="55">
          <cell r="B55">
            <v>0</v>
          </cell>
          <cell r="C55">
            <v>-140471812.86000001</v>
          </cell>
          <cell r="D55">
            <v>963048994</v>
          </cell>
          <cell r="E55">
            <v>225614739</v>
          </cell>
          <cell r="F55">
            <v>1052503188</v>
          </cell>
          <cell r="G55">
            <v>1330010257</v>
          </cell>
          <cell r="H55">
            <v>-12796673</v>
          </cell>
          <cell r="K55">
            <v>1966794501</v>
          </cell>
          <cell r="L55">
            <v>2077884616</v>
          </cell>
        </row>
        <row r="60">
          <cell r="B60">
            <v>0</v>
          </cell>
          <cell r="C60">
            <v>-34786342</v>
          </cell>
          <cell r="D60">
            <v>107712482</v>
          </cell>
          <cell r="E60">
            <v>0</v>
          </cell>
          <cell r="F60">
            <v>0</v>
          </cell>
          <cell r="G60">
            <v>0</v>
          </cell>
          <cell r="H60">
            <v>-17739302</v>
          </cell>
          <cell r="K60">
            <v>0</v>
          </cell>
          <cell r="L60">
            <v>0</v>
          </cell>
        </row>
        <row r="61">
          <cell r="B61">
            <v>0</v>
          </cell>
          <cell r="C61">
            <v>-198364152</v>
          </cell>
          <cell r="D61">
            <v>755557967</v>
          </cell>
          <cell r="E61">
            <v>190994098.56</v>
          </cell>
          <cell r="F61">
            <v>0</v>
          </cell>
          <cell r="G61">
            <v>0</v>
          </cell>
          <cell r="H61">
            <v>4643707</v>
          </cell>
          <cell r="K61">
            <v>0</v>
          </cell>
          <cell r="L61">
            <v>0</v>
          </cell>
        </row>
        <row r="62"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K62">
            <v>53801846</v>
          </cell>
          <cell r="L62">
            <v>25421804</v>
          </cell>
        </row>
        <row r="63"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K63">
            <v>327070130</v>
          </cell>
          <cell r="L63">
            <v>321549324</v>
          </cell>
        </row>
        <row r="64"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K64">
            <v>0</v>
          </cell>
          <cell r="L64">
            <v>0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K65">
            <v>0</v>
          </cell>
          <cell r="L65">
            <v>0</v>
          </cell>
        </row>
        <row r="66">
          <cell r="B66">
            <v>0</v>
          </cell>
          <cell r="C66">
            <v>0</v>
          </cell>
          <cell r="D66">
            <v>214052632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K66">
            <v>0</v>
          </cell>
          <cell r="L66">
            <v>0</v>
          </cell>
        </row>
        <row r="67"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K67">
            <v>54168151</v>
          </cell>
          <cell r="L67">
            <v>88221039</v>
          </cell>
        </row>
        <row r="68"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K68">
            <v>1564419079</v>
          </cell>
          <cell r="L68">
            <v>1807409307</v>
          </cell>
        </row>
        <row r="69"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K69">
            <v>0</v>
          </cell>
          <cell r="L69">
            <v>0</v>
          </cell>
        </row>
        <row r="70"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1337682840</v>
          </cell>
          <cell r="H70">
            <v>0</v>
          </cell>
          <cell r="K70">
            <v>0</v>
          </cell>
          <cell r="L70">
            <v>0</v>
          </cell>
        </row>
        <row r="71"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K71">
            <v>0</v>
          </cell>
          <cell r="L71">
            <v>0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K72">
            <v>0</v>
          </cell>
          <cell r="L72">
            <v>0</v>
          </cell>
        </row>
        <row r="73"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K73">
            <v>0</v>
          </cell>
          <cell r="L73">
            <v>0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86321428.019999996</v>
          </cell>
          <cell r="F74">
            <v>0</v>
          </cell>
          <cell r="G74">
            <v>0</v>
          </cell>
          <cell r="H74">
            <v>0</v>
          </cell>
          <cell r="K74">
            <v>0</v>
          </cell>
          <cell r="L74">
            <v>0</v>
          </cell>
        </row>
        <row r="75"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1036810546</v>
          </cell>
          <cell r="G75">
            <v>0</v>
          </cell>
          <cell r="H75">
            <v>0</v>
          </cell>
          <cell r="K75">
            <v>0</v>
          </cell>
          <cell r="L75">
            <v>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52"/>
  <sheetViews>
    <sheetView zoomScale="85" zoomScaleNormal="85" workbookViewId="0">
      <pane ySplit="5" topLeftCell="A6" activePane="bottomLeft" state="frozen"/>
      <selection activeCell="C1" sqref="C1"/>
      <selection pane="bottomLeft" activeCell="B5" sqref="B5:K6"/>
    </sheetView>
  </sheetViews>
  <sheetFormatPr defaultColWidth="9.1171875" defaultRowHeight="13.7" x14ac:dyDescent="0.4"/>
  <cols>
    <col min="1" max="1" width="4.703125" style="136" customWidth="1"/>
    <col min="2" max="2" width="35.5859375" style="137" customWidth="1"/>
    <col min="3" max="3" width="15.41015625" style="137" bestFit="1" customWidth="1"/>
    <col min="4" max="4" width="14.41015625" style="137" bestFit="1" customWidth="1"/>
    <col min="5" max="5" width="2.87890625" style="137" bestFit="1" customWidth="1"/>
    <col min="6" max="6" width="14.5859375" style="137" bestFit="1" customWidth="1"/>
    <col min="7" max="7" width="2.703125" style="137" bestFit="1" customWidth="1"/>
    <col min="8" max="8" width="14.703125" style="137" bestFit="1" customWidth="1"/>
    <col min="9" max="9" width="2.703125" style="137" bestFit="1" customWidth="1"/>
    <col min="10" max="10" width="15.41015625" style="137" bestFit="1" customWidth="1"/>
    <col min="11" max="11" width="15.41015625" style="137" customWidth="1"/>
    <col min="12" max="12" width="15.5859375" style="137" bestFit="1" customWidth="1"/>
    <col min="13" max="13" width="17.5859375" style="137" customWidth="1"/>
    <col min="14" max="14" width="2.87890625" style="137" bestFit="1" customWidth="1"/>
    <col min="15" max="17" width="16.29296875" style="137" customWidth="1"/>
    <col min="18" max="18" width="3" style="137" customWidth="1"/>
    <col min="19" max="20" width="14.703125" style="137" customWidth="1"/>
    <col min="21" max="21" width="14.703125" style="137" bestFit="1" customWidth="1"/>
    <col min="22" max="22" width="14.5859375" style="137" bestFit="1" customWidth="1"/>
    <col min="23" max="23" width="3.87890625" style="137" customWidth="1"/>
    <col min="24" max="16384" width="9.1171875" style="137"/>
  </cols>
  <sheetData>
    <row r="1" spans="1:23" ht="16.350000000000001" x14ac:dyDescent="0.5">
      <c r="A1" s="152" t="s">
        <v>131</v>
      </c>
    </row>
    <row r="2" spans="1:23" x14ac:dyDescent="0.4">
      <c r="A2" s="136" t="s">
        <v>132</v>
      </c>
    </row>
    <row r="3" spans="1:23" x14ac:dyDescent="0.4">
      <c r="A3" s="136" t="s">
        <v>133</v>
      </c>
    </row>
    <row r="4" spans="1:23" ht="14" thickBot="1" x14ac:dyDescent="0.45">
      <c r="S4" s="151"/>
      <c r="T4" s="151"/>
      <c r="U4" s="151"/>
    </row>
    <row r="5" spans="1:23" ht="27.35" x14ac:dyDescent="0.4">
      <c r="B5" s="154"/>
      <c r="C5" s="155" t="s">
        <v>134</v>
      </c>
      <c r="D5" s="155">
        <v>2008</v>
      </c>
      <c r="E5" s="155"/>
      <c r="F5" s="155">
        <v>2009</v>
      </c>
      <c r="G5" s="155"/>
      <c r="H5" s="155">
        <v>2010</v>
      </c>
      <c r="I5" s="155"/>
      <c r="J5" s="155">
        <v>2011</v>
      </c>
      <c r="K5" s="155">
        <v>2012</v>
      </c>
      <c r="L5" s="155">
        <v>2013</v>
      </c>
      <c r="M5" s="155">
        <v>2014</v>
      </c>
      <c r="N5" s="155"/>
      <c r="O5" s="155">
        <v>2015</v>
      </c>
      <c r="P5" s="155">
        <v>2016</v>
      </c>
      <c r="Q5" s="155">
        <v>2017</v>
      </c>
      <c r="R5" s="222"/>
      <c r="S5" s="155">
        <v>2018</v>
      </c>
      <c r="T5" s="155">
        <v>2019</v>
      </c>
      <c r="U5" s="155">
        <v>2020</v>
      </c>
      <c r="V5" s="155">
        <v>2021</v>
      </c>
      <c r="W5" s="156"/>
    </row>
    <row r="6" spans="1:23" x14ac:dyDescent="0.4">
      <c r="B6" s="232" t="s">
        <v>130</v>
      </c>
      <c r="C6" s="233">
        <f>'FY''07 PL'!M32/1000</f>
        <v>2523525</v>
      </c>
      <c r="D6" s="233">
        <f>'FY''08 PL'!M32/1000</f>
        <v>1902376</v>
      </c>
      <c r="E6" s="234" t="s">
        <v>146</v>
      </c>
      <c r="F6" s="233">
        <f>'FY''09 PL'!M33/1000</f>
        <v>1321283</v>
      </c>
      <c r="G6" s="234" t="s">
        <v>146</v>
      </c>
      <c r="H6" s="233">
        <f>'FY''10 PL'!M33/1000</f>
        <v>3129147.1195239997</v>
      </c>
      <c r="I6" s="234"/>
      <c r="J6" s="233">
        <f>'FY''11  PL'!M33/1000</f>
        <v>3922665</v>
      </c>
      <c r="K6" s="233">
        <f>'FY''12 PL'!M33/1000</f>
        <v>3233714</v>
      </c>
      <c r="L6" s="233">
        <f>'FY''13 PL'!M33/1000</f>
        <v>3861467</v>
      </c>
      <c r="M6" s="233">
        <f>'FY''14 PL'!M33/1000</f>
        <v>4760460</v>
      </c>
      <c r="N6" s="234" t="s">
        <v>149</v>
      </c>
      <c r="O6" s="233">
        <f>'FY''15 PL'!M33/1000</f>
        <v>4242714</v>
      </c>
      <c r="P6" s="233">
        <f>'FY''16 PL'!M33/1000</f>
        <v>4336854</v>
      </c>
      <c r="Q6" s="233">
        <f>'FY7 PL'!M33/1000</f>
        <v>5268465</v>
      </c>
      <c r="R6" s="235"/>
      <c r="S6" s="233">
        <f>(Q6*0.035)+Q6</f>
        <v>5452861.2750000004</v>
      </c>
      <c r="T6" s="233">
        <f>(S6*0.035)+S6</f>
        <v>5643711.4196250001</v>
      </c>
      <c r="U6" s="233">
        <f>(T6*0.035)+T6</f>
        <v>5841241.3193118749</v>
      </c>
      <c r="V6" s="233">
        <f>(U6*0.035)+U6</f>
        <v>6045684.7654877901</v>
      </c>
    </row>
    <row r="7" spans="1:23" x14ac:dyDescent="0.4">
      <c r="B7" s="137" t="s">
        <v>152</v>
      </c>
      <c r="D7" s="139">
        <f>(D6-C6)/C6</f>
        <v>-0.24614339069357347</v>
      </c>
      <c r="E7" s="139"/>
      <c r="F7" s="139">
        <f>(F6-D6)/D6</f>
        <v>-0.30545643973641384</v>
      </c>
      <c r="G7" s="139"/>
      <c r="H7" s="139">
        <f>(H6-F6)/F6</f>
        <v>1.3682641186816147</v>
      </c>
      <c r="I7" s="139"/>
      <c r="J7" s="139">
        <f>(J6-H6)/H6</f>
        <v>0.25358918905567751</v>
      </c>
      <c r="K7" s="139">
        <f>(K6-J6)/J6</f>
        <v>-0.17563340229155433</v>
      </c>
      <c r="L7" s="139">
        <f>(L6-K6)/K6</f>
        <v>0.19412755735355694</v>
      </c>
      <c r="M7" s="139">
        <f>(M6-L6)/L6</f>
        <v>0.23281126059085835</v>
      </c>
      <c r="N7" s="139"/>
      <c r="O7" s="139">
        <f>(O6-M6)/M6</f>
        <v>-0.10875965768014015</v>
      </c>
      <c r="P7" s="139">
        <f t="shared" ref="P7" si="0">(P6-O6)/O6</f>
        <v>2.2188627373893221E-2</v>
      </c>
      <c r="Q7" s="139">
        <f>(Q6-P6)/P6</f>
        <v>0.21481262684886326</v>
      </c>
      <c r="R7" s="146"/>
      <c r="S7" s="139">
        <f>(S6-Q6)/Q6</f>
        <v>3.5000000000000073E-2</v>
      </c>
      <c r="T7" s="139">
        <f>(T6-S6)/S6</f>
        <v>3.4999999999999948E-2</v>
      </c>
      <c r="U7" s="139">
        <f>(U6-T6)/T6</f>
        <v>3.4999999999999969E-2</v>
      </c>
      <c r="V7" s="139">
        <f>(V6-U6)/U6</f>
        <v>3.4999999999999927E-2</v>
      </c>
      <c r="W7" s="150" t="s">
        <v>151</v>
      </c>
    </row>
    <row r="8" spans="1:23" x14ac:dyDescent="0.4">
      <c r="J8" s="140"/>
      <c r="K8" s="140"/>
      <c r="L8" s="148"/>
      <c r="M8" s="148"/>
      <c r="N8" s="148"/>
      <c r="O8" s="148"/>
      <c r="P8" s="149" t="s">
        <v>210</v>
      </c>
      <c r="Q8" s="221">
        <f>(Q6/C6)^(1/(11-1))-1</f>
        <v>7.6385029150537243E-2</v>
      </c>
      <c r="R8" s="223">
        <v>1</v>
      </c>
    </row>
    <row r="9" spans="1:23" x14ac:dyDescent="0.4">
      <c r="B9" s="136" t="s">
        <v>213</v>
      </c>
      <c r="L9" s="177"/>
      <c r="M9" s="177"/>
      <c r="N9" s="177"/>
      <c r="O9" s="178"/>
      <c r="P9" s="179"/>
      <c r="Q9" s="180"/>
      <c r="R9" s="146"/>
    </row>
    <row r="10" spans="1:23" x14ac:dyDescent="0.4">
      <c r="B10" s="137" t="s">
        <v>214</v>
      </c>
      <c r="C10" s="216">
        <f>-'Revenues (AA)'!F58</f>
        <v>0</v>
      </c>
      <c r="D10" s="216">
        <f>-'Revenues (AA)'!F59</f>
        <v>0</v>
      </c>
      <c r="E10" s="217"/>
      <c r="F10" s="216">
        <f>-'Revenues (AA)'!F60</f>
        <v>-101559</v>
      </c>
      <c r="G10" s="216"/>
      <c r="H10" s="216">
        <f>-'Revenues (AA)'!F61</f>
        <v>-592668.76</v>
      </c>
      <c r="I10" s="216"/>
      <c r="J10" s="216">
        <f>-'Revenues (AA)'!F62</f>
        <v>-684978</v>
      </c>
      <c r="K10" s="216">
        <f>-'Revenues (AA)'!E63</f>
        <v>-977160</v>
      </c>
      <c r="L10" s="218">
        <f>-'Revenues (AA)'!F64</f>
        <v>-823834</v>
      </c>
      <c r="M10" s="218">
        <f>-'Revenues (AA)'!F65</f>
        <v>-1027459</v>
      </c>
      <c r="N10" s="218"/>
      <c r="O10" s="218">
        <f>-'Revenues (AA)'!F66</f>
        <v>-1167317</v>
      </c>
      <c r="P10" s="220">
        <f>-'Revenues (AA)'!F67</f>
        <v>-1322537</v>
      </c>
      <c r="Q10" s="218">
        <f>-'Revenues (AA)'!F68</f>
        <v>-1407150</v>
      </c>
      <c r="R10" s="146"/>
      <c r="S10" s="211"/>
      <c r="T10" s="211"/>
      <c r="U10" s="211"/>
      <c r="V10" s="211"/>
    </row>
    <row r="11" spans="1:23" x14ac:dyDescent="0.4">
      <c r="B11" s="136" t="s">
        <v>182</v>
      </c>
      <c r="C11" s="219">
        <f>C6+C10</f>
        <v>2523525</v>
      </c>
      <c r="D11" s="219">
        <f>D6+D10</f>
        <v>1902376</v>
      </c>
      <c r="F11" s="219">
        <f>F6+F10</f>
        <v>1219724</v>
      </c>
      <c r="H11" s="219">
        <f>H6+H10</f>
        <v>2536478.3595239995</v>
      </c>
      <c r="J11" s="219">
        <f>J6+J10</f>
        <v>3237687</v>
      </c>
      <c r="K11" s="219">
        <f>K6+K10</f>
        <v>2256554</v>
      </c>
      <c r="L11" s="219">
        <f>L6+L10</f>
        <v>3037633</v>
      </c>
      <c r="M11" s="219">
        <f>M6+M10</f>
        <v>3733001</v>
      </c>
      <c r="N11" s="177"/>
      <c r="O11" s="219">
        <f>O6+O10</f>
        <v>3075397</v>
      </c>
      <c r="P11" s="219">
        <f>P6+P10</f>
        <v>3014317</v>
      </c>
      <c r="Q11" s="219">
        <f>Q6+Q10</f>
        <v>3861315</v>
      </c>
      <c r="R11" s="146"/>
      <c r="S11" s="219">
        <f>'Graphs '!C120</f>
        <v>6738340.8782968521</v>
      </c>
      <c r="T11" s="219">
        <f>'Graphs '!C121</f>
        <v>7023048.7570146322</v>
      </c>
      <c r="U11" s="219">
        <f>'Graphs '!C122</f>
        <v>7307756.6357324123</v>
      </c>
      <c r="V11" s="219">
        <f>'Graphs '!C123</f>
        <v>7592464.5144501925</v>
      </c>
      <c r="W11" s="224" t="s">
        <v>207</v>
      </c>
    </row>
    <row r="12" spans="1:23" x14ac:dyDescent="0.4">
      <c r="L12" s="139"/>
      <c r="M12" s="177"/>
      <c r="N12" s="148"/>
      <c r="O12" s="148"/>
      <c r="P12" s="149" t="s">
        <v>225</v>
      </c>
      <c r="Q12" s="221">
        <f>(Q11/C11)^(1/(11-1))-1</f>
        <v>4.3452687745376029E-2</v>
      </c>
      <c r="R12" s="146"/>
    </row>
    <row r="13" spans="1:23" x14ac:dyDescent="0.4">
      <c r="B13" s="136" t="s">
        <v>215</v>
      </c>
      <c r="L13" s="177"/>
      <c r="M13" s="177"/>
      <c r="N13" s="177"/>
      <c r="O13" s="178"/>
      <c r="P13" s="179"/>
      <c r="Q13" s="180"/>
      <c r="R13" s="146"/>
      <c r="U13" s="190"/>
      <c r="V13" s="138"/>
    </row>
    <row r="14" spans="1:23" x14ac:dyDescent="0.4">
      <c r="B14" s="137" t="s">
        <v>181</v>
      </c>
      <c r="C14" s="216">
        <f>-'Revenues (AA)'!H58</f>
        <v>-363599</v>
      </c>
      <c r="D14" s="216">
        <f>-'Revenues (AA)'!H59</f>
        <v>-410105</v>
      </c>
      <c r="E14" s="217"/>
      <c r="F14" s="216">
        <f>-'Revenues (AA)'!H60</f>
        <v>-392898</v>
      </c>
      <c r="G14" s="216"/>
      <c r="H14" s="216">
        <f>-'Revenues (AA)'!H61</f>
        <v>-491308.39721000002</v>
      </c>
      <c r="I14" s="216"/>
      <c r="J14" s="216">
        <f>-'Revenues (AA)'!H62</f>
        <v>-681267</v>
      </c>
      <c r="K14" s="216">
        <f>-'Revenues (AA)'!H63</f>
        <v>-527910</v>
      </c>
      <c r="L14" s="218">
        <f>-'Revenues (AA)'!H64</f>
        <v>-550151</v>
      </c>
      <c r="M14" s="218">
        <f>-'Revenues (AA)'!H65</f>
        <v>-716275</v>
      </c>
      <c r="N14" s="218"/>
      <c r="O14" s="218">
        <f>-'Revenues (AA)'!H66</f>
        <v>-537765</v>
      </c>
      <c r="P14" s="220">
        <f>-'Revenues (AA)'!H67</f>
        <v>-604946</v>
      </c>
      <c r="Q14" s="218">
        <f>-'Revenues (AA)'!H68</f>
        <v>-610009</v>
      </c>
      <c r="R14" s="146"/>
      <c r="U14" s="190"/>
      <c r="V14" s="138"/>
    </row>
    <row r="15" spans="1:23" x14ac:dyDescent="0.4">
      <c r="B15" s="137" t="s">
        <v>182</v>
      </c>
      <c r="C15" s="219">
        <f>C6+C14</f>
        <v>2159926</v>
      </c>
      <c r="D15" s="219">
        <f>D6+D14</f>
        <v>1492271</v>
      </c>
      <c r="F15" s="219">
        <f>F6+F14</f>
        <v>928385</v>
      </c>
      <c r="H15" s="219">
        <f>H6+H14</f>
        <v>2637838.7223139997</v>
      </c>
      <c r="J15" s="219">
        <f>J6+J14</f>
        <v>3241398</v>
      </c>
      <c r="K15" s="219">
        <f>K6+K14</f>
        <v>2705804</v>
      </c>
      <c r="L15" s="219">
        <f>L6+L14</f>
        <v>3311316</v>
      </c>
      <c r="M15" s="219">
        <f>M6+M14</f>
        <v>4044185</v>
      </c>
      <c r="N15" s="177"/>
      <c r="O15" s="219">
        <f>O6+O14</f>
        <v>3704949</v>
      </c>
      <c r="P15" s="219">
        <f>P6+P14</f>
        <v>3731908</v>
      </c>
      <c r="Q15" s="219">
        <f>Q6+Q14</f>
        <v>4658456</v>
      </c>
      <c r="R15" s="146"/>
      <c r="U15" s="138"/>
    </row>
    <row r="16" spans="1:23" x14ac:dyDescent="0.4">
      <c r="L16" s="139"/>
      <c r="M16" s="177"/>
      <c r="N16" s="177"/>
      <c r="O16" s="148"/>
      <c r="P16" s="149" t="s">
        <v>226</v>
      </c>
      <c r="Q16" s="221">
        <f>(Q15/C15)^(1/(11-1))-1</f>
        <v>7.9891971874805012E-2</v>
      </c>
      <c r="R16" s="146"/>
    </row>
    <row r="17" spans="2:23" x14ac:dyDescent="0.4">
      <c r="B17" s="136" t="s">
        <v>212</v>
      </c>
      <c r="L17" s="177"/>
      <c r="M17" s="177"/>
      <c r="N17" s="177"/>
      <c r="O17" s="178"/>
      <c r="P17" s="179"/>
      <c r="Q17" s="180"/>
      <c r="R17" s="146"/>
    </row>
    <row r="18" spans="2:23" x14ac:dyDescent="0.4">
      <c r="B18" s="137" t="s">
        <v>202</v>
      </c>
      <c r="C18" s="216">
        <f>-'10 Years AFS- Cmbd'!B6/1000</f>
        <v>-513379</v>
      </c>
      <c r="D18" s="216">
        <f>-'10 Years AFS- Cmbd'!C6/1000</f>
        <v>159455</v>
      </c>
      <c r="E18" s="217"/>
      <c r="F18" s="216">
        <f>-'10 Years AFS- Cmbd'!D6/1000</f>
        <v>903089</v>
      </c>
      <c r="G18" s="216"/>
      <c r="H18" s="216">
        <f>-'10 Years AFS- Cmbd'!E6/1000</f>
        <v>-296455.44900000002</v>
      </c>
      <c r="I18" s="216"/>
      <c r="J18" s="216">
        <f>-'10 Years AFS- Cmbd'!F6/1000</f>
        <v>-624958</v>
      </c>
      <c r="K18" s="216">
        <f>-'10 Years AFS- Cmbd'!G6/1000</f>
        <v>60396</v>
      </c>
      <c r="L18" s="218">
        <f>-'10 Years AFS- Cmbd'!H6/1000</f>
        <v>-350561</v>
      </c>
      <c r="M18" s="218">
        <f>-'10 Years AFS- Cmbd'!I6/1000</f>
        <v>-739337</v>
      </c>
      <c r="N18" s="218"/>
      <c r="O18" s="218">
        <f>-'10 Years AFS- Cmbd'!J6/1000</f>
        <v>-104441</v>
      </c>
      <c r="P18" s="220">
        <f>-'10 Years AFS- Cmbd'!K6/1000</f>
        <v>124740</v>
      </c>
      <c r="Q18" s="218">
        <f>-'10 Years AFS- Cmbd'!L6/1000</f>
        <v>-580909</v>
      </c>
      <c r="R18" s="146"/>
      <c r="S18" s="211"/>
      <c r="T18" s="211"/>
      <c r="U18" s="211"/>
      <c r="V18" s="211"/>
    </row>
    <row r="19" spans="2:23" x14ac:dyDescent="0.4">
      <c r="B19" s="137" t="s">
        <v>182</v>
      </c>
      <c r="C19" s="219">
        <f>C6+C18</f>
        <v>2010146</v>
      </c>
      <c r="D19" s="219">
        <f>D6+D18</f>
        <v>2061831</v>
      </c>
      <c r="F19" s="219">
        <f>F6+F18</f>
        <v>2224372</v>
      </c>
      <c r="H19" s="219">
        <f>H6+H18</f>
        <v>2832691.6705239997</v>
      </c>
      <c r="J19" s="219">
        <f>J6+J18</f>
        <v>3297707</v>
      </c>
      <c r="K19" s="219">
        <f>K6+K18</f>
        <v>3294110</v>
      </c>
      <c r="L19" s="219">
        <f>L6+L18</f>
        <v>3510906</v>
      </c>
      <c r="M19" s="219">
        <f>M6+M18</f>
        <v>4021123</v>
      </c>
      <c r="N19" s="177"/>
      <c r="O19" s="219">
        <f>O6+O18</f>
        <v>4138273</v>
      </c>
      <c r="P19" s="219">
        <f>P6+P18</f>
        <v>4461594</v>
      </c>
      <c r="Q19" s="219">
        <f>Q6+Q18</f>
        <v>4687556</v>
      </c>
      <c r="R19" s="146"/>
      <c r="S19" s="219">
        <f>'Graphs '!C114</f>
        <v>5030093.6059905291</v>
      </c>
      <c r="T19" s="219">
        <f>'Graphs '!C115</f>
        <v>5314801.4847083092</v>
      </c>
      <c r="U19" s="219">
        <f>'Graphs '!C116</f>
        <v>5599509.3634259701</v>
      </c>
      <c r="V19" s="219">
        <f>'Graphs '!C117</f>
        <v>5884217.242143631</v>
      </c>
      <c r="W19" s="224" t="s">
        <v>207</v>
      </c>
    </row>
    <row r="20" spans="2:23" x14ac:dyDescent="0.4">
      <c r="B20" s="136"/>
      <c r="L20" s="177"/>
      <c r="M20" s="177"/>
      <c r="N20" s="177"/>
      <c r="O20" s="148"/>
      <c r="P20" s="149" t="s">
        <v>227</v>
      </c>
      <c r="Q20" s="221">
        <f>(Q19/C19)^(1/(11-1))-1</f>
        <v>8.8358282685824019E-2</v>
      </c>
      <c r="R20" s="146"/>
      <c r="T20" s="190"/>
      <c r="U20" s="190"/>
      <c r="V20" s="138"/>
    </row>
    <row r="21" spans="2:23" x14ac:dyDescent="0.4">
      <c r="B21" s="136" t="s">
        <v>216</v>
      </c>
      <c r="R21" s="146"/>
    </row>
    <row r="22" spans="2:23" x14ac:dyDescent="0.4">
      <c r="B22" s="137" t="s">
        <v>217</v>
      </c>
      <c r="C22" s="216">
        <f>C18+C14+C10</f>
        <v>-876978</v>
      </c>
      <c r="D22" s="216">
        <f>D18+D14+D10</f>
        <v>-250650</v>
      </c>
      <c r="E22" s="217"/>
      <c r="F22" s="216">
        <f>F18+F14+F10</f>
        <v>408632</v>
      </c>
      <c r="G22" s="216"/>
      <c r="H22" s="216">
        <f>H18+H14+H10</f>
        <v>-1380432.6062100001</v>
      </c>
      <c r="I22" s="216"/>
      <c r="J22" s="216">
        <f>J18+J14+J10</f>
        <v>-1991203</v>
      </c>
      <c r="K22" s="216">
        <f>K18+K14+K10</f>
        <v>-1444674</v>
      </c>
      <c r="L22" s="218">
        <f>L18+L14+L10</f>
        <v>-1724546</v>
      </c>
      <c r="M22" s="218">
        <f>M18+M14+M10</f>
        <v>-2483071</v>
      </c>
      <c r="N22" s="218"/>
      <c r="O22" s="218">
        <f>O18+O14+O10</f>
        <v>-1809523</v>
      </c>
      <c r="P22" s="220">
        <f>P18+P14+P10</f>
        <v>-1802743</v>
      </c>
      <c r="Q22" s="218">
        <f>Q18+Q14+Q10</f>
        <v>-2598068</v>
      </c>
      <c r="R22" s="146"/>
    </row>
    <row r="23" spans="2:23" x14ac:dyDescent="0.4">
      <c r="B23" s="137" t="s">
        <v>182</v>
      </c>
      <c r="C23" s="219">
        <f>C6+C22</f>
        <v>1646547</v>
      </c>
      <c r="D23" s="219">
        <f>D6+D22</f>
        <v>1651726</v>
      </c>
      <c r="F23" s="219">
        <f>F6+F22</f>
        <v>1729915</v>
      </c>
      <c r="H23" s="219">
        <f>H6+H22</f>
        <v>1748714.5133139996</v>
      </c>
      <c r="J23" s="219">
        <f>J6+J22</f>
        <v>1931462</v>
      </c>
      <c r="K23" s="219">
        <f>K6+K22</f>
        <v>1789040</v>
      </c>
      <c r="L23" s="219">
        <f>L6+L22</f>
        <v>2136921</v>
      </c>
      <c r="M23" s="219">
        <f>M6+M22</f>
        <v>2277389</v>
      </c>
      <c r="O23" s="219">
        <f>O6+O22</f>
        <v>2433191</v>
      </c>
      <c r="P23" s="219">
        <f>P6+P22</f>
        <v>2534111</v>
      </c>
      <c r="Q23" s="219">
        <f>Q6+Q22</f>
        <v>2670397</v>
      </c>
      <c r="R23" s="146"/>
    </row>
    <row r="24" spans="2:23" x14ac:dyDescent="0.4">
      <c r="B24" s="136"/>
      <c r="L24" s="177"/>
      <c r="M24" s="177"/>
      <c r="N24" s="148"/>
      <c r="O24" s="148"/>
      <c r="P24" s="149" t="s">
        <v>225</v>
      </c>
      <c r="Q24" s="221">
        <f>(Q23/C23)^(1/(11-1))-1</f>
        <v>4.9542839353326595E-2</v>
      </c>
      <c r="R24" s="146"/>
      <c r="U24" s="190"/>
      <c r="V24" s="138"/>
    </row>
    <row r="25" spans="2:23" x14ac:dyDescent="0.4">
      <c r="B25" s="136"/>
      <c r="L25" s="177"/>
      <c r="M25" s="177"/>
      <c r="N25" s="178"/>
      <c r="O25" s="178"/>
      <c r="P25" s="179"/>
      <c r="Q25" s="180"/>
      <c r="R25" s="231"/>
      <c r="U25" s="190"/>
      <c r="V25" s="138"/>
    </row>
    <row r="26" spans="2:23" x14ac:dyDescent="0.4">
      <c r="B26" s="232" t="s">
        <v>129</v>
      </c>
      <c r="C26" s="233">
        <f>'FY''07 PL'!M40/1000</f>
        <v>1849344</v>
      </c>
      <c r="D26" s="233">
        <f>'FY''08 PL'!M40/1000</f>
        <v>1933529</v>
      </c>
      <c r="E26" s="233"/>
      <c r="F26" s="233">
        <f>'FY''09 PL'!M40/1000</f>
        <v>2191669</v>
      </c>
      <c r="G26" s="233"/>
      <c r="H26" s="233">
        <f>'FY''10 PL'!M40/1000</f>
        <v>2698272.1779999998</v>
      </c>
      <c r="I26" s="234" t="s">
        <v>147</v>
      </c>
      <c r="J26" s="233">
        <f>'FY''11  PL'!M40/1000</f>
        <v>2930739</v>
      </c>
      <c r="K26" s="233">
        <f>'FY''12 PL'!M40/1000</f>
        <v>3165396</v>
      </c>
      <c r="L26" s="233">
        <f>'FY''13 PL'!M40/1000</f>
        <v>3273784</v>
      </c>
      <c r="M26" s="233">
        <f>'FY''14 PL'!M40/1000</f>
        <v>3682731</v>
      </c>
      <c r="N26" s="233"/>
      <c r="O26" s="233">
        <f>'FY''15 PL'!M40/1000</f>
        <v>3980355</v>
      </c>
      <c r="P26" s="233">
        <f>'FY''16 PL'!M40/1000</f>
        <v>4179379</v>
      </c>
      <c r="Q26" s="233">
        <f>'FY7 PL'!M40/1000</f>
        <v>4370669</v>
      </c>
      <c r="R26" s="235"/>
      <c r="S26" s="233">
        <f>((Q26*0.04)+Q26)-54000</f>
        <v>4491495.76</v>
      </c>
      <c r="T26" s="233">
        <f>((S26*0.04)+S26)-54000</f>
        <v>4617155.5904000001</v>
      </c>
      <c r="U26" s="233">
        <f>(T26*0.04)+T26-54000</f>
        <v>4747841.8140160004</v>
      </c>
      <c r="V26" s="233">
        <f>(U26*0.04)+U26</f>
        <v>4937755.48657664</v>
      </c>
    </row>
    <row r="27" spans="2:23" x14ac:dyDescent="0.4">
      <c r="B27" s="137" t="s">
        <v>153</v>
      </c>
      <c r="D27" s="139">
        <f>(D26-C26)/C26</f>
        <v>4.5521547099944631E-2</v>
      </c>
      <c r="E27" s="139"/>
      <c r="F27" s="139">
        <f>(F26-D26)/D26</f>
        <v>0.13350717780803908</v>
      </c>
      <c r="G27" s="139"/>
      <c r="H27" s="139">
        <f>(H26-F26)/F26</f>
        <v>0.23114949292069187</v>
      </c>
      <c r="I27" s="139"/>
      <c r="J27" s="139">
        <f>(J26-H26)/H26</f>
        <v>8.6153955814905259E-2</v>
      </c>
      <c r="K27" s="139">
        <f>(K26-J26)/J26</f>
        <v>8.0067518806690052E-2</v>
      </c>
      <c r="L27" s="139">
        <f>(L26-K26)/K26</f>
        <v>3.4241529337877476E-2</v>
      </c>
      <c r="M27" s="139">
        <f>(M26-L26)/L26</f>
        <v>0.12491569388817345</v>
      </c>
      <c r="N27" s="147" t="s">
        <v>149</v>
      </c>
      <c r="O27" s="139">
        <f t="shared" ref="O27" si="1">(O26-M26)/M26</f>
        <v>8.0816111738815574E-2</v>
      </c>
      <c r="P27" s="139">
        <f t="shared" ref="P27" si="2">(P26-O26)/O26</f>
        <v>5.000157021170222E-2</v>
      </c>
      <c r="Q27" s="139">
        <f>(Q26-P26)/P26</f>
        <v>4.5769957689886467E-2</v>
      </c>
      <c r="R27" s="146"/>
      <c r="S27" s="139">
        <f>(S26-Q26)/Q26</f>
        <v>2.7644912026053625E-2</v>
      </c>
      <c r="T27" s="139">
        <f>(T26-S26)/S26</f>
        <v>2.7977279087980332E-2</v>
      </c>
      <c r="U27" s="139">
        <f>(U26-T26)/T26</f>
        <v>2.8304487699683186E-2</v>
      </c>
      <c r="V27" s="139">
        <f>(V26-U26)/U26</f>
        <v>3.9999999999999931E-2</v>
      </c>
      <c r="W27" s="150" t="s">
        <v>155</v>
      </c>
    </row>
    <row r="28" spans="2:23" x14ac:dyDescent="0.4">
      <c r="B28" s="136"/>
      <c r="L28" s="177"/>
      <c r="M28" s="178"/>
      <c r="N28" s="178"/>
      <c r="O28" s="148"/>
      <c r="P28" s="149" t="s">
        <v>211</v>
      </c>
      <c r="Q28" s="221">
        <f>(Q26/C26)^(1/(11-1))-1</f>
        <v>8.9815603143889255E-2</v>
      </c>
      <c r="R28" s="223">
        <v>1</v>
      </c>
      <c r="U28" s="190"/>
      <c r="V28" s="138"/>
    </row>
    <row r="29" spans="2:23" x14ac:dyDescent="0.4">
      <c r="B29" s="136" t="s">
        <v>228</v>
      </c>
      <c r="L29" s="177"/>
      <c r="M29" s="177"/>
      <c r="N29" s="177"/>
      <c r="O29" s="178"/>
      <c r="P29" s="179"/>
      <c r="Q29" s="180"/>
      <c r="R29" s="146"/>
    </row>
    <row r="30" spans="2:23" x14ac:dyDescent="0.4">
      <c r="B30" s="137" t="s">
        <v>214</v>
      </c>
      <c r="C30" s="216">
        <f>-'Expenses (AA)'!D39</f>
        <v>-154036</v>
      </c>
      <c r="D30" s="216">
        <f>-'Expenses (AA)'!D40</f>
        <v>-149402</v>
      </c>
      <c r="E30" s="217"/>
      <c r="F30" s="216">
        <f>-'Expenses (AA)'!D41</f>
        <v>-273526</v>
      </c>
      <c r="G30" s="216"/>
      <c r="H30" s="216">
        <f>-'Expenses (AA)'!D42</f>
        <v>-714605.61600000004</v>
      </c>
      <c r="I30" s="216"/>
      <c r="J30" s="216">
        <f>-'Expenses (AA)'!D43</f>
        <v>-799944</v>
      </c>
      <c r="K30" s="216">
        <f>-'Expenses (AA)'!C44</f>
        <v>-2078848</v>
      </c>
      <c r="L30" s="218">
        <f>-'Expenses (AA)'!C45</f>
        <v>-2144565</v>
      </c>
      <c r="M30" s="218">
        <f>-'Expenses (AA)'!C46</f>
        <v>-2312932</v>
      </c>
      <c r="N30" s="218"/>
      <c r="O30" s="218">
        <f>-'Expenses (AA)'!C47</f>
        <v>-2415602</v>
      </c>
      <c r="P30" s="220">
        <f>-'Expenses (AA)'!C48</f>
        <v>-2529214</v>
      </c>
      <c r="Q30" s="218">
        <f>-'Expenses (AA)'!C49</f>
        <v>-2633697</v>
      </c>
      <c r="R30" s="146"/>
      <c r="S30" s="211"/>
      <c r="T30" s="211"/>
      <c r="U30" s="211"/>
      <c r="V30" s="211"/>
    </row>
    <row r="31" spans="2:23" x14ac:dyDescent="0.4">
      <c r="B31" s="136" t="s">
        <v>182</v>
      </c>
      <c r="C31" s="219">
        <f>C26+C30</f>
        <v>1695308</v>
      </c>
      <c r="D31" s="219">
        <f>D26+D30</f>
        <v>1784127</v>
      </c>
      <c r="F31" s="219">
        <f>F26+F30</f>
        <v>1918143</v>
      </c>
      <c r="H31" s="219">
        <f>H26+H30</f>
        <v>1983666.5619999999</v>
      </c>
      <c r="J31" s="219">
        <f>J26+J30</f>
        <v>2130795</v>
      </c>
      <c r="K31" s="219">
        <f>K26+K30</f>
        <v>1086548</v>
      </c>
      <c r="L31" s="219">
        <f>L26+L30</f>
        <v>1129219</v>
      </c>
      <c r="M31" s="219">
        <f>M26+M30</f>
        <v>1369799</v>
      </c>
      <c r="N31" s="177"/>
      <c r="O31" s="219">
        <f>O26+O30</f>
        <v>1564753</v>
      </c>
      <c r="P31" s="219">
        <f>P26+P30</f>
        <v>1650165</v>
      </c>
      <c r="Q31" s="219">
        <f>Q26+Q30</f>
        <v>1736972</v>
      </c>
      <c r="R31" s="146"/>
      <c r="S31" s="219">
        <f>'Graphs '!C140</f>
        <v>0</v>
      </c>
      <c r="T31" s="219">
        <f>'Graphs '!C141</f>
        <v>0</v>
      </c>
      <c r="U31" s="219">
        <f>'Graphs '!C142</f>
        <v>0</v>
      </c>
      <c r="V31" s="219">
        <f>'Graphs '!C143</f>
        <v>0</v>
      </c>
      <c r="W31" s="224" t="s">
        <v>207</v>
      </c>
    </row>
    <row r="32" spans="2:23" x14ac:dyDescent="0.4">
      <c r="L32" s="139"/>
      <c r="M32" s="177"/>
      <c r="N32" s="148"/>
      <c r="O32" s="148"/>
      <c r="P32" s="149" t="s">
        <v>225</v>
      </c>
      <c r="Q32" s="221">
        <f>(Q31/C31)^(1/(11-1))-1</f>
        <v>2.4308429337396298E-3</v>
      </c>
      <c r="R32" s="146"/>
    </row>
    <row r="33" spans="1:21" x14ac:dyDescent="0.4">
      <c r="C33" s="190" t="s">
        <v>222</v>
      </c>
      <c r="D33" s="190" t="s">
        <v>224</v>
      </c>
      <c r="E33" s="190"/>
      <c r="F33" s="190" t="s">
        <v>223</v>
      </c>
    </row>
    <row r="34" spans="1:21" x14ac:dyDescent="0.4">
      <c r="B34" s="137" t="s">
        <v>220</v>
      </c>
      <c r="C34" s="230">
        <v>3.5000000000000003E-2</v>
      </c>
      <c r="D34" s="140">
        <f>Q8</f>
        <v>7.6385029150537243E-2</v>
      </c>
      <c r="F34" s="140">
        <f>Q24</f>
        <v>4.9542839353326595E-2</v>
      </c>
    </row>
    <row r="35" spans="1:21" x14ac:dyDescent="0.4">
      <c r="B35" s="137" t="s">
        <v>221</v>
      </c>
      <c r="C35" s="230">
        <v>0.04</v>
      </c>
      <c r="D35" s="140">
        <f>Q28</f>
        <v>8.9815603143889255E-2</v>
      </c>
      <c r="F35" s="140"/>
    </row>
    <row r="38" spans="1:21" x14ac:dyDescent="0.4">
      <c r="B38" s="136"/>
      <c r="L38" s="177"/>
      <c r="U38" s="138"/>
    </row>
    <row r="39" spans="1:21" x14ac:dyDescent="0.4">
      <c r="B39" s="136"/>
      <c r="L39" s="177"/>
      <c r="U39" s="138"/>
    </row>
    <row r="40" spans="1:21" x14ac:dyDescent="0.4">
      <c r="B40" s="136"/>
      <c r="L40" s="177"/>
      <c r="U40" s="138"/>
    </row>
    <row r="41" spans="1:21" x14ac:dyDescent="0.4">
      <c r="B41" s="136"/>
      <c r="L41" s="177"/>
      <c r="U41" s="138"/>
    </row>
    <row r="42" spans="1:21" x14ac:dyDescent="0.4">
      <c r="A42" s="153" t="s">
        <v>148</v>
      </c>
      <c r="U42" s="138"/>
    </row>
    <row r="43" spans="1:21" x14ac:dyDescent="0.4">
      <c r="A43" s="147" t="s">
        <v>146</v>
      </c>
      <c r="B43" s="137" t="s">
        <v>204</v>
      </c>
      <c r="T43" s="199"/>
      <c r="U43" s="138"/>
    </row>
    <row r="44" spans="1:21" x14ac:dyDescent="0.4">
      <c r="A44" s="147" t="s">
        <v>147</v>
      </c>
      <c r="B44" s="137" t="s">
        <v>156</v>
      </c>
      <c r="T44" s="199"/>
      <c r="U44" s="138"/>
    </row>
    <row r="45" spans="1:21" x14ac:dyDescent="0.4">
      <c r="A45" s="147" t="s">
        <v>149</v>
      </c>
      <c r="B45" s="137" t="s">
        <v>150</v>
      </c>
      <c r="T45" s="199"/>
      <c r="U45" s="138"/>
    </row>
    <row r="46" spans="1:21" x14ac:dyDescent="0.4">
      <c r="A46" s="147" t="s">
        <v>151</v>
      </c>
      <c r="B46" s="137" t="s">
        <v>203</v>
      </c>
      <c r="T46" s="199"/>
      <c r="U46" s="138"/>
    </row>
    <row r="47" spans="1:21" ht="14.25" customHeight="1" x14ac:dyDescent="0.4">
      <c r="A47" s="147" t="s">
        <v>155</v>
      </c>
      <c r="B47" s="294" t="s">
        <v>157</v>
      </c>
      <c r="C47" s="294"/>
      <c r="D47" s="294"/>
      <c r="E47" s="294"/>
      <c r="F47" s="294"/>
      <c r="G47" s="294"/>
      <c r="H47" s="294"/>
      <c r="I47" s="294"/>
      <c r="J47" s="294"/>
      <c r="T47" s="199"/>
      <c r="U47" s="138"/>
    </row>
    <row r="48" spans="1:21" x14ac:dyDescent="0.4">
      <c r="B48" s="294"/>
      <c r="C48" s="294"/>
      <c r="D48" s="294"/>
      <c r="E48" s="294"/>
      <c r="F48" s="294"/>
      <c r="G48" s="294"/>
      <c r="H48" s="294"/>
      <c r="I48" s="294"/>
      <c r="J48" s="294"/>
      <c r="T48" s="199"/>
      <c r="U48" s="138"/>
    </row>
    <row r="49" spans="1:21" x14ac:dyDescent="0.4">
      <c r="T49" s="199"/>
      <c r="U49" s="138"/>
    </row>
    <row r="50" spans="1:21" x14ac:dyDescent="0.4">
      <c r="A50" s="147">
        <v>1</v>
      </c>
      <c r="B50" s="137" t="s">
        <v>218</v>
      </c>
      <c r="T50" s="199"/>
      <c r="U50" s="138"/>
    </row>
    <row r="51" spans="1:21" x14ac:dyDescent="0.4">
      <c r="A51" s="147">
        <v>2</v>
      </c>
      <c r="B51" s="137" t="s">
        <v>219</v>
      </c>
    </row>
    <row r="52" spans="1:21" x14ac:dyDescent="0.4">
      <c r="A52" s="147"/>
    </row>
  </sheetData>
  <mergeCells count="1">
    <mergeCell ref="B47:J48"/>
  </mergeCells>
  <pageMargins left="0.7" right="0.7" top="0.75" bottom="0.75" header="0.3" footer="0.3"/>
  <pageSetup scale="4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268"/>
  <sheetViews>
    <sheetView showZeros="0" topLeftCell="A8" workbookViewId="0">
      <pane xSplit="1" ySplit="6" topLeftCell="B14" activePane="bottomRight" state="frozen"/>
      <selection activeCell="A8" sqref="A8"/>
      <selection pane="topRight" activeCell="B8" sqref="B8"/>
      <selection pane="bottomLeft" activeCell="A14" sqref="A14"/>
      <selection pane="bottomRight" activeCell="J28" sqref="J28"/>
    </sheetView>
  </sheetViews>
  <sheetFormatPr defaultColWidth="9.1171875" defaultRowHeight="10.35" x14ac:dyDescent="0.35"/>
  <cols>
    <col min="1" max="1" width="35.87890625" style="1" customWidth="1"/>
    <col min="2" max="9" width="15.29296875" style="1" customWidth="1"/>
    <col min="10" max="10" width="2.41015625" style="2" customWidth="1"/>
    <col min="11" max="12" width="14.41015625" style="1" customWidth="1"/>
    <col min="13" max="13" width="16.1171875" style="1" customWidth="1"/>
    <col min="14" max="14" width="12.703125" style="1" customWidth="1"/>
    <col min="15" max="15" width="13.1171875" style="1" customWidth="1"/>
    <col min="16" max="20" width="12.703125" style="1" customWidth="1"/>
    <col min="21" max="21" width="13.1171875" style="1" customWidth="1"/>
    <col min="22" max="22" width="12.703125" style="1" customWidth="1"/>
    <col min="23" max="27" width="11.87890625" style="1" customWidth="1"/>
    <col min="28" max="32" width="15.29296875" style="1" customWidth="1"/>
    <col min="33" max="16384" width="9.1171875" style="1"/>
  </cols>
  <sheetData>
    <row r="1" spans="1:26" x14ac:dyDescent="0.35">
      <c r="A1" s="2"/>
    </row>
    <row r="3" spans="1:26" x14ac:dyDescent="0.35">
      <c r="M3" s="2"/>
    </row>
    <row r="4" spans="1:26" x14ac:dyDescent="0.35">
      <c r="M4" s="2"/>
    </row>
    <row r="5" spans="1:26" x14ac:dyDescent="0.35">
      <c r="B5" s="2"/>
      <c r="I5" s="82"/>
      <c r="J5" s="81"/>
      <c r="K5" s="81"/>
      <c r="L5" s="81"/>
      <c r="M5" s="68" t="s">
        <v>87</v>
      </c>
    </row>
    <row r="6" spans="1:26" ht="9.75" customHeight="1" thickBot="1" x14ac:dyDescent="0.4">
      <c r="A6" s="2"/>
      <c r="B6" s="2"/>
      <c r="C6" s="133"/>
      <c r="D6" s="70"/>
      <c r="E6" s="71"/>
      <c r="F6" s="70"/>
      <c r="G6" s="70"/>
      <c r="H6" s="71"/>
      <c r="I6" s="80"/>
      <c r="J6" s="80"/>
      <c r="K6" s="80"/>
      <c r="L6" s="80"/>
      <c r="M6" s="79" t="s">
        <v>114</v>
      </c>
      <c r="N6" s="2"/>
      <c r="O6" s="2"/>
      <c r="P6" s="2"/>
      <c r="Q6" s="2"/>
      <c r="R6" s="2"/>
      <c r="S6" s="2"/>
      <c r="T6" s="2"/>
      <c r="U6" s="2"/>
      <c r="V6" s="2"/>
      <c r="W6" s="2"/>
    </row>
    <row r="7" spans="1:26" ht="9.75" customHeight="1" x14ac:dyDescent="0.35">
      <c r="A7" s="2"/>
      <c r="B7" s="78"/>
      <c r="C7" s="133"/>
      <c r="D7" s="70"/>
      <c r="E7" s="71"/>
      <c r="F7" s="70"/>
      <c r="G7" s="70"/>
      <c r="H7" s="71"/>
      <c r="I7" s="63"/>
      <c r="J7" s="63"/>
      <c r="K7" s="63"/>
      <c r="L7" s="63"/>
      <c r="M7" s="77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6" ht="9.75" customHeight="1" x14ac:dyDescent="0.35">
      <c r="A8" s="2"/>
      <c r="B8" s="78" t="s">
        <v>73</v>
      </c>
      <c r="C8" s="133"/>
      <c r="D8" s="70"/>
      <c r="E8" s="71"/>
      <c r="F8" s="70"/>
      <c r="G8" s="70"/>
      <c r="H8" s="71"/>
      <c r="I8" s="63"/>
      <c r="J8" s="63"/>
      <c r="K8" s="63"/>
      <c r="L8" s="63"/>
      <c r="M8" s="77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6" ht="9.75" customHeight="1" x14ac:dyDescent="0.35">
      <c r="A9" s="2"/>
      <c r="B9" s="76" t="s">
        <v>62</v>
      </c>
      <c r="C9" s="133"/>
      <c r="D9" s="70"/>
      <c r="E9" s="71"/>
      <c r="F9" s="70"/>
      <c r="G9" s="70"/>
      <c r="H9" s="71"/>
      <c r="I9" s="63"/>
      <c r="J9" s="63"/>
      <c r="K9" s="63"/>
      <c r="L9" s="63"/>
      <c r="M9" s="63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6" ht="9.75" customHeight="1" x14ac:dyDescent="0.35">
      <c r="A10" s="2"/>
      <c r="B10" s="131"/>
      <c r="C10" s="131"/>
      <c r="D10" s="132" t="s">
        <v>85</v>
      </c>
      <c r="E10" s="130"/>
      <c r="F10" s="131"/>
      <c r="G10" s="131"/>
      <c r="H10" s="130"/>
      <c r="I10" s="73"/>
      <c r="J10" s="63"/>
      <c r="K10" s="63"/>
      <c r="L10" s="63"/>
      <c r="M10" s="63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6" ht="9.75" customHeight="1" x14ac:dyDescent="0.35">
      <c r="A11" s="2"/>
      <c r="B11" s="128"/>
      <c r="C11" s="128"/>
      <c r="D11" s="78" t="s">
        <v>84</v>
      </c>
      <c r="E11" s="127" t="s">
        <v>83</v>
      </c>
      <c r="F11" s="128"/>
      <c r="G11" s="94"/>
      <c r="H11" s="129"/>
      <c r="I11" s="68" t="s">
        <v>71</v>
      </c>
      <c r="J11" s="63"/>
      <c r="K11" s="68" t="s">
        <v>82</v>
      </c>
      <c r="L11" s="69" t="s">
        <v>81</v>
      </c>
      <c r="M11" s="63"/>
      <c r="N11" s="2"/>
      <c r="O11" s="2"/>
      <c r="P11" s="2"/>
      <c r="Q11" s="2"/>
      <c r="R11" s="2"/>
      <c r="S11" s="2"/>
      <c r="T11" s="2"/>
      <c r="U11" s="2"/>
      <c r="V11" s="2"/>
      <c r="W11" s="2"/>
      <c r="X11" s="13"/>
      <c r="Y11" s="13" t="s">
        <v>80</v>
      </c>
      <c r="Z11" s="70"/>
    </row>
    <row r="12" spans="1:26" ht="9.75" customHeight="1" x14ac:dyDescent="0.35">
      <c r="A12" s="2"/>
      <c r="B12" s="128" t="s">
        <v>79</v>
      </c>
      <c r="C12" s="128" t="s">
        <v>78</v>
      </c>
      <c r="D12" s="127" t="s">
        <v>77</v>
      </c>
      <c r="E12" s="127" t="s">
        <v>77</v>
      </c>
      <c r="F12" s="128" t="s">
        <v>76</v>
      </c>
      <c r="G12" s="128" t="s">
        <v>75</v>
      </c>
      <c r="H12" s="128" t="s">
        <v>74</v>
      </c>
      <c r="I12" s="69" t="s">
        <v>73</v>
      </c>
      <c r="J12" s="63"/>
      <c r="K12" s="68" t="s">
        <v>72</v>
      </c>
      <c r="L12" s="68" t="s">
        <v>72</v>
      </c>
      <c r="M12" s="68" t="s">
        <v>71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13"/>
      <c r="Y12" s="13"/>
      <c r="Z12" s="13" t="s">
        <v>70</v>
      </c>
    </row>
    <row r="13" spans="1:26" ht="9.75" customHeight="1" x14ac:dyDescent="0.35">
      <c r="A13" s="2"/>
      <c r="B13" s="76" t="s">
        <v>69</v>
      </c>
      <c r="C13" s="76" t="s">
        <v>68</v>
      </c>
      <c r="D13" s="127" t="s">
        <v>67</v>
      </c>
      <c r="E13" s="76" t="s">
        <v>66</v>
      </c>
      <c r="F13" s="76" t="s">
        <v>65</v>
      </c>
      <c r="G13" s="76" t="s">
        <v>64</v>
      </c>
      <c r="H13" s="76" t="s">
        <v>63</v>
      </c>
      <c r="I13" s="65" t="s">
        <v>62</v>
      </c>
      <c r="J13" s="63"/>
      <c r="K13" s="65" t="s">
        <v>62</v>
      </c>
      <c r="L13" s="65" t="s">
        <v>62</v>
      </c>
      <c r="M13" s="65" t="s">
        <v>62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13"/>
      <c r="Y13" s="13"/>
      <c r="Z13" s="13" t="s">
        <v>61</v>
      </c>
    </row>
    <row r="14" spans="1:26" ht="9.75" customHeight="1" x14ac:dyDescent="0.35">
      <c r="A14" s="33" t="s">
        <v>60</v>
      </c>
      <c r="B14" s="101"/>
      <c r="C14" s="101"/>
      <c r="D14" s="126"/>
      <c r="E14" s="101"/>
      <c r="F14" s="101"/>
      <c r="G14" s="101"/>
      <c r="H14" s="101"/>
      <c r="I14" s="28"/>
      <c r="J14" s="28"/>
      <c r="K14" s="125"/>
      <c r="L14" s="125"/>
      <c r="M14" s="125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6" ht="9.75" customHeight="1" x14ac:dyDescent="0.35">
      <c r="A15" s="6" t="s">
        <v>59</v>
      </c>
      <c r="B15" s="104">
        <v>1152480208.5899999</v>
      </c>
      <c r="C15" s="101"/>
      <c r="D15" s="101"/>
      <c r="E15" s="101"/>
      <c r="F15" s="101"/>
      <c r="G15" s="101"/>
      <c r="H15" s="101"/>
      <c r="I15" s="32">
        <f t="shared" ref="I15:I32" si="0">SUM(B15:H15)</f>
        <v>1152480208.5899999</v>
      </c>
      <c r="J15" s="28"/>
      <c r="K15" s="28"/>
      <c r="L15" s="28"/>
      <c r="M15" s="32">
        <f t="shared" ref="M15:M32" si="1">SUM(I15:L15)</f>
        <v>1152480208.5899999</v>
      </c>
      <c r="N15" s="2"/>
      <c r="O15" s="2"/>
      <c r="P15" s="2"/>
      <c r="Q15" s="2"/>
      <c r="R15" s="2"/>
      <c r="S15" s="2"/>
      <c r="T15" s="2"/>
      <c r="U15" s="2"/>
      <c r="V15" s="2"/>
      <c r="W15" s="2"/>
      <c r="Z15" s="1" t="e">
        <f>SUM(O15+#REF!+M15+R15+T15+X15)</f>
        <v>#REF!</v>
      </c>
    </row>
    <row r="16" spans="1:26" ht="9.75" customHeight="1" x14ac:dyDescent="0.35">
      <c r="A16" s="6" t="s">
        <v>58</v>
      </c>
      <c r="B16" s="112">
        <v>-325467060.68000001</v>
      </c>
      <c r="C16" s="101"/>
      <c r="D16" s="101"/>
      <c r="E16" s="101"/>
      <c r="F16" s="101"/>
      <c r="G16" s="101"/>
      <c r="H16" s="101"/>
      <c r="I16" s="28">
        <f t="shared" si="0"/>
        <v>-325467060.68000001</v>
      </c>
      <c r="J16" s="28"/>
      <c r="K16" s="28"/>
      <c r="L16" s="28"/>
      <c r="M16" s="28">
        <f t="shared" si="1"/>
        <v>-325467060.68000001</v>
      </c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6" ht="9.75" customHeight="1" x14ac:dyDescent="0.5">
      <c r="A17" s="61" t="s">
        <v>57</v>
      </c>
      <c r="B17" s="124">
        <f>SUM(B15:B16)</f>
        <v>827013147.90999985</v>
      </c>
      <c r="C17" s="101"/>
      <c r="D17" s="101"/>
      <c r="E17" s="101"/>
      <c r="F17" s="101"/>
      <c r="G17" s="101"/>
      <c r="H17" s="101"/>
      <c r="I17" s="122">
        <f t="shared" si="0"/>
        <v>827013147.90999985</v>
      </c>
      <c r="J17" s="123"/>
      <c r="K17" s="123"/>
      <c r="L17" s="123"/>
      <c r="M17" s="122">
        <f t="shared" si="1"/>
        <v>827013147.90999985</v>
      </c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6" ht="9.75" customHeight="1" x14ac:dyDescent="0.35">
      <c r="A18" s="6" t="s">
        <v>56</v>
      </c>
      <c r="B18" s="101">
        <v>27676999.583999999</v>
      </c>
      <c r="C18" s="101"/>
      <c r="D18" s="120">
        <v>22043154</v>
      </c>
      <c r="E18" s="101"/>
      <c r="F18" s="101"/>
      <c r="G18" s="101"/>
      <c r="H18" s="101"/>
      <c r="I18" s="28">
        <f t="shared" si="0"/>
        <v>49720153.583999999</v>
      </c>
      <c r="J18" s="28"/>
      <c r="K18" s="28"/>
      <c r="L18" s="32">
        <v>373653</v>
      </c>
      <c r="M18" s="28">
        <f t="shared" si="1"/>
        <v>50093806.583999999</v>
      </c>
      <c r="N18" s="2"/>
      <c r="O18" s="2"/>
      <c r="P18" s="2"/>
      <c r="Q18" s="2"/>
      <c r="R18" s="2"/>
      <c r="S18" s="2"/>
      <c r="T18" s="2"/>
      <c r="U18" s="2"/>
      <c r="V18" s="2"/>
      <c r="W18" s="2"/>
      <c r="Z18" s="1" t="e">
        <f>SUM(O18+#REF!+M18+R18+T18+X18)</f>
        <v>#REF!</v>
      </c>
    </row>
    <row r="19" spans="1:26" ht="9.75" customHeight="1" x14ac:dyDescent="0.35">
      <c r="A19" s="6" t="s">
        <v>55</v>
      </c>
      <c r="B19" s="101">
        <v>702201.47</v>
      </c>
      <c r="C19" s="101"/>
      <c r="D19" s="101">
        <v>2390239</v>
      </c>
      <c r="E19" s="104">
        <v>9809566</v>
      </c>
      <c r="F19" s="121"/>
      <c r="G19" s="101"/>
      <c r="H19" s="120">
        <f>21603+154572-1728474-695529</f>
        <v>-2247828</v>
      </c>
      <c r="I19" s="28">
        <f t="shared" si="0"/>
        <v>10654178.469999999</v>
      </c>
      <c r="J19" s="28"/>
      <c r="K19" s="32">
        <v>562</v>
      </c>
      <c r="L19" s="28">
        <v>231079</v>
      </c>
      <c r="M19" s="28">
        <f t="shared" si="1"/>
        <v>10885819.469999999</v>
      </c>
      <c r="N19" s="2"/>
      <c r="O19" s="2"/>
      <c r="P19" s="2"/>
      <c r="Q19" s="2"/>
      <c r="R19" s="2"/>
      <c r="S19" s="2"/>
      <c r="T19" s="2"/>
      <c r="U19" s="2"/>
      <c r="V19" s="2"/>
      <c r="W19" s="2"/>
      <c r="Z19" s="1" t="e">
        <f>SUM(O19+#REF!+M19+R19+T19+X19)</f>
        <v>#REF!</v>
      </c>
    </row>
    <row r="20" spans="1:26" ht="9.75" customHeight="1" x14ac:dyDescent="0.35">
      <c r="A20" s="6" t="s">
        <v>54</v>
      </c>
      <c r="B20" s="101"/>
      <c r="C20" s="101"/>
      <c r="D20" s="101">
        <v>1636747</v>
      </c>
      <c r="E20" s="101">
        <f>-12609866+1179389</f>
        <v>-11430477</v>
      </c>
      <c r="F20" s="101"/>
      <c r="G20" s="120">
        <f>31920425+54312169+74096563-50403884+439030</f>
        <v>110364303</v>
      </c>
      <c r="H20" s="101">
        <v>-761140</v>
      </c>
      <c r="I20" s="28">
        <f t="shared" si="0"/>
        <v>99809433</v>
      </c>
      <c r="J20" s="28"/>
      <c r="K20" s="28">
        <f>80629245+126950473-439030-74096563+50403884</f>
        <v>183448009</v>
      </c>
      <c r="L20" s="28">
        <f>4214409+8983598</f>
        <v>13198007</v>
      </c>
      <c r="M20" s="28">
        <f t="shared" si="1"/>
        <v>296455449</v>
      </c>
      <c r="N20" s="2"/>
      <c r="O20" s="2"/>
      <c r="P20" s="2"/>
      <c r="Q20" s="2"/>
      <c r="R20" s="2"/>
      <c r="S20" s="2"/>
      <c r="T20" s="2"/>
      <c r="U20" s="2"/>
      <c r="V20" s="2"/>
      <c r="W20" s="2"/>
      <c r="Z20" s="1" t="e">
        <f>SUM(O20+#REF!+M20+R20+T20+X20)</f>
        <v>#REF!</v>
      </c>
    </row>
    <row r="21" spans="1:26" ht="9.75" customHeight="1" x14ac:dyDescent="0.35">
      <c r="A21" s="6" t="s">
        <v>53</v>
      </c>
      <c r="B21" s="101"/>
      <c r="C21" s="101"/>
      <c r="D21" s="101">
        <f>286035886-464934</f>
        <v>285570952</v>
      </c>
      <c r="E21" s="101"/>
      <c r="F21" s="101"/>
      <c r="G21" s="101"/>
      <c r="H21" s="101"/>
      <c r="I21" s="28">
        <f t="shared" si="0"/>
        <v>285570952</v>
      </c>
      <c r="J21" s="28"/>
      <c r="K21" s="28"/>
      <c r="L21" s="28"/>
      <c r="M21" s="28">
        <f t="shared" si="1"/>
        <v>285570952</v>
      </c>
      <c r="N21" s="2"/>
      <c r="O21" s="2"/>
      <c r="P21" s="2"/>
      <c r="Q21" s="2"/>
      <c r="R21" s="2"/>
      <c r="S21" s="2"/>
      <c r="T21" s="2"/>
      <c r="U21" s="2"/>
      <c r="V21" s="2"/>
      <c r="W21" s="2"/>
      <c r="Z21" s="1" t="e">
        <f>SUM(O21+#REF!+M21+R21+T21+X21)</f>
        <v>#REF!</v>
      </c>
    </row>
    <row r="22" spans="1:26" ht="9.75" customHeight="1" x14ac:dyDescent="0.35">
      <c r="A22" s="6" t="s">
        <v>52</v>
      </c>
      <c r="B22" s="101">
        <v>118896253.76000001</v>
      </c>
      <c r="C22" s="101"/>
      <c r="D22" s="101"/>
      <c r="E22" s="101"/>
      <c r="F22" s="101"/>
      <c r="G22" s="101"/>
      <c r="H22" s="101"/>
      <c r="I22" s="28">
        <f t="shared" si="0"/>
        <v>118896253.76000001</v>
      </c>
      <c r="J22" s="28"/>
      <c r="K22" s="28"/>
      <c r="L22" s="28"/>
      <c r="M22" s="28">
        <f t="shared" si="1"/>
        <v>118896253.76000001</v>
      </c>
      <c r="N22" s="2"/>
      <c r="O22" s="2"/>
      <c r="P22" s="2"/>
      <c r="Q22" s="2"/>
      <c r="R22" s="2"/>
      <c r="S22" s="2"/>
      <c r="T22" s="2"/>
      <c r="U22" s="2"/>
      <c r="V22" s="2"/>
      <c r="W22" s="2"/>
      <c r="Z22" s="1" t="e">
        <f>SUM(O22+#REF!+M22+R22+T22+X22)</f>
        <v>#REF!</v>
      </c>
    </row>
    <row r="23" spans="1:26" ht="9.75" customHeight="1" x14ac:dyDescent="0.35">
      <c r="A23" s="6" t="s">
        <v>51</v>
      </c>
      <c r="B23" s="101">
        <v>64338569.210000001</v>
      </c>
      <c r="C23" s="101">
        <v>30493144</v>
      </c>
      <c r="D23" s="101">
        <v>256413098</v>
      </c>
      <c r="E23" s="101">
        <v>62947123</v>
      </c>
      <c r="F23" s="119">
        <v>364873</v>
      </c>
      <c r="G23" s="118"/>
      <c r="H23" s="101"/>
      <c r="I23" s="28">
        <f t="shared" si="0"/>
        <v>414556807.21000004</v>
      </c>
      <c r="J23" s="28"/>
      <c r="K23" s="28">
        <f>-26857628+40859807</f>
        <v>14002179</v>
      </c>
      <c r="L23" s="28">
        <f>9319165+54288427-858181</f>
        <v>62749411</v>
      </c>
      <c r="M23" s="28">
        <f t="shared" si="1"/>
        <v>491308397.21000004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Z23" s="1" t="e">
        <f>SUM(O23+#REF!+M23+R23+T23+X23)</f>
        <v>#REF!</v>
      </c>
    </row>
    <row r="24" spans="1:26" ht="9.75" customHeight="1" x14ac:dyDescent="0.35">
      <c r="A24" s="6" t="s">
        <v>50</v>
      </c>
      <c r="B24" s="101">
        <v>31220740.989999998</v>
      </c>
      <c r="C24" s="101"/>
      <c r="D24" s="101"/>
      <c r="E24" s="101"/>
      <c r="F24" s="101"/>
      <c r="G24" s="101"/>
      <c r="H24" s="101"/>
      <c r="I24" s="28">
        <f t="shared" si="0"/>
        <v>31220740.989999998</v>
      </c>
      <c r="J24" s="28"/>
      <c r="K24" s="28"/>
      <c r="L24" s="28"/>
      <c r="M24" s="28">
        <f t="shared" si="1"/>
        <v>31220740.989999998</v>
      </c>
      <c r="N24" s="2"/>
      <c r="O24" s="2"/>
      <c r="P24" s="2"/>
      <c r="Q24" s="2"/>
      <c r="R24" s="2"/>
      <c r="S24" s="2"/>
      <c r="T24" s="2"/>
      <c r="U24" s="2"/>
      <c r="V24" s="2"/>
      <c r="W24" s="2"/>
      <c r="Z24" s="1" t="e">
        <f>SUM(O24+#REF!+M24+R24+T24+X24)</f>
        <v>#REF!</v>
      </c>
    </row>
    <row r="25" spans="1:26" ht="9.75" customHeight="1" x14ac:dyDescent="0.35">
      <c r="A25" s="6" t="s">
        <v>49</v>
      </c>
      <c r="B25" s="101">
        <v>225363222.13999999</v>
      </c>
      <c r="C25" s="101"/>
      <c r="D25" s="101"/>
      <c r="E25" s="101"/>
      <c r="F25" s="101"/>
      <c r="G25" s="101"/>
      <c r="H25" s="101"/>
      <c r="I25" s="28">
        <f t="shared" si="0"/>
        <v>225363222.13999999</v>
      </c>
      <c r="J25" s="28"/>
      <c r="K25" s="28"/>
      <c r="L25" s="28"/>
      <c r="M25" s="28">
        <f t="shared" si="1"/>
        <v>225363222.13999999</v>
      </c>
      <c r="N25" s="2"/>
      <c r="O25" s="2"/>
      <c r="P25" s="2"/>
      <c r="Q25" s="2"/>
      <c r="R25" s="2"/>
      <c r="S25" s="2"/>
      <c r="T25" s="2"/>
      <c r="U25" s="2"/>
      <c r="V25" s="2"/>
      <c r="W25" s="2"/>
      <c r="Z25" s="1" t="e">
        <f>SUM(O25+#REF!+M25+R25+T25+X25)</f>
        <v>#REF!</v>
      </c>
    </row>
    <row r="26" spans="1:26" ht="9.75" customHeight="1" x14ac:dyDescent="0.35">
      <c r="A26" s="6" t="s">
        <v>92</v>
      </c>
      <c r="B26" s="101"/>
      <c r="C26" s="104">
        <f>454438070+138230690</f>
        <v>592668760</v>
      </c>
      <c r="D26" s="101"/>
      <c r="E26" s="101"/>
      <c r="F26" s="101"/>
      <c r="G26" s="101"/>
      <c r="H26" s="101"/>
      <c r="I26" s="28">
        <f t="shared" si="0"/>
        <v>592668760</v>
      </c>
      <c r="J26" s="28"/>
      <c r="K26" s="28"/>
      <c r="L26" s="28"/>
      <c r="M26" s="28">
        <f t="shared" si="1"/>
        <v>592668760</v>
      </c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6" ht="9.75" customHeight="1" x14ac:dyDescent="0.35">
      <c r="A27" s="6" t="s">
        <v>48</v>
      </c>
      <c r="B27" s="101"/>
      <c r="C27" s="101">
        <v>108624998</v>
      </c>
      <c r="D27" s="101"/>
      <c r="E27" s="101"/>
      <c r="F27" s="101"/>
      <c r="G27" s="101"/>
      <c r="H27" s="101"/>
      <c r="I27" s="28">
        <f t="shared" si="0"/>
        <v>108624998</v>
      </c>
      <c r="J27" s="28"/>
      <c r="K27" s="28"/>
      <c r="L27" s="28"/>
      <c r="M27" s="28">
        <f t="shared" si="1"/>
        <v>108624998</v>
      </c>
      <c r="N27" s="2"/>
      <c r="O27" s="2"/>
      <c r="P27" s="2"/>
      <c r="Q27" s="2"/>
      <c r="R27" s="2"/>
      <c r="S27" s="2"/>
      <c r="T27" s="2"/>
      <c r="U27" s="2"/>
      <c r="V27" s="2"/>
      <c r="W27" s="2"/>
      <c r="Z27" s="1" t="e">
        <f>SUM(O27+#REF!+M27+R27+T27+X27)</f>
        <v>#REF!</v>
      </c>
    </row>
    <row r="28" spans="1:26" ht="9.75" customHeight="1" x14ac:dyDescent="0.35">
      <c r="A28" s="6" t="s">
        <v>47</v>
      </c>
      <c r="B28" s="101"/>
      <c r="C28" s="101">
        <f>7229879+6510+1381145+3375183+4054</f>
        <v>11996771</v>
      </c>
      <c r="D28" s="101"/>
      <c r="E28" s="101"/>
      <c r="F28" s="101"/>
      <c r="G28" s="101"/>
      <c r="H28" s="101"/>
      <c r="I28" s="28">
        <f t="shared" si="0"/>
        <v>11996771</v>
      </c>
      <c r="J28" s="28"/>
      <c r="K28" s="28"/>
      <c r="L28" s="28"/>
      <c r="M28" s="28">
        <f t="shared" si="1"/>
        <v>11996771</v>
      </c>
      <c r="N28" s="2"/>
      <c r="O28" s="2"/>
      <c r="P28" s="2"/>
      <c r="Q28" s="2"/>
      <c r="R28" s="2"/>
      <c r="S28" s="2"/>
      <c r="T28" s="2"/>
      <c r="U28" s="2"/>
      <c r="V28" s="2"/>
      <c r="W28" s="2"/>
      <c r="Z28" s="1" t="e">
        <f>SUM(O28+#REF!+M28+R28+T28+X28)</f>
        <v>#REF!</v>
      </c>
    </row>
    <row r="29" spans="1:26" s="2" customFormat="1" ht="10.5" customHeight="1" x14ac:dyDescent="0.35">
      <c r="A29" s="2" t="s">
        <v>113</v>
      </c>
      <c r="B29" s="101"/>
      <c r="C29" s="101"/>
      <c r="D29" s="112"/>
      <c r="E29" s="101"/>
      <c r="F29" s="101">
        <f>-5876353-370402+5876353+370402</f>
        <v>0</v>
      </c>
      <c r="G29" s="101"/>
      <c r="H29" s="101"/>
      <c r="I29" s="28">
        <f t="shared" si="0"/>
        <v>0</v>
      </c>
      <c r="J29" s="28"/>
      <c r="K29" s="28"/>
      <c r="L29" s="28"/>
      <c r="M29" s="28">
        <f t="shared" si="1"/>
        <v>0</v>
      </c>
    </row>
    <row r="30" spans="1:26" ht="9.75" customHeight="1" x14ac:dyDescent="0.35">
      <c r="A30" s="6" t="s">
        <v>45</v>
      </c>
      <c r="B30" s="101">
        <v>73072716.459999993</v>
      </c>
      <c r="C30" s="101"/>
      <c r="D30" s="101">
        <v>14933488</v>
      </c>
      <c r="E30" s="101"/>
      <c r="F30" s="117">
        <f>8055000-800-5876353-370402</f>
        <v>1807445</v>
      </c>
      <c r="G30" s="101"/>
      <c r="H30" s="101"/>
      <c r="I30" s="28">
        <f t="shared" si="0"/>
        <v>89813649.459999993</v>
      </c>
      <c r="J30" s="28"/>
      <c r="K30" s="28"/>
      <c r="L30" s="28"/>
      <c r="M30" s="28">
        <f t="shared" si="1"/>
        <v>89813649.459999993</v>
      </c>
      <c r="N30" s="2"/>
      <c r="O30" s="2"/>
      <c r="P30" s="2"/>
      <c r="Q30" s="2"/>
      <c r="R30" s="2"/>
      <c r="S30" s="2"/>
      <c r="T30" s="2"/>
      <c r="U30" s="2"/>
      <c r="V30" s="2"/>
      <c r="W30" s="2"/>
      <c r="Z30" s="1" t="e">
        <f>SUM(O30+#REF!+M30+R30+T30+X30)</f>
        <v>#REF!</v>
      </c>
    </row>
    <row r="31" spans="1:26" ht="9.75" customHeight="1" x14ac:dyDescent="0.35">
      <c r="A31" s="6" t="s">
        <v>44</v>
      </c>
      <c r="B31" s="101"/>
      <c r="C31" s="101"/>
      <c r="D31" s="101"/>
      <c r="E31" s="101"/>
      <c r="F31" s="101"/>
      <c r="G31" s="101"/>
      <c r="H31" s="101"/>
      <c r="I31" s="28">
        <f t="shared" si="0"/>
        <v>0</v>
      </c>
      <c r="J31" s="28"/>
      <c r="K31" s="28">
        <v>-4600371</v>
      </c>
      <c r="L31" s="28">
        <v>-6164477</v>
      </c>
      <c r="M31" s="28">
        <f t="shared" si="1"/>
        <v>-10764848</v>
      </c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6" ht="9.75" customHeight="1" x14ac:dyDescent="0.35">
      <c r="A32" s="6" t="s">
        <v>43</v>
      </c>
      <c r="B32" s="101">
        <v>29026</v>
      </c>
      <c r="C32" s="101"/>
      <c r="D32" s="101">
        <v>33698741</v>
      </c>
      <c r="E32" s="101">
        <v>172</v>
      </c>
      <c r="F32" s="101">
        <f>-3928865.76+3928865.76</f>
        <v>0</v>
      </c>
      <c r="G32" s="101">
        <f>2501069+67736052</f>
        <v>70237121</v>
      </c>
      <c r="H32" s="101"/>
      <c r="I32" s="28">
        <f t="shared" si="0"/>
        <v>103965060</v>
      </c>
      <c r="J32" s="28"/>
      <c r="K32" s="28">
        <f>-31286904-67736052</f>
        <v>-99022956</v>
      </c>
      <c r="L32" s="28">
        <v>-4942104</v>
      </c>
      <c r="M32" s="28">
        <f t="shared" si="1"/>
        <v>0</v>
      </c>
      <c r="N32" s="2"/>
      <c r="O32" s="2"/>
      <c r="P32" s="2"/>
      <c r="Q32" s="2"/>
      <c r="R32" s="2"/>
      <c r="S32" s="2"/>
      <c r="T32" s="2"/>
      <c r="U32" s="2"/>
      <c r="V32" s="2"/>
      <c r="W32" s="2"/>
      <c r="Z32" s="1" t="e">
        <f>SUM(O32+#REF!+M32+R32+T32+X32)</f>
        <v>#REF!</v>
      </c>
    </row>
    <row r="33" spans="1:27" ht="12.95" customHeight="1" x14ac:dyDescent="0.35">
      <c r="A33" s="37" t="s">
        <v>112</v>
      </c>
      <c r="B33" s="83">
        <f t="shared" ref="B33:M33" si="2">SUM(B17:B32)</f>
        <v>1368312877.5239999</v>
      </c>
      <c r="C33" s="83">
        <f t="shared" si="2"/>
        <v>743783673</v>
      </c>
      <c r="D33" s="83">
        <f t="shared" si="2"/>
        <v>616686419</v>
      </c>
      <c r="E33" s="83">
        <f t="shared" si="2"/>
        <v>61326384</v>
      </c>
      <c r="F33" s="83">
        <f t="shared" si="2"/>
        <v>2172318</v>
      </c>
      <c r="G33" s="83">
        <f t="shared" si="2"/>
        <v>180601424</v>
      </c>
      <c r="H33" s="83">
        <f t="shared" si="2"/>
        <v>-3008968</v>
      </c>
      <c r="I33" s="56">
        <f t="shared" si="2"/>
        <v>2969874127.5239997</v>
      </c>
      <c r="J33" s="56">
        <f t="shared" si="2"/>
        <v>0</v>
      </c>
      <c r="K33" s="56">
        <f t="shared" si="2"/>
        <v>93827423</v>
      </c>
      <c r="L33" s="56">
        <f t="shared" si="2"/>
        <v>65445569</v>
      </c>
      <c r="M33" s="56">
        <f t="shared" si="2"/>
        <v>3129147119.5239997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5"/>
      <c r="Y33" s="5"/>
      <c r="Z33" s="1" t="e">
        <f>SUM(O33+#REF!+M33+R33+T33+X33)</f>
        <v>#REF!</v>
      </c>
    </row>
    <row r="34" spans="1:27" ht="12.95" customHeight="1" x14ac:dyDescent="0.35">
      <c r="A34" s="54"/>
      <c r="B34" s="115"/>
      <c r="C34" s="115"/>
      <c r="D34" s="115"/>
      <c r="E34" s="115"/>
      <c r="F34" s="115"/>
      <c r="G34" s="115"/>
      <c r="H34" s="115"/>
      <c r="I34" s="114"/>
      <c r="J34" s="63"/>
      <c r="K34" s="114"/>
      <c r="L34" s="114"/>
      <c r="M34" s="114"/>
      <c r="N34" s="2"/>
      <c r="O34" s="2"/>
      <c r="P34" s="2"/>
      <c r="Q34" s="2"/>
      <c r="R34" s="2"/>
      <c r="S34" s="2"/>
      <c r="T34" s="2"/>
      <c r="U34" s="2"/>
      <c r="V34" s="2"/>
      <c r="W34" s="2"/>
      <c r="X34" s="5"/>
      <c r="Y34" s="5"/>
    </row>
    <row r="35" spans="1:27" ht="9.75" customHeight="1" x14ac:dyDescent="0.35">
      <c r="A35" s="33" t="s">
        <v>41</v>
      </c>
      <c r="B35" s="107"/>
      <c r="C35" s="107"/>
      <c r="D35" s="107"/>
      <c r="E35" s="107"/>
      <c r="F35" s="107"/>
      <c r="G35" s="107"/>
      <c r="H35" s="107"/>
      <c r="I35" s="64"/>
      <c r="J35" s="63"/>
      <c r="K35" s="63"/>
      <c r="L35" s="63"/>
      <c r="M35" s="63"/>
      <c r="N35" s="2"/>
      <c r="O35" s="2"/>
      <c r="P35" s="2"/>
      <c r="Q35" s="2"/>
      <c r="R35" s="2"/>
      <c r="S35" s="2"/>
      <c r="T35" s="2"/>
      <c r="U35" s="2"/>
      <c r="V35" s="2"/>
      <c r="W35" s="2"/>
      <c r="Z35" s="1" t="e">
        <f>SUM(O35+#REF!+M35+R35+T35+X35)</f>
        <v>#REF!</v>
      </c>
    </row>
    <row r="36" spans="1:27" s="2" customFormat="1" ht="9.75" customHeight="1" x14ac:dyDescent="0.35">
      <c r="A36" s="6" t="s">
        <v>40</v>
      </c>
      <c r="B36" s="101">
        <v>1270123249</v>
      </c>
      <c r="C36" s="101"/>
      <c r="D36" s="101">
        <f>530230682-464934+464934</f>
        <v>530230682</v>
      </c>
      <c r="E36" s="101"/>
      <c r="F36" s="101"/>
      <c r="G36" s="101"/>
      <c r="H36" s="101"/>
      <c r="I36" s="28">
        <f>SUM(B36:H36)</f>
        <v>1800353931</v>
      </c>
      <c r="J36" s="28"/>
      <c r="K36" s="28"/>
      <c r="L36" s="28"/>
      <c r="M36" s="28">
        <f>SUM(I36:L36)</f>
        <v>1800353931</v>
      </c>
    </row>
    <row r="37" spans="1:27" s="2" customFormat="1" ht="9.75" customHeight="1" x14ac:dyDescent="0.35">
      <c r="A37" s="2" t="s">
        <v>111</v>
      </c>
      <c r="B37" s="101"/>
      <c r="C37" s="101">
        <f>739316812-24711196</f>
        <v>714605616</v>
      </c>
      <c r="D37" s="101"/>
      <c r="E37" s="101"/>
      <c r="F37" s="101"/>
      <c r="G37" s="101"/>
      <c r="H37" s="101"/>
      <c r="I37" s="28">
        <f>SUM(B37:H37)</f>
        <v>714605616</v>
      </c>
      <c r="J37" s="28"/>
      <c r="K37" s="28"/>
      <c r="L37" s="28"/>
      <c r="M37" s="28">
        <f>SUM(I37:L37)</f>
        <v>714605616</v>
      </c>
    </row>
    <row r="38" spans="1:27" ht="9.75" customHeight="1" x14ac:dyDescent="0.35">
      <c r="A38" s="6" t="s">
        <v>38</v>
      </c>
      <c r="B38" s="101"/>
      <c r="C38" s="101">
        <v>24711196</v>
      </c>
      <c r="D38" s="101"/>
      <c r="E38" s="101"/>
      <c r="F38" s="101">
        <v>117759817</v>
      </c>
      <c r="G38" s="101"/>
      <c r="H38" s="101"/>
      <c r="I38" s="28">
        <f>SUM(B38:H38)</f>
        <v>142471013</v>
      </c>
      <c r="J38" s="28"/>
      <c r="K38" s="28"/>
      <c r="L38" s="28"/>
      <c r="M38" s="28">
        <f>SUM(I38:L38)</f>
        <v>142471013</v>
      </c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7" ht="9.75" customHeight="1" x14ac:dyDescent="0.35">
      <c r="A39" s="6" t="s">
        <v>37</v>
      </c>
      <c r="B39" s="101"/>
      <c r="C39" s="101"/>
      <c r="D39" s="101"/>
      <c r="E39" s="101">
        <v>40841618</v>
      </c>
      <c r="F39" s="101"/>
      <c r="G39" s="101"/>
      <c r="H39" s="101"/>
      <c r="I39" s="28">
        <f>SUM(B39:H39)</f>
        <v>40841618</v>
      </c>
      <c r="J39" s="28"/>
      <c r="K39" s="28"/>
      <c r="L39" s="28"/>
      <c r="M39" s="28">
        <f>SUM(I39:L39)</f>
        <v>40841618</v>
      </c>
      <c r="N39" s="2"/>
      <c r="O39" s="2"/>
      <c r="P39" s="2"/>
      <c r="Q39" s="2"/>
      <c r="R39" s="2"/>
      <c r="S39" s="2"/>
      <c r="T39" s="2"/>
      <c r="U39" s="2"/>
      <c r="V39" s="2"/>
      <c r="W39" s="2"/>
      <c r="Z39" s="1" t="e">
        <f>SUM(O39+#REF!+M39+R39+T39+X39)</f>
        <v>#REF!</v>
      </c>
    </row>
    <row r="40" spans="1:27" s="9" customFormat="1" ht="12" customHeight="1" x14ac:dyDescent="0.35">
      <c r="A40" s="116" t="s">
        <v>110</v>
      </c>
      <c r="B40" s="83">
        <f t="shared" ref="B40:M40" si="3">SUM(B36:B39)</f>
        <v>1270123249</v>
      </c>
      <c r="C40" s="83">
        <f t="shared" si="3"/>
        <v>739316812</v>
      </c>
      <c r="D40" s="83">
        <f t="shared" si="3"/>
        <v>530230682</v>
      </c>
      <c r="E40" s="83">
        <f t="shared" si="3"/>
        <v>40841618</v>
      </c>
      <c r="F40" s="83">
        <f t="shared" si="3"/>
        <v>117759817</v>
      </c>
      <c r="G40" s="83">
        <f t="shared" si="3"/>
        <v>0</v>
      </c>
      <c r="H40" s="83">
        <f t="shared" si="3"/>
        <v>0</v>
      </c>
      <c r="I40" s="56">
        <f t="shared" si="3"/>
        <v>2698272178</v>
      </c>
      <c r="J40" s="28">
        <f t="shared" si="3"/>
        <v>0</v>
      </c>
      <c r="K40" s="56">
        <f t="shared" si="3"/>
        <v>0</v>
      </c>
      <c r="L40" s="56">
        <f t="shared" si="3"/>
        <v>0</v>
      </c>
      <c r="M40" s="56">
        <f t="shared" si="3"/>
        <v>2698272178</v>
      </c>
      <c r="N40" s="20"/>
      <c r="O40" s="2"/>
      <c r="P40" s="2"/>
      <c r="Q40" s="2"/>
      <c r="R40" s="2"/>
      <c r="S40" s="2"/>
      <c r="T40" s="2"/>
      <c r="U40" s="2"/>
      <c r="V40" s="2"/>
      <c r="W40" s="2"/>
      <c r="X40" s="36"/>
      <c r="Y40" s="36"/>
      <c r="Z40" s="9" t="e">
        <f>SUM(O40+#REF!+M40+R40+T40+X40)</f>
        <v>#REF!</v>
      </c>
      <c r="AA40" s="36" t="e">
        <f>SUM(#REF!)</f>
        <v>#REF!</v>
      </c>
    </row>
    <row r="41" spans="1:27" s="15" customFormat="1" ht="12" customHeight="1" x14ac:dyDescent="0.35">
      <c r="A41" s="55"/>
      <c r="B41" s="115"/>
      <c r="C41" s="115"/>
      <c r="D41" s="115"/>
      <c r="E41" s="115"/>
      <c r="F41" s="115"/>
      <c r="G41" s="115"/>
      <c r="H41" s="115"/>
      <c r="I41" s="114"/>
      <c r="J41" s="63"/>
      <c r="K41" s="114"/>
      <c r="L41" s="114"/>
      <c r="M41" s="114"/>
      <c r="N41" s="2"/>
      <c r="O41" s="2"/>
      <c r="P41" s="2"/>
      <c r="Q41" s="2"/>
      <c r="R41" s="2"/>
      <c r="S41" s="2"/>
      <c r="T41" s="2"/>
      <c r="U41" s="2"/>
      <c r="V41" s="2"/>
      <c r="W41" s="2"/>
      <c r="X41" s="42"/>
      <c r="Y41" s="42"/>
      <c r="AA41" s="42"/>
    </row>
    <row r="42" spans="1:27" s="15" customFormat="1" ht="9.75" customHeight="1" x14ac:dyDescent="0.35">
      <c r="A42" s="54" t="s">
        <v>34</v>
      </c>
      <c r="B42" s="115"/>
      <c r="C42" s="115"/>
      <c r="D42" s="115"/>
      <c r="E42" s="115"/>
      <c r="F42" s="115"/>
      <c r="G42" s="115"/>
      <c r="H42" s="115"/>
      <c r="I42" s="114"/>
      <c r="J42" s="63"/>
      <c r="K42" s="113"/>
      <c r="L42" s="63"/>
      <c r="M42" s="63"/>
      <c r="N42" s="2"/>
      <c r="O42" s="2"/>
      <c r="P42" s="2"/>
      <c r="Q42" s="2"/>
      <c r="R42" s="2"/>
      <c r="S42" s="2"/>
      <c r="T42" s="2"/>
      <c r="U42" s="2"/>
      <c r="V42" s="2"/>
      <c r="W42" s="2"/>
      <c r="X42" s="42"/>
      <c r="Y42" s="42"/>
      <c r="AA42" s="42"/>
    </row>
    <row r="43" spans="1:27" ht="12" customHeight="1" x14ac:dyDescent="0.35">
      <c r="A43" s="6" t="s">
        <v>33</v>
      </c>
      <c r="B43" s="112">
        <f>-42036959-369707</f>
        <v>-42406666</v>
      </c>
      <c r="C43" s="101">
        <f>-1173739.93</f>
        <v>-1173739.93</v>
      </c>
      <c r="D43" s="112">
        <f>6797706+36782700-(42406665.95+1173739.93)</f>
        <v>0.11999999731779099</v>
      </c>
      <c r="E43" s="112">
        <f>+(42406665.95+1173739.93)</f>
        <v>43580405.880000003</v>
      </c>
      <c r="F43" s="112"/>
      <c r="G43" s="112"/>
      <c r="H43" s="112"/>
      <c r="I43" s="28">
        <f t="shared" ref="I43:I51" si="4">SUM(B43:H43)</f>
        <v>7.0000000298023224E-2</v>
      </c>
      <c r="J43" s="28"/>
      <c r="K43" s="28"/>
      <c r="L43" s="28"/>
      <c r="M43" s="28">
        <f t="shared" ref="M43:M51" si="5">SUM(I43:L43)</f>
        <v>7.0000000298023224E-2</v>
      </c>
      <c r="N43" s="2"/>
      <c r="O43" s="2"/>
      <c r="P43" s="2"/>
      <c r="Q43" s="2"/>
      <c r="R43" s="2"/>
      <c r="S43" s="2"/>
      <c r="T43" s="2"/>
      <c r="U43" s="2"/>
      <c r="V43" s="2"/>
      <c r="W43" s="2"/>
      <c r="Z43" s="1" t="e">
        <f>SUM(O43+#REF!+M43+R43+T43+X43)</f>
        <v>#REF!</v>
      </c>
    </row>
    <row r="44" spans="1:27" ht="9.75" customHeight="1" x14ac:dyDescent="0.35">
      <c r="A44" s="6" t="s">
        <v>32</v>
      </c>
      <c r="B44" s="112"/>
      <c r="C44" s="101"/>
      <c r="D44" s="101"/>
      <c r="E44" s="112"/>
      <c r="F44" s="112"/>
      <c r="G44" s="112"/>
      <c r="H44" s="112"/>
      <c r="I44" s="28">
        <f t="shared" si="4"/>
        <v>0</v>
      </c>
      <c r="J44" s="28"/>
      <c r="K44" s="28"/>
      <c r="L44" s="28"/>
      <c r="M44" s="28">
        <f t="shared" si="5"/>
        <v>0</v>
      </c>
      <c r="N44" s="2"/>
      <c r="O44" s="2"/>
      <c r="P44" s="2"/>
      <c r="Q44" s="2"/>
      <c r="R44" s="2"/>
      <c r="S44" s="2"/>
      <c r="T44" s="2"/>
      <c r="U44" s="2"/>
      <c r="V44" s="2"/>
      <c r="W44" s="2"/>
      <c r="Z44" s="1" t="e">
        <f>SUM(O44+#REF!+M44+R44+T44+X44)</f>
        <v>#REF!</v>
      </c>
    </row>
    <row r="45" spans="1:27" ht="9.75" customHeight="1" x14ac:dyDescent="0.35">
      <c r="A45" s="6" t="s">
        <v>31</v>
      </c>
      <c r="B45" s="112">
        <v>-32747320</v>
      </c>
      <c r="C45" s="101"/>
      <c r="D45" s="101"/>
      <c r="E45" s="112"/>
      <c r="F45" s="112"/>
      <c r="G45" s="112">
        <v>32747320</v>
      </c>
      <c r="H45" s="112"/>
      <c r="I45" s="28">
        <f t="shared" si="4"/>
        <v>0</v>
      </c>
      <c r="J45" s="28"/>
      <c r="K45" s="28"/>
      <c r="L45" s="28"/>
      <c r="M45" s="28">
        <f t="shared" si="5"/>
        <v>0</v>
      </c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7" ht="9.75" customHeight="1" x14ac:dyDescent="0.35">
      <c r="A46" s="6" t="s">
        <v>30</v>
      </c>
      <c r="B46" s="112">
        <v>-28029921</v>
      </c>
      <c r="C46" s="101">
        <v>-1814928.96</v>
      </c>
      <c r="D46" s="112">
        <v>-98393</v>
      </c>
      <c r="E46" s="112">
        <v>29943243</v>
      </c>
      <c r="F46" s="112"/>
      <c r="G46" s="112"/>
      <c r="H46" s="112"/>
      <c r="I46" s="28">
        <f t="shared" si="4"/>
        <v>3.9999999105930328E-2</v>
      </c>
      <c r="J46" s="28"/>
      <c r="K46" s="28"/>
      <c r="L46" s="28"/>
      <c r="M46" s="28">
        <f t="shared" si="5"/>
        <v>3.9999999105930328E-2</v>
      </c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7" ht="9.75" customHeight="1" x14ac:dyDescent="0.35">
      <c r="A47" s="6" t="s">
        <v>29</v>
      </c>
      <c r="B47" s="112">
        <v>42876074</v>
      </c>
      <c r="C47" s="112"/>
      <c r="D47" s="112">
        <v>55630276</v>
      </c>
      <c r="E47" s="112"/>
      <c r="F47" s="112"/>
      <c r="G47" s="112">
        <v>-98506350</v>
      </c>
      <c r="H47" s="112"/>
      <c r="I47" s="28">
        <f t="shared" si="4"/>
        <v>0</v>
      </c>
      <c r="J47" s="28"/>
      <c r="K47" s="28"/>
      <c r="L47" s="28"/>
      <c r="M47" s="28">
        <f t="shared" si="5"/>
        <v>0</v>
      </c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7" ht="9.75" customHeight="1" x14ac:dyDescent="0.35">
      <c r="A48" s="6" t="s">
        <v>28</v>
      </c>
      <c r="B48" s="112">
        <v>47531051</v>
      </c>
      <c r="C48" s="112">
        <v>38810.33</v>
      </c>
      <c r="D48" s="112">
        <v>-47569861</v>
      </c>
      <c r="E48" s="112"/>
      <c r="F48" s="112"/>
      <c r="G48" s="112"/>
      <c r="H48" s="112"/>
      <c r="I48" s="28">
        <f t="shared" si="4"/>
        <v>0.32999999821186066</v>
      </c>
      <c r="J48" s="28"/>
      <c r="K48" s="28"/>
      <c r="L48" s="28"/>
      <c r="M48" s="28">
        <f t="shared" si="5"/>
        <v>0.32999999821186066</v>
      </c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8" ht="9.75" customHeight="1" x14ac:dyDescent="0.35">
      <c r="A49" s="52" t="s">
        <v>27</v>
      </c>
      <c r="B49" s="112">
        <v>-66003125</v>
      </c>
      <c r="C49" s="112">
        <f>201939.25+34033.58-2083.33-35530-1781635.36+458054.33-6645043-106413-25522248</f>
        <v>-33398925.530000001</v>
      </c>
      <c r="D49" s="112">
        <f>-4756353+464934</f>
        <v>-4291419</v>
      </c>
      <c r="E49" s="112">
        <f>103064147-464934</f>
        <v>102599213</v>
      </c>
      <c r="F49" s="112"/>
      <c r="G49" s="112">
        <f>713944-16006161-404933+16791406</f>
        <v>1094256</v>
      </c>
      <c r="H49" s="112"/>
      <c r="I49" s="28">
        <f t="shared" si="4"/>
        <v>-0.5300000011920929</v>
      </c>
      <c r="J49" s="28"/>
      <c r="K49" s="28"/>
      <c r="L49" s="28"/>
      <c r="M49" s="28">
        <f t="shared" si="5"/>
        <v>-0.5300000011920929</v>
      </c>
      <c r="N49" s="2"/>
      <c r="O49" s="2"/>
      <c r="P49" s="2"/>
      <c r="Q49" s="2"/>
      <c r="R49" s="2"/>
      <c r="S49" s="2"/>
      <c r="T49" s="2"/>
      <c r="U49" s="2"/>
      <c r="V49" s="2"/>
      <c r="W49" s="2"/>
      <c r="Z49" s="1" t="e">
        <f>SUM(O49+#REF!+M49+R49+T49+X49)</f>
        <v>#REF!</v>
      </c>
    </row>
    <row r="50" spans="1:28" ht="9.75" customHeight="1" x14ac:dyDescent="0.35">
      <c r="A50" s="52" t="s">
        <v>26</v>
      </c>
      <c r="B50" s="112"/>
      <c r="C50" s="112"/>
      <c r="D50" s="112"/>
      <c r="E50" s="112"/>
      <c r="F50" s="112"/>
      <c r="G50" s="112"/>
      <c r="H50" s="112"/>
      <c r="I50" s="28">
        <f t="shared" si="4"/>
        <v>0</v>
      </c>
      <c r="J50" s="28"/>
      <c r="K50" s="28"/>
      <c r="L50" s="28"/>
      <c r="M50" s="28">
        <f t="shared" si="5"/>
        <v>0</v>
      </c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8" ht="9.75" customHeight="1" x14ac:dyDescent="0.35">
      <c r="A51" s="6" t="s">
        <v>25</v>
      </c>
      <c r="B51" s="112">
        <v>-19409721</v>
      </c>
      <c r="C51" s="112">
        <v>-322303.01</v>
      </c>
      <c r="D51" s="112">
        <f>-19262420+(42406665.95+1173739.93)</f>
        <v>24317985.880000003</v>
      </c>
      <c r="E51" s="112">
        <f>-93945137-(42406665.95+1173739.93)</f>
        <v>-137525542.88</v>
      </c>
      <c r="F51" s="112">
        <v>132939581</v>
      </c>
      <c r="G51" s="112"/>
      <c r="H51" s="112"/>
      <c r="I51" s="28">
        <f t="shared" si="4"/>
        <v>-9.9999904632568359E-3</v>
      </c>
      <c r="J51" s="28"/>
      <c r="K51" s="28"/>
      <c r="L51" s="28"/>
      <c r="M51" s="28">
        <f t="shared" si="5"/>
        <v>-9.9999904632568359E-3</v>
      </c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8" s="15" customFormat="1" x14ac:dyDescent="0.35">
      <c r="A52" s="49" t="s">
        <v>109</v>
      </c>
      <c r="B52" s="83">
        <f t="shared" ref="B52:I52" si="6">+B33-B40+SUM(B43:B51)</f>
        <v>0.52399992942810059</v>
      </c>
      <c r="C52" s="83">
        <f t="shared" si="6"/>
        <v>-32204226.100000001</v>
      </c>
      <c r="D52" s="83">
        <f t="shared" si="6"/>
        <v>114444326</v>
      </c>
      <c r="E52" s="83">
        <f t="shared" si="6"/>
        <v>59082085</v>
      </c>
      <c r="F52" s="83">
        <f t="shared" si="6"/>
        <v>17352082</v>
      </c>
      <c r="G52" s="83">
        <f t="shared" si="6"/>
        <v>115936650</v>
      </c>
      <c r="H52" s="83">
        <f t="shared" si="6"/>
        <v>-3008968</v>
      </c>
      <c r="I52" s="56">
        <f t="shared" si="6"/>
        <v>271601949.42399967</v>
      </c>
      <c r="J52" s="28"/>
      <c r="K52" s="56">
        <f>+K33-K40+SUM(K43:K51)</f>
        <v>93827423</v>
      </c>
      <c r="L52" s="56">
        <f>+L33-L40+SUM(L43:L51)</f>
        <v>65445569</v>
      </c>
      <c r="M52" s="56">
        <f>+M33-M40+SUM(M43:M51)</f>
        <v>430874941.42399967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42"/>
      <c r="Y52" s="42"/>
    </row>
    <row r="53" spans="1:28" s="15" customFormat="1" x14ac:dyDescent="0.35">
      <c r="A53" s="49" t="s">
        <v>91</v>
      </c>
      <c r="B53" s="86"/>
      <c r="C53" s="86"/>
      <c r="D53" s="86"/>
      <c r="E53" s="86"/>
      <c r="F53" s="86"/>
      <c r="G53" s="86"/>
      <c r="H53" s="86"/>
      <c r="I53" s="43">
        <f>SUM(B53:H53)</f>
        <v>0</v>
      </c>
      <c r="J53" s="28"/>
      <c r="K53" s="43"/>
      <c r="L53" s="43">
        <v>0</v>
      </c>
      <c r="M53" s="43">
        <f>SUM(I53:L53)</f>
        <v>0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42"/>
      <c r="Y53" s="42"/>
    </row>
    <row r="54" spans="1:28" s="15" customFormat="1" x14ac:dyDescent="0.35">
      <c r="A54" s="111" t="s">
        <v>108</v>
      </c>
      <c r="B54" s="101"/>
      <c r="C54" s="101"/>
      <c r="D54" s="101"/>
      <c r="E54" s="101"/>
      <c r="F54" s="101"/>
      <c r="G54" s="101"/>
      <c r="H54" s="101"/>
      <c r="I54" s="28">
        <f>SUM(B54:H54)</f>
        <v>0</v>
      </c>
      <c r="J54" s="28"/>
      <c r="K54" s="28"/>
      <c r="L54" s="43"/>
      <c r="M54" s="43">
        <f>SUM(I54:L54)</f>
        <v>0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42"/>
      <c r="Y54" s="42"/>
    </row>
    <row r="55" spans="1:28" ht="12" customHeight="1" x14ac:dyDescent="0.35">
      <c r="A55" s="41" t="s">
        <v>19</v>
      </c>
      <c r="B55" s="110">
        <v>0.78000020980834961</v>
      </c>
      <c r="C55" s="110">
        <v>-44729061</v>
      </c>
      <c r="D55" s="110">
        <v>502118183</v>
      </c>
      <c r="E55" s="110">
        <v>147361102</v>
      </c>
      <c r="F55" s="110">
        <v>662594102</v>
      </c>
      <c r="G55" s="110">
        <v>756940483</v>
      </c>
      <c r="H55" s="110">
        <v>-7572437</v>
      </c>
      <c r="I55" s="43">
        <f>SUM(B55:H55)</f>
        <v>2016712372.7800002</v>
      </c>
      <c r="J55" s="28"/>
      <c r="K55" s="43">
        <v>945644203</v>
      </c>
      <c r="L55" s="43">
        <v>1343700246</v>
      </c>
      <c r="M55" s="43">
        <f>SUM(I55:L55)</f>
        <v>4306056821.7800007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5"/>
      <c r="Y55" s="5"/>
      <c r="Z55" s="1" t="e">
        <f>SUM(O55+#REF!+M55+R55+T55+X55)</f>
        <v>#REF!</v>
      </c>
      <c r="AA55" s="1">
        <f>Y56</f>
        <v>0</v>
      </c>
      <c r="AB55" s="1">
        <f>Y55</f>
        <v>0</v>
      </c>
    </row>
    <row r="56" spans="1:28" s="9" customFormat="1" ht="12" customHeight="1" x14ac:dyDescent="0.35">
      <c r="A56" s="37" t="s">
        <v>18</v>
      </c>
      <c r="B56" s="100">
        <f t="shared" ref="B56:M56" si="7">SUM(B52:B55)</f>
        <v>1.3040001392364502</v>
      </c>
      <c r="C56" s="100">
        <f t="shared" si="7"/>
        <v>-76933287.099999994</v>
      </c>
      <c r="D56" s="100">
        <f t="shared" si="7"/>
        <v>616562509</v>
      </c>
      <c r="E56" s="100">
        <f t="shared" si="7"/>
        <v>206443187</v>
      </c>
      <c r="F56" s="100">
        <f t="shared" si="7"/>
        <v>679946184</v>
      </c>
      <c r="G56" s="100">
        <f t="shared" si="7"/>
        <v>872877133</v>
      </c>
      <c r="H56" s="100">
        <f t="shared" si="7"/>
        <v>-10581405</v>
      </c>
      <c r="I56" s="99">
        <f t="shared" si="7"/>
        <v>2288314322.204</v>
      </c>
      <c r="J56" s="32">
        <f t="shared" si="7"/>
        <v>0</v>
      </c>
      <c r="K56" s="99">
        <f t="shared" si="7"/>
        <v>1039471626</v>
      </c>
      <c r="L56" s="99">
        <f t="shared" si="7"/>
        <v>1409145815</v>
      </c>
      <c r="M56" s="99">
        <f t="shared" si="7"/>
        <v>4736931763.2040005</v>
      </c>
      <c r="N56" s="22">
        <f>M52+SUM(M54:M55)</f>
        <v>4736931763.2040005</v>
      </c>
      <c r="O56" s="2"/>
      <c r="P56" s="2"/>
      <c r="Q56" s="2"/>
      <c r="R56" s="2"/>
      <c r="S56" s="2"/>
      <c r="T56" s="2"/>
      <c r="U56" s="2"/>
      <c r="V56" s="2"/>
      <c r="W56" s="2"/>
      <c r="X56" s="36"/>
      <c r="Y56" s="36"/>
      <c r="Z56" s="9" t="e">
        <f>SUM(O56+#REF!+M56+R56+T56+X56)</f>
        <v>#REF!</v>
      </c>
      <c r="AA56" s="9">
        <f>SUM(AA54:AA55)</f>
        <v>0</v>
      </c>
      <c r="AB56" s="9">
        <f>SUM(AB54:AB55)</f>
        <v>0</v>
      </c>
    </row>
    <row r="57" spans="1:28" s="7" customFormat="1" ht="2.1" customHeight="1" x14ac:dyDescent="0.35">
      <c r="B57" s="109"/>
      <c r="C57" s="109"/>
      <c r="D57" s="109"/>
      <c r="E57" s="109"/>
      <c r="F57" s="109"/>
      <c r="G57" s="109"/>
      <c r="H57" s="109"/>
      <c r="I57" s="108"/>
      <c r="J57" s="63"/>
      <c r="K57" s="108"/>
      <c r="L57" s="108"/>
      <c r="M57" s="108"/>
      <c r="N57" s="2"/>
      <c r="O57" s="2"/>
      <c r="P57" s="2"/>
      <c r="Q57" s="2"/>
      <c r="R57" s="2"/>
      <c r="S57" s="2"/>
      <c r="T57" s="2"/>
      <c r="U57" s="2"/>
      <c r="V57" s="2"/>
      <c r="W57" s="2"/>
      <c r="X57" s="8"/>
      <c r="Y57" s="8"/>
      <c r="Z57" s="8"/>
    </row>
    <row r="58" spans="1:28" ht="9.9499999999999993" customHeight="1" x14ac:dyDescent="0.35">
      <c r="A58" s="2"/>
      <c r="B58" s="107"/>
      <c r="C58" s="107"/>
      <c r="D58" s="107"/>
      <c r="E58" s="107"/>
      <c r="F58" s="107"/>
      <c r="G58" s="107"/>
      <c r="H58" s="107"/>
      <c r="I58" s="64"/>
      <c r="J58" s="63"/>
      <c r="K58" s="63"/>
      <c r="L58" s="63"/>
      <c r="M58" s="63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8" ht="9.9499999999999993" customHeight="1" x14ac:dyDescent="0.35">
      <c r="A59" s="33" t="s">
        <v>17</v>
      </c>
      <c r="B59" s="107"/>
      <c r="C59" s="107"/>
      <c r="D59" s="107"/>
      <c r="E59" s="107"/>
      <c r="F59" s="107"/>
      <c r="G59" s="107"/>
      <c r="H59" s="107"/>
      <c r="I59" s="64"/>
      <c r="J59" s="63"/>
      <c r="K59" s="63"/>
      <c r="L59" s="63"/>
      <c r="M59" s="63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8" s="2" customFormat="1" ht="9.9499999999999993" customHeight="1" x14ac:dyDescent="0.35">
      <c r="A60" s="6" t="s">
        <v>16</v>
      </c>
      <c r="B60" s="102"/>
      <c r="C60" s="104">
        <f>-76933287-C64-C65-C61</f>
        <v>-16109163</v>
      </c>
      <c r="D60" s="104">
        <v>87455681</v>
      </c>
      <c r="E60" s="106"/>
      <c r="F60" s="104">
        <v>-4071887</v>
      </c>
      <c r="G60" s="101"/>
      <c r="H60" s="104">
        <v>-15225113</v>
      </c>
      <c r="I60" s="32">
        <f t="shared" ref="I60:I75" si="8">SUM(B60:H60)</f>
        <v>52049518</v>
      </c>
      <c r="J60" s="63"/>
      <c r="K60" s="28"/>
      <c r="L60" s="28"/>
      <c r="M60" s="32">
        <f t="shared" ref="M60:M75" si="9">SUM(I60:L60)</f>
        <v>52049518</v>
      </c>
    </row>
    <row r="61" spans="1:28" s="2" customFormat="1" ht="9.9499999999999993" customHeight="1" x14ac:dyDescent="0.35">
      <c r="A61" s="6" t="s">
        <v>15</v>
      </c>
      <c r="B61" s="102"/>
      <c r="C61" s="101">
        <v>-60824124</v>
      </c>
      <c r="D61" s="101">
        <v>365616836</v>
      </c>
      <c r="E61" s="101">
        <f>161572816.6-26016500</f>
        <v>135556316.59999999</v>
      </c>
      <c r="F61" s="101"/>
      <c r="G61" s="101"/>
      <c r="H61" s="101">
        <v>4643707</v>
      </c>
      <c r="I61" s="28">
        <f t="shared" si="8"/>
        <v>444992735.60000002</v>
      </c>
      <c r="J61" s="63"/>
      <c r="K61" s="28"/>
      <c r="L61" s="29"/>
      <c r="M61" s="28">
        <f t="shared" si="9"/>
        <v>444992735.60000002</v>
      </c>
    </row>
    <row r="62" spans="1:28" s="2" customFormat="1" ht="14.35" x14ac:dyDescent="0.5">
      <c r="A62" s="6" t="s">
        <v>14</v>
      </c>
      <c r="B62" s="102"/>
      <c r="C62" s="101"/>
      <c r="D62" s="101"/>
      <c r="E62" s="101"/>
      <c r="F62" s="101"/>
      <c r="G62" s="101"/>
      <c r="H62" s="101"/>
      <c r="I62" s="28">
        <f t="shared" si="8"/>
        <v>0</v>
      </c>
      <c r="J62" s="63"/>
      <c r="K62" s="32">
        <f>-K63-K67-K68+K56</f>
        <v>47425441</v>
      </c>
      <c r="L62" s="105">
        <v>34233845</v>
      </c>
      <c r="M62" s="28">
        <f t="shared" si="9"/>
        <v>81659286</v>
      </c>
    </row>
    <row r="63" spans="1:28" s="2" customFormat="1" ht="9.9499999999999993" customHeight="1" x14ac:dyDescent="0.35">
      <c r="A63" s="6" t="s">
        <v>13</v>
      </c>
      <c r="B63" s="102"/>
      <c r="C63" s="101"/>
      <c r="D63" s="101"/>
      <c r="E63" s="101"/>
      <c r="F63" s="101"/>
      <c r="G63" s="104"/>
      <c r="H63" s="101"/>
      <c r="I63" s="28">
        <f t="shared" si="8"/>
        <v>0</v>
      </c>
      <c r="J63" s="63"/>
      <c r="K63" s="29">
        <v>117211898</v>
      </c>
      <c r="L63" s="28">
        <v>59882738</v>
      </c>
      <c r="M63" s="28">
        <f t="shared" si="9"/>
        <v>177094636</v>
      </c>
    </row>
    <row r="64" spans="1:28" s="2" customFormat="1" ht="9.9499999999999993" customHeight="1" x14ac:dyDescent="0.35">
      <c r="A64" s="6" t="s">
        <v>90</v>
      </c>
      <c r="B64" s="102"/>
      <c r="C64" s="101"/>
      <c r="D64" s="101"/>
      <c r="E64" s="101"/>
      <c r="F64" s="101"/>
      <c r="G64" s="104"/>
      <c r="H64" s="101"/>
      <c r="I64" s="28">
        <f t="shared" si="8"/>
        <v>0</v>
      </c>
      <c r="J64" s="63"/>
      <c r="K64" s="29"/>
      <c r="L64" s="28"/>
      <c r="M64" s="28">
        <f t="shared" si="9"/>
        <v>0</v>
      </c>
    </row>
    <row r="65" spans="1:14" s="2" customFormat="1" ht="9.9499999999999993" customHeight="1" x14ac:dyDescent="0.35">
      <c r="A65" s="6" t="s">
        <v>12</v>
      </c>
      <c r="B65" s="102"/>
      <c r="C65" s="101"/>
      <c r="D65" s="101"/>
      <c r="E65" s="101"/>
      <c r="F65" s="101"/>
      <c r="G65" s="101"/>
      <c r="H65" s="101"/>
      <c r="I65" s="28">
        <f t="shared" si="8"/>
        <v>0</v>
      </c>
      <c r="J65" s="63"/>
      <c r="K65" s="28"/>
      <c r="L65" s="28"/>
      <c r="M65" s="28">
        <f t="shared" si="9"/>
        <v>0</v>
      </c>
    </row>
    <row r="66" spans="1:14" s="2" customFormat="1" ht="9.9499999999999993" customHeight="1" x14ac:dyDescent="0.35">
      <c r="A66" s="6" t="s">
        <v>11</v>
      </c>
      <c r="B66" s="102"/>
      <c r="C66" s="101"/>
      <c r="D66" s="101">
        <v>163489993</v>
      </c>
      <c r="E66" s="101"/>
      <c r="F66" s="101"/>
      <c r="G66" s="101"/>
      <c r="H66" s="101"/>
      <c r="I66" s="28">
        <f t="shared" si="8"/>
        <v>163489993</v>
      </c>
      <c r="J66" s="63"/>
      <c r="K66" s="29"/>
      <c r="L66" s="29"/>
      <c r="M66" s="28">
        <f t="shared" si="9"/>
        <v>163489993</v>
      </c>
    </row>
    <row r="67" spans="1:14" s="2" customFormat="1" ht="9.9499999999999993" customHeight="1" x14ac:dyDescent="0.35">
      <c r="A67" s="6" t="s">
        <v>10</v>
      </c>
      <c r="B67" s="102"/>
      <c r="C67" s="101"/>
      <c r="D67" s="101"/>
      <c r="E67" s="101"/>
      <c r="F67" s="101"/>
      <c r="G67" s="101"/>
      <c r="H67" s="101"/>
      <c r="I67" s="28">
        <f t="shared" si="8"/>
        <v>0</v>
      </c>
      <c r="J67" s="63"/>
      <c r="K67" s="103">
        <v>38915192</v>
      </c>
      <c r="L67" s="28">
        <v>75847811</v>
      </c>
      <c r="M67" s="28">
        <f t="shared" si="9"/>
        <v>114763003</v>
      </c>
    </row>
    <row r="68" spans="1:14" s="2" customFormat="1" ht="9.9499999999999993" customHeight="1" x14ac:dyDescent="0.35">
      <c r="A68" s="6" t="s">
        <v>9</v>
      </c>
      <c r="B68" s="102"/>
      <c r="C68" s="101"/>
      <c r="D68" s="101"/>
      <c r="E68" s="101"/>
      <c r="F68" s="101"/>
      <c r="G68" s="101"/>
      <c r="H68" s="101"/>
      <c r="I68" s="28">
        <f t="shared" si="8"/>
        <v>0</v>
      </c>
      <c r="J68" s="63"/>
      <c r="K68" s="28">
        <v>835919095</v>
      </c>
      <c r="L68" s="28">
        <f>1299064160-L63</f>
        <v>1239181422</v>
      </c>
      <c r="M68" s="28">
        <f t="shared" si="9"/>
        <v>2075100517</v>
      </c>
    </row>
    <row r="69" spans="1:14" s="2" customFormat="1" x14ac:dyDescent="0.35">
      <c r="A69" s="6" t="s">
        <v>8</v>
      </c>
      <c r="B69" s="102"/>
      <c r="C69" s="101"/>
      <c r="D69" s="101"/>
      <c r="E69" s="101"/>
      <c r="F69" s="101"/>
      <c r="G69" s="101"/>
      <c r="H69" s="101"/>
      <c r="I69" s="28">
        <f t="shared" si="8"/>
        <v>0</v>
      </c>
      <c r="J69" s="63"/>
      <c r="K69" s="28"/>
      <c r="L69" s="28"/>
      <c r="M69" s="28">
        <f t="shared" si="9"/>
        <v>0</v>
      </c>
    </row>
    <row r="70" spans="1:14" s="2" customFormat="1" x14ac:dyDescent="0.35">
      <c r="A70" s="6" t="s">
        <v>7</v>
      </c>
      <c r="B70" s="102"/>
      <c r="C70" s="101"/>
      <c r="D70" s="101"/>
      <c r="E70" s="101"/>
      <c r="F70" s="101"/>
      <c r="G70" s="101">
        <f>+G56</f>
        <v>872877133</v>
      </c>
      <c r="H70" s="101"/>
      <c r="I70" s="28">
        <f t="shared" si="8"/>
        <v>872877133</v>
      </c>
      <c r="J70" s="63"/>
      <c r="K70" s="28"/>
      <c r="L70" s="28"/>
      <c r="M70" s="28">
        <f t="shared" si="9"/>
        <v>872877133</v>
      </c>
    </row>
    <row r="71" spans="1:14" s="2" customFormat="1" x14ac:dyDescent="0.35">
      <c r="A71" s="6" t="s">
        <v>6</v>
      </c>
      <c r="B71" s="102"/>
      <c r="C71" s="101"/>
      <c r="D71" s="101"/>
      <c r="E71" s="101"/>
      <c r="F71" s="101"/>
      <c r="G71" s="101"/>
      <c r="H71" s="101"/>
      <c r="I71" s="28">
        <f t="shared" si="8"/>
        <v>0</v>
      </c>
      <c r="J71" s="63"/>
      <c r="K71" s="28"/>
      <c r="L71" s="28"/>
      <c r="M71" s="28">
        <f t="shared" si="9"/>
        <v>0</v>
      </c>
    </row>
    <row r="72" spans="1:14" s="2" customFormat="1" x14ac:dyDescent="0.35">
      <c r="A72" s="6" t="s">
        <v>5</v>
      </c>
      <c r="B72" s="102"/>
      <c r="C72" s="101"/>
      <c r="D72" s="101"/>
      <c r="E72" s="101"/>
      <c r="F72" s="101"/>
      <c r="G72" s="101"/>
      <c r="H72" s="101"/>
      <c r="I72" s="28">
        <f t="shared" si="8"/>
        <v>0</v>
      </c>
      <c r="J72" s="63"/>
      <c r="K72" s="28"/>
      <c r="L72" s="28"/>
      <c r="M72" s="28">
        <f t="shared" si="9"/>
        <v>0</v>
      </c>
    </row>
    <row r="73" spans="1:14" s="2" customFormat="1" x14ac:dyDescent="0.35">
      <c r="A73" s="6" t="s">
        <v>4</v>
      </c>
      <c r="B73" s="102"/>
      <c r="C73" s="101"/>
      <c r="D73" s="101"/>
      <c r="E73" s="101"/>
      <c r="F73" s="101"/>
      <c r="G73" s="101"/>
      <c r="H73" s="101"/>
      <c r="I73" s="28">
        <f t="shared" si="8"/>
        <v>0</v>
      </c>
      <c r="J73" s="63"/>
      <c r="K73" s="28"/>
      <c r="L73" s="28"/>
      <c r="M73" s="28">
        <f t="shared" si="9"/>
        <v>0</v>
      </c>
    </row>
    <row r="74" spans="1:14" s="2" customFormat="1" x14ac:dyDescent="0.35">
      <c r="A74" s="6" t="s">
        <v>3</v>
      </c>
      <c r="B74" s="102"/>
      <c r="C74" s="101"/>
      <c r="D74" s="101"/>
      <c r="E74" s="101">
        <v>70886870.049999997</v>
      </c>
      <c r="F74" s="101"/>
      <c r="G74" s="101"/>
      <c r="H74" s="101"/>
      <c r="I74" s="28">
        <f t="shared" si="8"/>
        <v>70886870.049999997</v>
      </c>
      <c r="J74" s="63"/>
      <c r="K74" s="28"/>
      <c r="L74" s="28"/>
      <c r="M74" s="28">
        <f t="shared" si="9"/>
        <v>70886870.049999997</v>
      </c>
    </row>
    <row r="75" spans="1:14" s="2" customFormat="1" x14ac:dyDescent="0.35">
      <c r="A75" s="6" t="s">
        <v>2</v>
      </c>
      <c r="B75" s="102"/>
      <c r="C75" s="101"/>
      <c r="D75" s="101"/>
      <c r="E75" s="101"/>
      <c r="F75" s="101">
        <f>679946186-F60</f>
        <v>684018073</v>
      </c>
      <c r="G75" s="101"/>
      <c r="H75" s="101"/>
      <c r="I75" s="28">
        <f t="shared" si="8"/>
        <v>684018073</v>
      </c>
      <c r="J75" s="63"/>
      <c r="K75" s="28"/>
      <c r="L75" s="28"/>
      <c r="M75" s="28">
        <f t="shared" si="9"/>
        <v>684018073</v>
      </c>
    </row>
    <row r="76" spans="1:14" s="2" customFormat="1" ht="10.7" thickBot="1" x14ac:dyDescent="0.4">
      <c r="A76" s="27"/>
      <c r="B76" s="100">
        <f t="shared" ref="B76:I76" si="10">SUM(B60:B75)</f>
        <v>0</v>
      </c>
      <c r="C76" s="100">
        <f t="shared" si="10"/>
        <v>-76933287</v>
      </c>
      <c r="D76" s="100">
        <f t="shared" si="10"/>
        <v>616562510</v>
      </c>
      <c r="E76" s="100">
        <f t="shared" si="10"/>
        <v>206443186.64999998</v>
      </c>
      <c r="F76" s="100">
        <f t="shared" si="10"/>
        <v>679946186</v>
      </c>
      <c r="G76" s="100">
        <f t="shared" si="10"/>
        <v>872877133</v>
      </c>
      <c r="H76" s="100">
        <f t="shared" si="10"/>
        <v>-10581406</v>
      </c>
      <c r="I76" s="99">
        <f t="shared" si="10"/>
        <v>2288314322.6499996</v>
      </c>
      <c r="J76" s="32"/>
      <c r="K76" s="99">
        <f>SUM(K60:K75)</f>
        <v>1039471626</v>
      </c>
      <c r="L76" s="99">
        <f>SUM(L60:L75)</f>
        <v>1409145816</v>
      </c>
      <c r="M76" s="99">
        <f>SUM(M60:M75)</f>
        <v>4736931764.6499996</v>
      </c>
      <c r="N76" s="22">
        <f>I76+J76+K76+L76</f>
        <v>4736931764.6499996</v>
      </c>
    </row>
    <row r="77" spans="1:14" s="2" customFormat="1" ht="10.7" thickTop="1" x14ac:dyDescent="0.35">
      <c r="A77" s="21" t="s">
        <v>1</v>
      </c>
      <c r="B77" s="98"/>
      <c r="C77" s="98"/>
      <c r="D77" s="98"/>
      <c r="E77" s="98"/>
      <c r="F77" s="98"/>
      <c r="G77" s="98"/>
      <c r="H77" s="98"/>
      <c r="I77" s="98"/>
      <c r="K77" s="98"/>
      <c r="L77" s="98"/>
      <c r="M77" s="98"/>
    </row>
    <row r="78" spans="1:14" s="2" customFormat="1" x14ac:dyDescent="0.35">
      <c r="A78" s="2" t="s">
        <v>0</v>
      </c>
      <c r="B78" s="18">
        <f t="shared" ref="B78:M78" si="11">B56-B76</f>
        <v>1.3040001392364502</v>
      </c>
      <c r="C78" s="18">
        <f t="shared" si="11"/>
        <v>-9.9999994039535522E-2</v>
      </c>
      <c r="D78" s="18">
        <f t="shared" si="11"/>
        <v>-1</v>
      </c>
      <c r="E78" s="18">
        <f t="shared" si="11"/>
        <v>0.35000002384185791</v>
      </c>
      <c r="F78" s="18">
        <f t="shared" si="11"/>
        <v>-2</v>
      </c>
      <c r="G78" s="18">
        <f t="shared" si="11"/>
        <v>0</v>
      </c>
      <c r="H78" s="18">
        <f t="shared" si="11"/>
        <v>1</v>
      </c>
      <c r="I78" s="18">
        <f t="shared" si="11"/>
        <v>-0.4459996223449707</v>
      </c>
      <c r="J78" s="18">
        <f t="shared" si="11"/>
        <v>0</v>
      </c>
      <c r="K78" s="18">
        <f t="shared" si="11"/>
        <v>0</v>
      </c>
      <c r="L78" s="18">
        <f t="shared" si="11"/>
        <v>-1</v>
      </c>
      <c r="M78" s="18">
        <f t="shared" si="11"/>
        <v>-1.4459991455078125</v>
      </c>
    </row>
    <row r="79" spans="1:14" s="2" customFormat="1" x14ac:dyDescent="0.35"/>
    <row r="80" spans="1:14" s="2" customFormat="1" x14ac:dyDescent="0.35">
      <c r="D80" s="17"/>
    </row>
    <row r="81" spans="1:23" s="2" customFormat="1" x14ac:dyDescent="0.35">
      <c r="G81" s="96" t="s">
        <v>107</v>
      </c>
      <c r="H81" s="97"/>
      <c r="I81" s="96"/>
      <c r="J81" s="96"/>
      <c r="K81" s="96"/>
      <c r="M81" s="96" t="s">
        <v>106</v>
      </c>
      <c r="N81" s="96"/>
      <c r="O81" s="96"/>
    </row>
    <row r="82" spans="1:23" s="2" customFormat="1" x14ac:dyDescent="0.35">
      <c r="H82" s="95" t="s">
        <v>105</v>
      </c>
      <c r="I82" s="95" t="s">
        <v>104</v>
      </c>
      <c r="K82" s="2" t="s">
        <v>0</v>
      </c>
      <c r="M82" s="95" t="s">
        <v>105</v>
      </c>
      <c r="N82" s="95" t="s">
        <v>104</v>
      </c>
      <c r="O82" s="2" t="s">
        <v>0</v>
      </c>
    </row>
    <row r="83" spans="1:23" ht="11.1" customHeight="1" x14ac:dyDescent="0.35">
      <c r="A83" s="2"/>
      <c r="B83" s="2"/>
      <c r="C83" s="2"/>
      <c r="D83" s="2"/>
      <c r="E83" s="2"/>
      <c r="H83" s="1">
        <f>+'[4]Balance Sheet FY10'!$AA$35</f>
        <v>2320548851.1300001</v>
      </c>
      <c r="I83" s="1">
        <f>I56</f>
        <v>2288314322.204</v>
      </c>
      <c r="K83" s="90">
        <f>H83-I83</f>
        <v>32234528.926000118</v>
      </c>
      <c r="L83" s="2"/>
      <c r="M83" s="20">
        <f>+'[4]Balance Sheet FY10'!$AI$38</f>
        <v>4736931764.5</v>
      </c>
      <c r="N83" s="22">
        <f>M56</f>
        <v>4736931763.2040005</v>
      </c>
      <c r="O83" s="22">
        <f>M83-N83</f>
        <v>1.2959995269775391</v>
      </c>
      <c r="P83" s="2"/>
      <c r="Q83" s="2"/>
      <c r="R83" s="2"/>
      <c r="S83" s="2"/>
      <c r="T83" s="2"/>
      <c r="U83" s="2"/>
      <c r="V83" s="2"/>
      <c r="W83" s="2"/>
    </row>
    <row r="84" spans="1:23" x14ac:dyDescent="0.35">
      <c r="A84" s="2"/>
      <c r="B84" s="2"/>
      <c r="C84" s="2"/>
      <c r="D84" s="2"/>
      <c r="E84" s="2"/>
      <c r="G84" s="1" t="s">
        <v>103</v>
      </c>
      <c r="I84" s="2"/>
      <c r="K84" s="93">
        <f>+'[4]Balance Sheet FY10'!$AB$35</f>
        <v>0</v>
      </c>
      <c r="L84" s="2"/>
      <c r="M84" s="2"/>
      <c r="N84" s="2"/>
      <c r="O84" s="20"/>
      <c r="P84" s="2"/>
      <c r="Q84" s="2"/>
      <c r="R84" s="2"/>
      <c r="S84" s="2"/>
      <c r="T84" s="2"/>
      <c r="U84" s="2"/>
      <c r="V84" s="2"/>
      <c r="W84" s="2"/>
    </row>
    <row r="85" spans="1:23" x14ac:dyDescent="0.35">
      <c r="A85" s="2"/>
      <c r="B85" s="2"/>
      <c r="C85" s="2"/>
      <c r="D85" s="2"/>
      <c r="E85" s="2"/>
      <c r="G85" s="1" t="s">
        <v>102</v>
      </c>
      <c r="I85" s="2"/>
      <c r="K85" s="93">
        <f>+'[4]Balance Sheet FY10'!$AC$35</f>
        <v>-4071886.7800000012</v>
      </c>
      <c r="L85" s="2"/>
      <c r="M85" s="2"/>
      <c r="N85" s="2"/>
      <c r="O85" s="20"/>
      <c r="P85" s="2"/>
      <c r="Q85" s="2"/>
      <c r="R85" s="2"/>
      <c r="S85" s="2"/>
      <c r="T85" s="2"/>
      <c r="U85" s="2"/>
      <c r="V85" s="2"/>
      <c r="W85" s="2"/>
    </row>
    <row r="86" spans="1:23" x14ac:dyDescent="0.35">
      <c r="A86" s="2"/>
      <c r="B86" s="2"/>
      <c r="C86" s="2"/>
      <c r="D86" s="2"/>
      <c r="E86" s="2"/>
      <c r="G86" s="1" t="s">
        <v>101</v>
      </c>
      <c r="I86" s="2"/>
      <c r="J86" s="94"/>
      <c r="K86" s="93">
        <f>+'[4]Balance Sheet FY10'!$AD$35</f>
        <v>26036220.179999989</v>
      </c>
      <c r="L86" s="2"/>
      <c r="M86" s="2"/>
      <c r="N86" s="2"/>
      <c r="O86" s="20"/>
      <c r="P86" s="2"/>
      <c r="Q86" s="2"/>
      <c r="R86" s="2"/>
      <c r="S86" s="2"/>
      <c r="T86" s="2"/>
      <c r="U86" s="2"/>
      <c r="V86" s="2"/>
      <c r="W86" s="2"/>
    </row>
    <row r="87" spans="1:23" x14ac:dyDescent="0.35">
      <c r="A87" s="2"/>
      <c r="B87" s="2"/>
      <c r="C87" s="2"/>
      <c r="D87" s="2"/>
      <c r="E87" s="2"/>
      <c r="G87" s="1" t="s">
        <v>100</v>
      </c>
      <c r="I87" s="2"/>
      <c r="J87" s="94"/>
      <c r="K87" s="93">
        <f>+'[4]Balance Sheet FY10'!$AE$35</f>
        <v>6612776</v>
      </c>
      <c r="L87" s="2"/>
      <c r="M87" s="2"/>
      <c r="N87" s="2"/>
      <c r="O87" s="20"/>
      <c r="P87" s="2"/>
      <c r="Q87" s="2"/>
      <c r="R87" s="2"/>
      <c r="S87" s="2"/>
      <c r="T87" s="2"/>
      <c r="U87" s="2"/>
      <c r="V87" s="2"/>
      <c r="W87" s="2"/>
    </row>
    <row r="88" spans="1:23" x14ac:dyDescent="0.35">
      <c r="A88" s="2"/>
      <c r="B88" s="2"/>
      <c r="C88" s="2"/>
      <c r="D88" s="2"/>
      <c r="E88" s="2"/>
      <c r="G88" s="91" t="s">
        <v>99</v>
      </c>
      <c r="I88" s="2"/>
      <c r="J88" s="94"/>
      <c r="K88" s="93">
        <f>+'[4]Balance Sheet FY10'!$AF$35</f>
        <v>12484.61</v>
      </c>
      <c r="L88" s="2"/>
      <c r="M88" s="2"/>
      <c r="N88" s="2"/>
      <c r="O88" s="20"/>
      <c r="P88" s="2"/>
      <c r="Q88" s="2"/>
      <c r="R88" s="2"/>
      <c r="S88" s="2"/>
      <c r="T88" s="2"/>
      <c r="U88" s="2"/>
      <c r="V88" s="2"/>
      <c r="W88" s="2"/>
    </row>
    <row r="89" spans="1:23" ht="11.1" customHeight="1" x14ac:dyDescent="0.35">
      <c r="A89" s="2"/>
      <c r="B89" s="2"/>
      <c r="C89" s="2"/>
      <c r="D89" s="2"/>
      <c r="E89" s="2"/>
      <c r="G89" s="1" t="s">
        <v>98</v>
      </c>
      <c r="K89" s="93">
        <f>+'[4]Balance Sheet FY10'!$AG$35</f>
        <v>-60824124</v>
      </c>
      <c r="L89" s="2"/>
      <c r="M89" s="2"/>
      <c r="N89" s="2"/>
      <c r="O89" s="20"/>
      <c r="P89" s="2"/>
      <c r="Q89" s="2"/>
      <c r="R89" s="2"/>
      <c r="S89" s="2"/>
      <c r="T89" s="2"/>
      <c r="U89" s="2"/>
      <c r="V89" s="2"/>
      <c r="W89" s="2"/>
    </row>
    <row r="90" spans="1:23" x14ac:dyDescent="0.35">
      <c r="A90" s="2"/>
      <c r="B90" s="2"/>
      <c r="C90" s="2"/>
      <c r="D90" s="2"/>
      <c r="E90" s="2"/>
      <c r="K90" s="92">
        <f>SUM(K83:K89)</f>
        <v>-1.0639998912811279</v>
      </c>
      <c r="L90" s="2"/>
      <c r="O90" s="9">
        <f>SUM(O83:O89)</f>
        <v>1.2959995269775391</v>
      </c>
      <c r="P90" s="2"/>
      <c r="Q90" s="90">
        <f>+O90-K90</f>
        <v>2.359999418258667</v>
      </c>
      <c r="R90" s="2"/>
      <c r="S90" s="2"/>
      <c r="T90" s="2"/>
      <c r="U90" s="2"/>
      <c r="V90" s="2"/>
      <c r="W90" s="2"/>
    </row>
    <row r="91" spans="1:23" x14ac:dyDescent="0.35">
      <c r="A91" s="2"/>
      <c r="B91" s="2"/>
      <c r="C91" s="2"/>
      <c r="D91" s="2"/>
      <c r="E91" s="2"/>
      <c r="K91" s="90"/>
      <c r="L91" s="2"/>
      <c r="P91" s="2"/>
      <c r="Q91" s="2"/>
      <c r="R91" s="2"/>
      <c r="S91" s="2"/>
      <c r="T91" s="2"/>
      <c r="U91" s="2"/>
      <c r="V91" s="2"/>
      <c r="W91" s="2"/>
    </row>
    <row r="92" spans="1:23" x14ac:dyDescent="0.35">
      <c r="A92" s="2"/>
      <c r="B92" s="2"/>
      <c r="C92" s="2"/>
      <c r="D92" s="2"/>
      <c r="E92" s="89"/>
      <c r="I92" s="91"/>
      <c r="K92" s="90"/>
      <c r="L92" s="2"/>
      <c r="M92" s="2"/>
      <c r="N92" s="2"/>
      <c r="O92" s="20"/>
      <c r="P92" s="2"/>
      <c r="Q92" s="2"/>
      <c r="R92" s="2"/>
      <c r="S92" s="2"/>
      <c r="T92" s="2"/>
      <c r="U92" s="2"/>
      <c r="V92" s="2"/>
      <c r="W92" s="2"/>
    </row>
    <row r="93" spans="1:23" x14ac:dyDescent="0.35">
      <c r="A93" s="2"/>
      <c r="B93" s="2"/>
      <c r="C93" s="2"/>
      <c r="D93" s="2"/>
      <c r="E93" s="89"/>
      <c r="K93" s="90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x14ac:dyDescent="0.35">
      <c r="A94" s="2"/>
      <c r="B94" s="2"/>
      <c r="C94" s="2"/>
      <c r="D94" s="2"/>
      <c r="E94" s="89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x14ac:dyDescent="0.35">
      <c r="A95" s="2"/>
      <c r="B95" s="2"/>
      <c r="C95" s="2"/>
      <c r="D95" s="2"/>
      <c r="E95" s="89"/>
      <c r="F95" s="5"/>
      <c r="G95" s="5"/>
      <c r="H95" s="5"/>
      <c r="I95" s="5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x14ac:dyDescent="0.35">
      <c r="A96" s="2"/>
      <c r="B96" s="2"/>
      <c r="C96" s="2"/>
      <c r="D96" s="2"/>
      <c r="E96" s="89"/>
      <c r="F96" s="5"/>
      <c r="G96" s="5"/>
      <c r="H96" s="5"/>
      <c r="I96" s="5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x14ac:dyDescent="0.35">
      <c r="A97" s="2"/>
      <c r="B97" s="2"/>
      <c r="C97" s="2"/>
      <c r="D97" s="2"/>
      <c r="E97" s="89"/>
      <c r="F97" s="2"/>
      <c r="G97" s="2"/>
      <c r="H97" s="2"/>
      <c r="I97" s="13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x14ac:dyDescent="0.35">
      <c r="A98" s="2"/>
      <c r="B98" s="2"/>
      <c r="C98" s="2"/>
      <c r="D98" s="2"/>
      <c r="E98" s="89"/>
      <c r="F98" s="2"/>
      <c r="G98" s="2"/>
      <c r="H98" s="2"/>
      <c r="I98" s="13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x14ac:dyDescent="0.35">
      <c r="A99" s="2"/>
      <c r="B99" s="2"/>
      <c r="C99" s="2"/>
      <c r="D99" s="2"/>
      <c r="E99" s="2"/>
      <c r="F99" s="2"/>
      <c r="G99" s="2"/>
      <c r="H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x14ac:dyDescent="0.35">
      <c r="A100" s="2"/>
      <c r="B100" s="2"/>
      <c r="C100" s="2"/>
      <c r="D100" s="2"/>
      <c r="E100" s="2"/>
      <c r="F100" s="2"/>
      <c r="G100" s="2"/>
      <c r="H100" s="2"/>
      <c r="I100" s="1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x14ac:dyDescent="0.35">
      <c r="A101" s="2"/>
      <c r="B101" s="2"/>
      <c r="C101" s="2"/>
      <c r="D101" s="2"/>
      <c r="E101" s="2"/>
      <c r="F101" s="2"/>
      <c r="G101" s="2"/>
      <c r="H101" s="2"/>
      <c r="I101" s="1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x14ac:dyDescent="0.35">
      <c r="A102" s="2"/>
      <c r="B102" s="2"/>
      <c r="C102" s="2"/>
      <c r="D102" s="2"/>
      <c r="E102" s="2"/>
      <c r="F102" s="2"/>
      <c r="G102" s="2"/>
      <c r="H102" s="2"/>
      <c r="I102" s="1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x14ac:dyDescent="0.35">
      <c r="A103" s="2"/>
      <c r="B103" s="2"/>
      <c r="C103" s="2"/>
      <c r="D103" s="2"/>
      <c r="E103" s="2"/>
      <c r="F103" s="2"/>
      <c r="G103" s="2"/>
      <c r="H103" s="2"/>
      <c r="I103" s="1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1.1" customHeight="1" x14ac:dyDescent="0.35">
      <c r="A104" s="2"/>
      <c r="B104" s="2"/>
      <c r="C104" s="2"/>
      <c r="D104" s="2"/>
      <c r="E104" s="2"/>
      <c r="F104" s="2"/>
      <c r="G104" s="2"/>
      <c r="H104" s="2"/>
      <c r="I104" s="1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1.1" customHeight="1" x14ac:dyDescent="0.35">
      <c r="A105" s="2"/>
      <c r="B105" s="2"/>
      <c r="C105" s="2"/>
      <c r="D105" s="2"/>
      <c r="E105" s="2"/>
      <c r="F105" s="2"/>
      <c r="G105" s="2"/>
      <c r="H105" s="2"/>
      <c r="I105" s="1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1.1" customHeight="1" x14ac:dyDescent="0.35">
      <c r="A106" s="2"/>
      <c r="B106" s="2"/>
      <c r="C106" s="2"/>
      <c r="D106" s="2"/>
      <c r="E106" s="2"/>
      <c r="F106" s="2"/>
      <c r="G106" s="2"/>
      <c r="H106" s="2"/>
      <c r="I106" s="1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1.1" customHeight="1" x14ac:dyDescent="0.35">
      <c r="A107" s="2"/>
      <c r="B107" s="2"/>
      <c r="C107" s="2"/>
      <c r="D107" s="2"/>
      <c r="E107" s="2"/>
      <c r="F107" s="2"/>
      <c r="G107" s="2"/>
      <c r="H107" s="2"/>
      <c r="I107" s="1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2.1" customHeight="1" x14ac:dyDescent="0.35">
      <c r="A108" s="2"/>
      <c r="B108" s="2"/>
      <c r="C108" s="2"/>
      <c r="D108" s="2"/>
      <c r="E108" s="2"/>
      <c r="F108" s="2"/>
      <c r="G108" s="2"/>
      <c r="H108" s="2"/>
      <c r="I108" s="1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x14ac:dyDescent="0.35">
      <c r="A109" s="2"/>
      <c r="B109" s="2"/>
      <c r="C109" s="2"/>
      <c r="D109" s="2"/>
      <c r="E109" s="2"/>
      <c r="F109" s="2"/>
      <c r="G109" s="2"/>
      <c r="H109" s="2"/>
      <c r="I109" s="1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x14ac:dyDescent="0.35">
      <c r="A110" s="2"/>
      <c r="B110" s="2"/>
      <c r="C110" s="2"/>
      <c r="D110" s="2"/>
      <c r="E110" s="2"/>
      <c r="F110" s="2"/>
      <c r="G110" s="2"/>
      <c r="H110" s="2"/>
      <c r="I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x14ac:dyDescent="0.35">
      <c r="A111" s="2"/>
      <c r="B111" s="2"/>
      <c r="C111" s="2"/>
      <c r="D111" s="2"/>
      <c r="E111" s="2"/>
      <c r="F111" s="2"/>
      <c r="G111" s="2"/>
      <c r="H111" s="2"/>
      <c r="I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x14ac:dyDescent="0.35">
      <c r="A112" s="2"/>
      <c r="B112" s="2"/>
      <c r="C112" s="2"/>
      <c r="D112" s="2"/>
      <c r="E112" s="2"/>
      <c r="F112" s="2"/>
      <c r="G112" s="2"/>
      <c r="H112" s="2"/>
      <c r="I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x14ac:dyDescent="0.35">
      <c r="A113" s="2"/>
      <c r="B113" s="2"/>
      <c r="C113" s="2"/>
      <c r="D113" s="2"/>
      <c r="E113" s="2"/>
      <c r="F113" s="2"/>
      <c r="G113" s="2"/>
      <c r="H113" s="2"/>
      <c r="I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x14ac:dyDescent="0.35">
      <c r="A114" s="2"/>
      <c r="B114" s="2"/>
      <c r="C114" s="2"/>
      <c r="D114" s="2"/>
      <c r="E114" s="2"/>
      <c r="F114" s="2"/>
      <c r="G114" s="2"/>
      <c r="H114" s="2"/>
      <c r="I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x14ac:dyDescent="0.35">
      <c r="A115" s="2"/>
      <c r="B115" s="2"/>
      <c r="C115" s="2"/>
      <c r="D115" s="2"/>
      <c r="E115" s="2"/>
      <c r="F115" s="2"/>
      <c r="G115" s="2"/>
      <c r="H115" s="2"/>
      <c r="I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x14ac:dyDescent="0.35">
      <c r="A116" s="2"/>
      <c r="B116" s="2"/>
      <c r="C116" s="2"/>
      <c r="D116" s="2"/>
      <c r="E116" s="2"/>
      <c r="F116" s="2"/>
      <c r="G116" s="2"/>
      <c r="H116" s="2"/>
      <c r="I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x14ac:dyDescent="0.35">
      <c r="A117" s="2"/>
      <c r="B117" s="2"/>
      <c r="C117" s="2"/>
      <c r="D117" s="2"/>
      <c r="E117" s="2"/>
      <c r="F117" s="2"/>
      <c r="G117" s="2"/>
      <c r="H117" s="2"/>
      <c r="I117" s="2"/>
      <c r="K117" s="2"/>
      <c r="L117" s="2"/>
      <c r="M117" s="2"/>
      <c r="N117" s="2"/>
      <c r="O117" s="2"/>
      <c r="P117" s="2"/>
      <c r="Q117" s="5"/>
      <c r="R117" s="5">
        <f>SUM(R111:R116)</f>
        <v>0</v>
      </c>
    </row>
    <row r="118" spans="1:23" x14ac:dyDescent="0.35">
      <c r="A118" s="2"/>
      <c r="B118" s="2"/>
      <c r="C118" s="2"/>
      <c r="D118" s="2"/>
      <c r="E118" s="2"/>
      <c r="F118" s="2"/>
      <c r="G118" s="2"/>
      <c r="H118" s="2"/>
      <c r="I118" s="2"/>
      <c r="K118" s="2"/>
      <c r="L118" s="2"/>
      <c r="M118" s="2"/>
      <c r="N118" s="2"/>
      <c r="O118" s="2"/>
      <c r="P118" s="2"/>
      <c r="Q118" s="5"/>
      <c r="R118" s="1">
        <f t="shared" ref="R118:R132" si="12">SUM(K118:O118)</f>
        <v>0</v>
      </c>
    </row>
    <row r="119" spans="1:23" x14ac:dyDescent="0.35">
      <c r="A119" s="2"/>
      <c r="B119" s="2"/>
      <c r="C119" s="2"/>
      <c r="D119" s="2"/>
      <c r="E119" s="2"/>
      <c r="F119" s="2"/>
      <c r="G119" s="2"/>
      <c r="H119" s="2"/>
      <c r="I119" s="2"/>
      <c r="K119" s="2"/>
      <c r="L119" s="2"/>
      <c r="M119" s="2"/>
      <c r="N119" s="2"/>
      <c r="O119" s="2"/>
      <c r="P119" s="2"/>
      <c r="Q119" s="5"/>
      <c r="R119" s="1">
        <f t="shared" si="12"/>
        <v>0</v>
      </c>
    </row>
    <row r="120" spans="1:23" x14ac:dyDescent="0.35">
      <c r="A120" s="2"/>
      <c r="B120" s="2"/>
      <c r="C120" s="2"/>
      <c r="D120" s="2"/>
      <c r="E120" s="2"/>
      <c r="F120" s="2"/>
      <c r="G120" s="2"/>
      <c r="H120" s="2"/>
      <c r="I120" s="2"/>
      <c r="K120" s="2"/>
      <c r="L120" s="2"/>
      <c r="M120" s="2"/>
      <c r="N120" s="2"/>
      <c r="O120" s="2"/>
      <c r="P120" s="2"/>
      <c r="R120" s="1">
        <f t="shared" si="12"/>
        <v>0</v>
      </c>
    </row>
    <row r="121" spans="1:23" x14ac:dyDescent="0.35">
      <c r="A121" s="2"/>
      <c r="B121" s="2"/>
      <c r="C121" s="2"/>
      <c r="D121" s="2"/>
      <c r="E121" s="2"/>
      <c r="F121" s="2"/>
      <c r="G121" s="2"/>
      <c r="H121" s="2"/>
      <c r="I121" s="2"/>
      <c r="K121" s="2"/>
      <c r="L121" s="2"/>
      <c r="M121" s="2"/>
      <c r="N121" s="2"/>
      <c r="O121" s="2"/>
      <c r="P121" s="2"/>
      <c r="R121" s="1">
        <f t="shared" si="12"/>
        <v>0</v>
      </c>
    </row>
    <row r="122" spans="1:23" x14ac:dyDescent="0.35">
      <c r="A122" s="2"/>
      <c r="B122" s="2"/>
      <c r="C122" s="2"/>
      <c r="D122" s="2"/>
      <c r="E122" s="2"/>
      <c r="F122" s="2"/>
      <c r="G122" s="2"/>
      <c r="H122" s="2"/>
      <c r="I122" s="2"/>
      <c r="K122" s="2"/>
      <c r="L122" s="2"/>
      <c r="M122" s="2"/>
      <c r="N122" s="2"/>
      <c r="O122" s="2"/>
      <c r="P122" s="2"/>
      <c r="R122" s="1">
        <f t="shared" si="12"/>
        <v>0</v>
      </c>
    </row>
    <row r="123" spans="1:23" x14ac:dyDescent="0.35">
      <c r="A123" s="2"/>
      <c r="B123" s="2"/>
      <c r="C123" s="2"/>
      <c r="D123" s="2"/>
      <c r="E123" s="2"/>
      <c r="F123" s="2"/>
      <c r="G123" s="2"/>
      <c r="H123" s="2"/>
      <c r="I123" s="2"/>
      <c r="K123" s="2"/>
      <c r="L123" s="2"/>
      <c r="M123" s="2"/>
      <c r="N123" s="2"/>
      <c r="O123" s="2"/>
      <c r="P123" s="2"/>
      <c r="R123" s="1">
        <f t="shared" si="12"/>
        <v>0</v>
      </c>
    </row>
    <row r="124" spans="1:23" x14ac:dyDescent="0.35">
      <c r="A124" s="2"/>
      <c r="B124" s="2"/>
      <c r="C124" s="2"/>
      <c r="D124" s="2"/>
      <c r="E124" s="2"/>
      <c r="F124" s="2"/>
      <c r="G124" s="2"/>
      <c r="H124" s="2"/>
      <c r="I124" s="2"/>
      <c r="K124" s="2"/>
      <c r="L124" s="2"/>
      <c r="M124" s="2"/>
      <c r="N124" s="2"/>
      <c r="O124" s="2"/>
      <c r="P124" s="2"/>
      <c r="R124" s="1">
        <f t="shared" si="12"/>
        <v>0</v>
      </c>
    </row>
    <row r="125" spans="1:23" x14ac:dyDescent="0.35">
      <c r="A125" s="2"/>
      <c r="B125" s="2"/>
      <c r="C125" s="2"/>
      <c r="D125" s="2"/>
      <c r="E125" s="2"/>
      <c r="F125" s="2"/>
      <c r="G125" s="2"/>
      <c r="H125" s="2"/>
      <c r="I125" s="2"/>
      <c r="K125" s="2"/>
      <c r="L125" s="2"/>
      <c r="M125" s="2"/>
      <c r="N125" s="2"/>
      <c r="O125" s="2"/>
      <c r="P125" s="2"/>
      <c r="R125" s="1">
        <f t="shared" si="12"/>
        <v>0</v>
      </c>
    </row>
    <row r="126" spans="1:23" x14ac:dyDescent="0.35">
      <c r="A126" s="2"/>
      <c r="B126" s="2"/>
      <c r="C126" s="2"/>
      <c r="D126" s="2"/>
      <c r="E126" s="2"/>
      <c r="F126" s="2"/>
      <c r="G126" s="2"/>
      <c r="H126" s="2"/>
      <c r="I126" s="2"/>
      <c r="K126" s="2"/>
      <c r="L126" s="2"/>
      <c r="M126" s="2"/>
      <c r="N126" s="2"/>
      <c r="O126" s="2"/>
      <c r="P126" s="2"/>
      <c r="R126" s="1">
        <f t="shared" si="12"/>
        <v>0</v>
      </c>
    </row>
    <row r="127" spans="1:23" x14ac:dyDescent="0.35">
      <c r="A127" s="2"/>
      <c r="B127" s="2"/>
      <c r="C127" s="2"/>
      <c r="D127" s="2"/>
      <c r="E127" s="2"/>
      <c r="F127" s="2"/>
      <c r="G127" s="2"/>
      <c r="H127" s="2"/>
      <c r="I127" s="2"/>
      <c r="K127" s="2"/>
      <c r="L127" s="2"/>
      <c r="M127" s="2"/>
      <c r="N127" s="2"/>
      <c r="O127" s="2"/>
      <c r="P127" s="2"/>
      <c r="R127" s="1">
        <f t="shared" si="12"/>
        <v>0</v>
      </c>
    </row>
    <row r="128" spans="1:23" x14ac:dyDescent="0.35">
      <c r="A128" s="2"/>
      <c r="B128" s="2"/>
      <c r="C128" s="2"/>
      <c r="D128" s="2"/>
      <c r="E128" s="2"/>
      <c r="F128" s="2"/>
      <c r="G128" s="2"/>
      <c r="H128" s="2"/>
      <c r="I128" s="2"/>
      <c r="K128" s="2"/>
      <c r="L128" s="2"/>
      <c r="M128" s="2"/>
      <c r="N128" s="2"/>
      <c r="O128" s="2"/>
      <c r="P128" s="2"/>
      <c r="R128" s="1">
        <f t="shared" si="12"/>
        <v>0</v>
      </c>
    </row>
    <row r="129" spans="1:256" x14ac:dyDescent="0.35">
      <c r="A129" s="2"/>
      <c r="B129" s="2"/>
      <c r="C129" s="2"/>
      <c r="D129" s="2"/>
      <c r="E129" s="2"/>
      <c r="F129" s="2"/>
      <c r="G129" s="2"/>
      <c r="H129" s="2"/>
      <c r="I129" s="2"/>
      <c r="K129" s="2"/>
      <c r="L129" s="2"/>
      <c r="M129" s="2"/>
      <c r="N129" s="2"/>
      <c r="O129" s="2"/>
      <c r="P129" s="2"/>
      <c r="R129" s="1">
        <f t="shared" si="12"/>
        <v>0</v>
      </c>
    </row>
    <row r="130" spans="1:256" x14ac:dyDescent="0.35">
      <c r="A130" s="2"/>
      <c r="B130" s="2"/>
      <c r="C130" s="2"/>
      <c r="D130" s="2"/>
      <c r="E130" s="2"/>
      <c r="F130" s="2"/>
      <c r="G130" s="2"/>
      <c r="H130" s="2"/>
      <c r="I130" s="2"/>
      <c r="K130" s="2"/>
      <c r="L130" s="2"/>
      <c r="M130" s="2"/>
      <c r="N130" s="2"/>
      <c r="O130" s="2"/>
      <c r="P130" s="2"/>
      <c r="R130" s="1">
        <f t="shared" si="12"/>
        <v>0</v>
      </c>
    </row>
    <row r="131" spans="1:256" x14ac:dyDescent="0.35">
      <c r="A131" s="2"/>
      <c r="B131" s="2"/>
      <c r="C131" s="2"/>
      <c r="D131" s="2"/>
      <c r="E131" s="2"/>
      <c r="F131" s="2"/>
      <c r="G131" s="2"/>
      <c r="H131" s="2"/>
      <c r="I131" s="2"/>
      <c r="K131" s="2"/>
      <c r="L131" s="2"/>
      <c r="M131" s="2"/>
      <c r="N131" s="2"/>
      <c r="O131" s="2"/>
      <c r="P131" s="2"/>
      <c r="R131" s="1">
        <f t="shared" si="12"/>
        <v>0</v>
      </c>
    </row>
    <row r="132" spans="1:256" x14ac:dyDescent="0.35">
      <c r="A132" s="2"/>
      <c r="B132" s="2"/>
      <c r="C132" s="2"/>
      <c r="D132" s="2"/>
      <c r="E132" s="2"/>
      <c r="F132" s="2"/>
      <c r="G132" s="2"/>
      <c r="H132" s="2"/>
      <c r="I132" s="2"/>
      <c r="K132" s="2"/>
      <c r="L132" s="2"/>
      <c r="M132" s="2"/>
      <c r="N132" s="2"/>
      <c r="O132" s="2"/>
      <c r="P132" s="2"/>
      <c r="R132" s="1">
        <f t="shared" si="12"/>
        <v>0</v>
      </c>
    </row>
    <row r="133" spans="1:256" x14ac:dyDescent="0.35">
      <c r="A133" s="2"/>
      <c r="B133" s="2"/>
      <c r="C133" s="2"/>
      <c r="D133" s="2"/>
      <c r="E133" s="2"/>
      <c r="F133" s="2"/>
      <c r="G133" s="2"/>
      <c r="H133" s="2"/>
      <c r="I133" s="2"/>
      <c r="K133" s="2"/>
      <c r="L133" s="2"/>
      <c r="M133" s="2"/>
      <c r="N133" s="2"/>
      <c r="O133" s="2"/>
      <c r="P133" s="2"/>
    </row>
    <row r="134" spans="1:256" x14ac:dyDescent="0.35">
      <c r="A134" s="2"/>
      <c r="B134" s="2"/>
      <c r="C134" s="2"/>
      <c r="D134" s="2"/>
      <c r="E134" s="2"/>
      <c r="F134" s="2"/>
      <c r="G134" s="2"/>
      <c r="H134" s="2"/>
      <c r="I134" s="2"/>
      <c r="K134" s="2"/>
      <c r="L134" s="2"/>
      <c r="M134" s="2"/>
      <c r="N134" s="2"/>
      <c r="O134" s="2"/>
      <c r="P134" s="2"/>
    </row>
    <row r="135" spans="1:256" x14ac:dyDescent="0.35">
      <c r="A135" s="2"/>
      <c r="B135" s="2"/>
      <c r="C135" s="2"/>
      <c r="D135" s="2"/>
      <c r="E135" s="2"/>
      <c r="F135" s="2"/>
      <c r="G135" s="2"/>
      <c r="H135" s="2"/>
      <c r="I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  <c r="IN135" s="2"/>
      <c r="IO135" s="2"/>
      <c r="IP135" s="2"/>
      <c r="IQ135" s="2"/>
      <c r="IR135" s="2"/>
      <c r="IS135" s="2"/>
      <c r="IT135" s="2"/>
      <c r="IU135" s="2"/>
      <c r="IV135" s="2"/>
    </row>
    <row r="136" spans="1:256" x14ac:dyDescent="0.35">
      <c r="A136" s="2"/>
      <c r="B136" s="2"/>
      <c r="C136" s="2"/>
      <c r="D136" s="2"/>
      <c r="E136" s="2"/>
      <c r="F136" s="2"/>
      <c r="G136" s="2"/>
      <c r="H136" s="2"/>
      <c r="I136" s="2"/>
      <c r="K136" s="2"/>
      <c r="L136" s="2"/>
      <c r="M136" s="2"/>
      <c r="N136" s="2"/>
      <c r="O136" s="2"/>
      <c r="P136" s="2"/>
    </row>
    <row r="137" spans="1:256" x14ac:dyDescent="0.35">
      <c r="A137" s="2"/>
      <c r="B137" s="2"/>
      <c r="C137" s="2"/>
      <c r="D137" s="2"/>
      <c r="E137" s="2"/>
      <c r="F137" s="2"/>
      <c r="G137" s="2"/>
      <c r="H137" s="2"/>
      <c r="I137" s="2"/>
      <c r="K137" s="2"/>
      <c r="L137" s="2"/>
      <c r="M137" s="2"/>
      <c r="N137" s="2"/>
      <c r="O137" s="2"/>
      <c r="P137" s="2"/>
      <c r="R137" s="1">
        <f>SUM(K137:O137)</f>
        <v>0</v>
      </c>
    </row>
    <row r="138" spans="1:256" x14ac:dyDescent="0.35">
      <c r="A138" s="2"/>
      <c r="B138" s="2"/>
      <c r="C138" s="2"/>
      <c r="D138" s="2"/>
      <c r="E138" s="2"/>
      <c r="F138" s="2"/>
      <c r="G138" s="2"/>
      <c r="H138" s="2"/>
      <c r="I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  <c r="IT138" s="2"/>
      <c r="IU138" s="2"/>
      <c r="IV138" s="2"/>
    </row>
    <row r="139" spans="1:256" x14ac:dyDescent="0.35">
      <c r="A139" s="2"/>
      <c r="B139" s="2"/>
      <c r="C139" s="2"/>
      <c r="D139" s="2"/>
      <c r="E139" s="2"/>
      <c r="F139" s="2"/>
      <c r="G139" s="2"/>
      <c r="H139" s="2"/>
      <c r="I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</row>
    <row r="140" spans="1:256" x14ac:dyDescent="0.35">
      <c r="A140" s="2"/>
      <c r="B140" s="2"/>
      <c r="C140" s="2"/>
      <c r="D140" s="2"/>
      <c r="E140" s="2"/>
      <c r="F140" s="2"/>
      <c r="G140" s="2"/>
      <c r="H140" s="2"/>
      <c r="I140" s="2"/>
      <c r="K140" s="2"/>
      <c r="L140" s="2"/>
      <c r="M140" s="2"/>
      <c r="N140" s="2"/>
      <c r="O140" s="2"/>
      <c r="P140" s="2"/>
      <c r="Q140" s="11"/>
      <c r="R140" s="9"/>
    </row>
    <row r="141" spans="1:256" ht="12.7" x14ac:dyDescent="0.4">
      <c r="A141" s="2"/>
      <c r="B141" s="2"/>
      <c r="C141" s="2"/>
      <c r="D141" s="2"/>
      <c r="E141" s="2"/>
      <c r="F141" s="2"/>
      <c r="G141" s="2"/>
      <c r="H141" s="2"/>
      <c r="I141" s="2"/>
      <c r="K141" s="2"/>
      <c r="L141" s="2"/>
      <c r="M141" s="2"/>
      <c r="N141" s="2"/>
      <c r="O141" s="2"/>
      <c r="P141" s="2"/>
      <c r="Q141" s="5"/>
      <c r="R141" s="5">
        <f>SUM(R122:R140)</f>
        <v>0</v>
      </c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56" x14ac:dyDescent="0.35">
      <c r="A142" s="2"/>
      <c r="B142" s="2"/>
      <c r="C142" s="2"/>
      <c r="D142" s="2"/>
      <c r="E142" s="2"/>
      <c r="F142" s="2"/>
      <c r="G142" s="2"/>
      <c r="H142" s="2"/>
      <c r="I142" s="2"/>
      <c r="K142" s="2"/>
      <c r="L142" s="2"/>
      <c r="M142" s="2"/>
      <c r="N142" s="2"/>
      <c r="O142" s="2"/>
      <c r="P142" s="2"/>
      <c r="R142" s="1">
        <f t="shared" ref="R142:R150" si="13">SUM(K142:O142)</f>
        <v>0</v>
      </c>
    </row>
    <row r="143" spans="1:256" x14ac:dyDescent="0.35">
      <c r="A143" s="2"/>
      <c r="B143" s="2"/>
      <c r="C143" s="2"/>
      <c r="D143" s="2"/>
      <c r="E143" s="2"/>
      <c r="F143" s="2"/>
      <c r="G143" s="2"/>
      <c r="H143" s="2"/>
      <c r="I143" s="2"/>
      <c r="K143" s="2"/>
      <c r="L143" s="2"/>
      <c r="M143" s="2"/>
      <c r="N143" s="2"/>
      <c r="O143" s="2"/>
      <c r="P143" s="2"/>
      <c r="R143" s="1">
        <f t="shared" si="13"/>
        <v>0</v>
      </c>
    </row>
    <row r="144" spans="1:256" x14ac:dyDescent="0.35">
      <c r="A144" s="2"/>
      <c r="B144" s="2"/>
      <c r="C144" s="2"/>
      <c r="D144" s="2"/>
      <c r="E144" s="2"/>
      <c r="F144" s="2"/>
      <c r="G144" s="2"/>
      <c r="H144" s="2"/>
      <c r="I144" s="2"/>
      <c r="K144" s="2"/>
      <c r="L144" s="2"/>
      <c r="M144" s="2"/>
      <c r="N144" s="2"/>
      <c r="O144" s="2"/>
      <c r="P144" s="2"/>
      <c r="R144" s="1">
        <f t="shared" si="13"/>
        <v>0</v>
      </c>
    </row>
    <row r="145" spans="1:20" x14ac:dyDescent="0.35">
      <c r="A145" s="2"/>
      <c r="B145" s="2"/>
      <c r="C145" s="2"/>
      <c r="D145" s="2"/>
      <c r="E145" s="2"/>
      <c r="F145" s="2"/>
      <c r="G145" s="2"/>
      <c r="H145" s="2"/>
      <c r="I145" s="2"/>
      <c r="K145" s="2"/>
      <c r="L145" s="2"/>
      <c r="M145" s="2"/>
      <c r="N145" s="2"/>
      <c r="O145" s="2"/>
      <c r="P145" s="2"/>
      <c r="R145" s="1">
        <f t="shared" si="13"/>
        <v>0</v>
      </c>
    </row>
    <row r="146" spans="1:20" x14ac:dyDescent="0.35">
      <c r="A146" s="2"/>
      <c r="B146" s="2"/>
      <c r="C146" s="2"/>
      <c r="D146" s="2"/>
      <c r="E146" s="2"/>
      <c r="F146" s="2"/>
      <c r="G146" s="2"/>
      <c r="H146" s="2"/>
      <c r="I146" s="2"/>
      <c r="K146" s="2"/>
      <c r="L146" s="2"/>
      <c r="M146" s="2"/>
      <c r="N146" s="2"/>
      <c r="O146" s="2"/>
      <c r="P146" s="2"/>
      <c r="R146" s="1">
        <f t="shared" si="13"/>
        <v>0</v>
      </c>
    </row>
    <row r="147" spans="1:20" x14ac:dyDescent="0.35">
      <c r="A147" s="2"/>
      <c r="B147" s="2"/>
      <c r="C147" s="2"/>
      <c r="D147" s="2"/>
      <c r="E147" s="2"/>
      <c r="F147" s="2"/>
      <c r="G147" s="2"/>
      <c r="H147" s="2"/>
      <c r="I147" s="2"/>
      <c r="K147" s="2"/>
      <c r="L147" s="2"/>
      <c r="M147" s="2"/>
      <c r="N147" s="2"/>
      <c r="O147" s="2"/>
      <c r="P147" s="2"/>
      <c r="R147" s="1">
        <f t="shared" si="13"/>
        <v>0</v>
      </c>
    </row>
    <row r="148" spans="1:20" x14ac:dyDescent="0.35">
      <c r="A148" s="2"/>
      <c r="B148" s="2"/>
      <c r="C148" s="2"/>
      <c r="D148" s="2"/>
      <c r="E148" s="2"/>
      <c r="F148" s="2"/>
      <c r="G148" s="2"/>
      <c r="H148" s="2"/>
      <c r="I148" s="2"/>
      <c r="K148" s="2"/>
      <c r="L148" s="2"/>
      <c r="M148" s="2"/>
      <c r="N148" s="2"/>
      <c r="O148" s="2"/>
      <c r="P148" s="2"/>
      <c r="R148" s="1">
        <f t="shared" si="13"/>
        <v>0</v>
      </c>
    </row>
    <row r="149" spans="1:20" x14ac:dyDescent="0.35">
      <c r="A149" s="2"/>
      <c r="B149" s="2"/>
      <c r="C149" s="2"/>
      <c r="D149" s="2"/>
      <c r="E149" s="2"/>
      <c r="F149" s="2"/>
      <c r="G149" s="2"/>
      <c r="H149" s="2"/>
      <c r="I149" s="2"/>
      <c r="K149" s="2"/>
      <c r="L149" s="2"/>
      <c r="M149" s="2"/>
      <c r="N149" s="2"/>
      <c r="O149" s="2"/>
      <c r="P149" s="2"/>
      <c r="R149" s="1">
        <f t="shared" si="13"/>
        <v>0</v>
      </c>
    </row>
    <row r="150" spans="1:20" x14ac:dyDescent="0.35">
      <c r="A150" s="2"/>
      <c r="B150" s="2"/>
      <c r="C150" s="2"/>
      <c r="D150" s="2"/>
      <c r="E150" s="2"/>
      <c r="F150" s="2"/>
      <c r="G150" s="2"/>
      <c r="H150" s="2"/>
      <c r="I150" s="2"/>
      <c r="K150" s="2"/>
      <c r="L150" s="2"/>
      <c r="M150" s="2"/>
      <c r="N150" s="2"/>
      <c r="O150" s="2"/>
      <c r="P150" s="2"/>
      <c r="Q150" s="11"/>
      <c r="R150" s="9">
        <f t="shared" si="13"/>
        <v>0</v>
      </c>
    </row>
    <row r="151" spans="1:20" ht="12.7" x14ac:dyDescent="0.4">
      <c r="A151" s="2"/>
      <c r="B151" s="2"/>
      <c r="C151" s="2"/>
      <c r="D151" s="2"/>
      <c r="E151" s="2"/>
      <c r="F151" s="2"/>
      <c r="G151" s="2"/>
      <c r="H151" s="2"/>
      <c r="I151" s="2"/>
      <c r="K151" s="2"/>
      <c r="L151" s="2"/>
      <c r="M151" s="2"/>
      <c r="N151" s="2"/>
      <c r="O151" s="2"/>
      <c r="P151" s="2"/>
      <c r="Q151" s="5"/>
      <c r="R151" s="5">
        <f>SUM(R141:R150)</f>
        <v>0</v>
      </c>
      <c r="S151" s="4"/>
      <c r="T151" s="4"/>
    </row>
    <row r="152" spans="1:20" x14ac:dyDescent="0.35">
      <c r="A152" s="2"/>
      <c r="B152" s="2"/>
      <c r="C152" s="2"/>
      <c r="D152" s="2"/>
      <c r="E152" s="2"/>
      <c r="F152" s="2"/>
      <c r="G152" s="2"/>
      <c r="H152" s="2"/>
      <c r="I152" s="2"/>
      <c r="K152" s="2"/>
      <c r="L152" s="2"/>
      <c r="M152" s="2"/>
      <c r="N152" s="2"/>
      <c r="O152" s="2"/>
      <c r="P152" s="2"/>
      <c r="R152" s="1">
        <f>SUM(K152:O152)</f>
        <v>0</v>
      </c>
    </row>
    <row r="153" spans="1:20" x14ac:dyDescent="0.35">
      <c r="A153" s="2"/>
      <c r="B153" s="2"/>
      <c r="C153" s="2"/>
      <c r="D153" s="2"/>
      <c r="E153" s="2"/>
      <c r="F153" s="2"/>
      <c r="G153" s="2"/>
      <c r="H153" s="2"/>
      <c r="I153" s="2"/>
      <c r="K153" s="2"/>
      <c r="L153" s="2"/>
      <c r="M153" s="2"/>
      <c r="N153" s="2"/>
      <c r="O153" s="2"/>
      <c r="P153" s="2"/>
      <c r="Q153" s="11"/>
      <c r="R153" s="9">
        <f>SUM(K153:O153)</f>
        <v>0</v>
      </c>
    </row>
    <row r="154" spans="1:20" x14ac:dyDescent="0.35">
      <c r="A154" s="2"/>
      <c r="B154" s="2"/>
      <c r="C154" s="2"/>
      <c r="D154" s="2"/>
      <c r="E154" s="2"/>
      <c r="F154" s="2"/>
      <c r="G154" s="2"/>
      <c r="H154" s="2"/>
      <c r="I154" s="2"/>
      <c r="K154" s="2"/>
      <c r="L154" s="2"/>
      <c r="M154" s="2"/>
      <c r="N154" s="2"/>
      <c r="O154" s="2"/>
      <c r="P154" s="2"/>
      <c r="Q154" s="5"/>
      <c r="R154" s="5">
        <f>R117-R151</f>
        <v>0</v>
      </c>
    </row>
    <row r="155" spans="1:20" x14ac:dyDescent="0.35">
      <c r="A155" s="2"/>
      <c r="B155" s="2"/>
      <c r="C155" s="2"/>
      <c r="D155" s="2"/>
      <c r="E155" s="2"/>
      <c r="F155" s="2"/>
      <c r="G155" s="2"/>
      <c r="H155" s="2"/>
      <c r="I155" s="2"/>
      <c r="K155" s="2"/>
      <c r="L155" s="2"/>
      <c r="M155" s="2"/>
      <c r="N155" s="2"/>
      <c r="O155" s="2"/>
      <c r="P155" s="2"/>
      <c r="R155" s="1">
        <f>SUM(K155:O155)</f>
        <v>0</v>
      </c>
    </row>
    <row r="156" spans="1:20" x14ac:dyDescent="0.35">
      <c r="A156" s="2"/>
      <c r="B156" s="2"/>
      <c r="C156" s="2"/>
      <c r="D156" s="2"/>
      <c r="E156" s="2"/>
      <c r="F156" s="2"/>
      <c r="G156" s="2"/>
      <c r="H156" s="2"/>
      <c r="I156" s="2"/>
      <c r="K156" s="2"/>
      <c r="L156" s="2"/>
      <c r="M156" s="2"/>
      <c r="N156" s="2"/>
      <c r="O156" s="2"/>
      <c r="P156" s="2"/>
      <c r="R156" s="1">
        <f>SUM(K156:O156)</f>
        <v>0</v>
      </c>
    </row>
    <row r="157" spans="1:20" x14ac:dyDescent="0.35">
      <c r="A157" s="2"/>
      <c r="B157" s="2"/>
      <c r="C157" s="2"/>
      <c r="D157" s="2"/>
      <c r="E157" s="2"/>
      <c r="F157" s="2"/>
      <c r="G157" s="2"/>
      <c r="H157" s="2"/>
      <c r="I157" s="2"/>
      <c r="K157" s="2"/>
      <c r="L157" s="2"/>
      <c r="M157" s="2"/>
      <c r="N157" s="2"/>
      <c r="O157" s="2"/>
      <c r="P157" s="2"/>
      <c r="R157" s="1">
        <f>SUM(K157:O157)</f>
        <v>0</v>
      </c>
    </row>
    <row r="158" spans="1:20" x14ac:dyDescent="0.35">
      <c r="A158" s="2"/>
      <c r="B158" s="2"/>
      <c r="C158" s="2"/>
      <c r="D158" s="2"/>
      <c r="E158" s="2"/>
      <c r="F158" s="2"/>
      <c r="G158" s="2"/>
      <c r="H158" s="2"/>
      <c r="I158" s="2"/>
      <c r="K158" s="2"/>
      <c r="L158" s="2"/>
      <c r="M158" s="2"/>
      <c r="N158" s="2"/>
      <c r="O158" s="2"/>
      <c r="P158" s="2"/>
      <c r="Q158" s="11"/>
      <c r="R158" s="9">
        <f>SUM(K158:O158)</f>
        <v>0</v>
      </c>
    </row>
    <row r="159" spans="1:20" x14ac:dyDescent="0.35">
      <c r="A159" s="2"/>
      <c r="B159" s="2"/>
      <c r="C159" s="2"/>
      <c r="D159" s="2"/>
      <c r="E159" s="2"/>
      <c r="F159" s="2"/>
      <c r="G159" s="2"/>
      <c r="H159" s="2"/>
      <c r="I159" s="2"/>
      <c r="K159" s="2"/>
      <c r="L159" s="2"/>
      <c r="M159" s="2"/>
      <c r="N159" s="2"/>
      <c r="O159" s="2"/>
      <c r="P159" s="2"/>
      <c r="Q159" s="5"/>
      <c r="R159" s="5">
        <f>SUM(R154:R158)</f>
        <v>0</v>
      </c>
    </row>
    <row r="160" spans="1:20" x14ac:dyDescent="0.35">
      <c r="A160" s="2"/>
      <c r="B160" s="2"/>
      <c r="C160" s="2"/>
      <c r="D160" s="2"/>
      <c r="E160" s="2"/>
      <c r="F160" s="2"/>
      <c r="G160" s="2"/>
      <c r="H160" s="2"/>
      <c r="I160" s="2"/>
      <c r="K160" s="2"/>
      <c r="L160" s="2"/>
      <c r="M160" s="2"/>
      <c r="N160" s="2"/>
      <c r="O160" s="2"/>
      <c r="P160" s="2"/>
      <c r="R160" s="1">
        <f t="shared" ref="R160:R165" si="14">SUM(K160:O160)</f>
        <v>0</v>
      </c>
    </row>
    <row r="161" spans="1:28" x14ac:dyDescent="0.35">
      <c r="A161" s="2"/>
      <c r="B161" s="2"/>
      <c r="C161" s="2"/>
      <c r="D161" s="2"/>
      <c r="E161" s="2"/>
      <c r="F161" s="2"/>
      <c r="G161" s="2"/>
      <c r="H161" s="2"/>
      <c r="I161" s="2"/>
      <c r="K161" s="2"/>
      <c r="L161" s="2"/>
      <c r="M161" s="2"/>
      <c r="N161" s="2"/>
      <c r="O161" s="2"/>
      <c r="P161" s="2"/>
      <c r="R161" s="1">
        <f t="shared" si="14"/>
        <v>0</v>
      </c>
    </row>
    <row r="162" spans="1:28" x14ac:dyDescent="0.35">
      <c r="A162" s="2"/>
      <c r="B162" s="2"/>
      <c r="C162" s="2"/>
      <c r="D162" s="2"/>
      <c r="E162" s="2"/>
      <c r="F162" s="2"/>
      <c r="G162" s="2"/>
      <c r="H162" s="2"/>
      <c r="I162" s="2"/>
      <c r="K162" s="2"/>
      <c r="L162" s="2"/>
      <c r="M162" s="2"/>
      <c r="N162" s="2"/>
      <c r="O162" s="2"/>
      <c r="P162" s="2"/>
      <c r="R162" s="1">
        <f t="shared" si="14"/>
        <v>0</v>
      </c>
    </row>
    <row r="163" spans="1:28" x14ac:dyDescent="0.35">
      <c r="A163" s="2"/>
      <c r="B163" s="2"/>
      <c r="C163" s="2"/>
      <c r="D163" s="2"/>
      <c r="E163" s="2"/>
      <c r="F163" s="2"/>
      <c r="G163" s="2"/>
      <c r="H163" s="2"/>
      <c r="I163" s="2"/>
      <c r="K163" s="2"/>
      <c r="L163" s="2"/>
      <c r="M163" s="2"/>
      <c r="N163" s="2"/>
      <c r="O163" s="2"/>
      <c r="P163" s="2"/>
      <c r="R163" s="1">
        <f t="shared" si="14"/>
        <v>0</v>
      </c>
    </row>
    <row r="164" spans="1:28" x14ac:dyDescent="0.35">
      <c r="A164" s="2"/>
      <c r="B164" s="2"/>
      <c r="C164" s="2"/>
      <c r="D164" s="2"/>
      <c r="E164" s="2"/>
      <c r="F164" s="2"/>
      <c r="G164" s="2"/>
      <c r="H164" s="2"/>
      <c r="I164" s="2"/>
      <c r="K164" s="2"/>
      <c r="L164" s="2"/>
      <c r="M164" s="2"/>
      <c r="N164" s="2"/>
      <c r="O164" s="2"/>
      <c r="P164" s="2"/>
      <c r="R164" s="1">
        <f t="shared" si="14"/>
        <v>0</v>
      </c>
    </row>
    <row r="165" spans="1:28" x14ac:dyDescent="0.35">
      <c r="A165" s="2"/>
      <c r="B165" s="2"/>
      <c r="C165" s="2"/>
      <c r="D165" s="2"/>
      <c r="E165" s="2"/>
      <c r="F165" s="2"/>
      <c r="G165" s="2"/>
      <c r="H165" s="2"/>
      <c r="I165" s="2"/>
      <c r="K165" s="2"/>
      <c r="L165" s="2"/>
      <c r="M165" s="2"/>
      <c r="N165" s="2"/>
      <c r="O165" s="2"/>
      <c r="P165" s="2"/>
      <c r="Q165" s="11"/>
      <c r="R165" s="9">
        <f t="shared" si="14"/>
        <v>0</v>
      </c>
    </row>
    <row r="166" spans="1:28" ht="12.7" x14ac:dyDescent="0.4">
      <c r="A166" s="2"/>
      <c r="B166" s="2"/>
      <c r="C166" s="2"/>
      <c r="D166" s="2"/>
      <c r="E166" s="2"/>
      <c r="F166" s="2"/>
      <c r="G166" s="2"/>
      <c r="H166" s="2"/>
      <c r="I166" s="2"/>
      <c r="K166" s="2"/>
      <c r="L166" s="2"/>
      <c r="M166" s="2"/>
      <c r="N166" s="2"/>
      <c r="O166" s="2"/>
      <c r="P166" s="2"/>
      <c r="Q166" s="5"/>
      <c r="R166" s="5">
        <f>SUM(R159:R165)</f>
        <v>0</v>
      </c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x14ac:dyDescent="0.35">
      <c r="A167" s="2"/>
      <c r="B167" s="2"/>
      <c r="C167" s="2"/>
      <c r="D167" s="2"/>
      <c r="E167" s="2"/>
      <c r="F167" s="2"/>
      <c r="G167" s="2"/>
      <c r="H167" s="2"/>
      <c r="I167" s="2"/>
      <c r="K167" s="2"/>
      <c r="L167" s="2"/>
      <c r="M167" s="2"/>
      <c r="N167" s="2"/>
      <c r="O167" s="2"/>
      <c r="P167" s="2"/>
      <c r="R167" s="1">
        <f t="shared" ref="R167:R189" si="15">SUM(K167:O167)</f>
        <v>0</v>
      </c>
    </row>
    <row r="168" spans="1:28" ht="12.7" x14ac:dyDescent="0.4">
      <c r="A168" s="2"/>
      <c r="B168" s="2"/>
      <c r="C168" s="2"/>
      <c r="D168" s="2"/>
      <c r="E168" s="2"/>
      <c r="F168" s="2"/>
      <c r="G168" s="2"/>
      <c r="H168" s="2"/>
      <c r="I168" s="2"/>
      <c r="K168" s="2"/>
      <c r="L168" s="2"/>
      <c r="M168" s="2"/>
      <c r="N168" s="2"/>
      <c r="O168" s="2"/>
      <c r="P168" s="2"/>
      <c r="Q168" s="5"/>
      <c r="R168" s="5">
        <f t="shared" si="15"/>
        <v>0</v>
      </c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x14ac:dyDescent="0.35">
      <c r="A169" s="2"/>
      <c r="B169" s="2"/>
      <c r="C169" s="2"/>
      <c r="D169" s="2"/>
      <c r="E169" s="2"/>
      <c r="F169" s="2"/>
      <c r="G169" s="2"/>
      <c r="H169" s="2"/>
      <c r="I169" s="2"/>
      <c r="K169" s="2"/>
      <c r="L169" s="2"/>
      <c r="M169" s="2"/>
      <c r="N169" s="2"/>
      <c r="O169" s="2"/>
      <c r="P169" s="2"/>
      <c r="Q169" s="10"/>
      <c r="R169" s="9">
        <f t="shared" si="15"/>
        <v>0</v>
      </c>
    </row>
    <row r="170" spans="1:28" ht="12.7" x14ac:dyDescent="0.4">
      <c r="A170" s="2"/>
      <c r="B170" s="2"/>
      <c r="C170" s="2"/>
      <c r="D170" s="2"/>
      <c r="E170" s="2"/>
      <c r="F170" s="2"/>
      <c r="G170" s="2"/>
      <c r="H170" s="2"/>
      <c r="I170" s="2"/>
      <c r="K170" s="2"/>
      <c r="L170" s="2"/>
      <c r="M170" s="2"/>
      <c r="N170" s="2"/>
      <c r="O170" s="2"/>
      <c r="P170" s="2"/>
      <c r="Q170" s="5"/>
      <c r="R170" s="5">
        <f t="shared" si="15"/>
        <v>0</v>
      </c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x14ac:dyDescent="0.35">
      <c r="A171" s="2"/>
      <c r="B171" s="2"/>
      <c r="C171" s="2"/>
      <c r="D171" s="2"/>
      <c r="E171" s="2"/>
      <c r="F171" s="2"/>
      <c r="G171" s="2"/>
      <c r="H171" s="2"/>
      <c r="I171" s="2"/>
      <c r="K171" s="2"/>
      <c r="L171" s="2"/>
      <c r="M171" s="2"/>
      <c r="N171" s="2"/>
      <c r="O171" s="2"/>
      <c r="P171" s="2"/>
      <c r="Q171" s="8"/>
      <c r="R171" s="7">
        <f t="shared" si="15"/>
        <v>0</v>
      </c>
    </row>
    <row r="172" spans="1:28" x14ac:dyDescent="0.35">
      <c r="A172" s="2"/>
      <c r="B172" s="2"/>
      <c r="C172" s="2"/>
      <c r="D172" s="2"/>
      <c r="E172" s="2"/>
      <c r="F172" s="2"/>
      <c r="G172" s="2"/>
      <c r="H172" s="2"/>
      <c r="I172" s="2"/>
      <c r="K172" s="2"/>
      <c r="L172" s="2"/>
      <c r="M172" s="2"/>
      <c r="N172" s="2"/>
      <c r="O172" s="2"/>
      <c r="P172" s="2"/>
      <c r="R172" s="1">
        <f t="shared" si="15"/>
        <v>0</v>
      </c>
    </row>
    <row r="173" spans="1:28" x14ac:dyDescent="0.35">
      <c r="A173" s="2"/>
      <c r="B173" s="2"/>
      <c r="C173" s="2"/>
      <c r="D173" s="2"/>
      <c r="E173" s="2"/>
      <c r="F173" s="2"/>
      <c r="G173" s="2"/>
      <c r="H173" s="2"/>
      <c r="I173" s="2"/>
      <c r="K173" s="2"/>
      <c r="L173" s="2"/>
      <c r="M173" s="2"/>
      <c r="N173" s="2"/>
      <c r="O173" s="2"/>
      <c r="P173" s="2"/>
      <c r="R173" s="1">
        <f t="shared" si="15"/>
        <v>0</v>
      </c>
    </row>
    <row r="174" spans="1:28" x14ac:dyDescent="0.35">
      <c r="A174" s="2"/>
      <c r="B174" s="2"/>
      <c r="C174" s="2"/>
      <c r="D174" s="2"/>
      <c r="E174" s="2"/>
      <c r="F174" s="2"/>
      <c r="G174" s="2"/>
      <c r="H174" s="2"/>
      <c r="I174" s="2"/>
      <c r="K174" s="2"/>
      <c r="L174" s="2"/>
      <c r="M174" s="2"/>
      <c r="N174" s="2"/>
      <c r="O174" s="2"/>
      <c r="P174" s="2"/>
      <c r="R174" s="1">
        <f t="shared" si="15"/>
        <v>0</v>
      </c>
    </row>
    <row r="175" spans="1:28" x14ac:dyDescent="0.35">
      <c r="A175" s="2"/>
      <c r="B175" s="2"/>
      <c r="C175" s="2"/>
      <c r="D175" s="2"/>
      <c r="E175" s="2"/>
      <c r="F175" s="2"/>
      <c r="G175" s="2"/>
      <c r="H175" s="2"/>
      <c r="I175" s="2"/>
      <c r="K175" s="2"/>
      <c r="L175" s="2"/>
      <c r="M175" s="2"/>
      <c r="N175" s="2"/>
      <c r="O175" s="2"/>
      <c r="P175" s="2"/>
      <c r="R175" s="1">
        <f t="shared" si="15"/>
        <v>0</v>
      </c>
    </row>
    <row r="176" spans="1:28" x14ac:dyDescent="0.35">
      <c r="A176" s="2"/>
      <c r="B176" s="2"/>
      <c r="C176" s="2"/>
      <c r="D176" s="2"/>
      <c r="E176" s="2"/>
      <c r="F176" s="2"/>
      <c r="G176" s="2"/>
      <c r="H176" s="2"/>
      <c r="I176" s="2"/>
      <c r="K176" s="2"/>
      <c r="L176" s="2"/>
      <c r="M176" s="2"/>
      <c r="N176" s="2"/>
      <c r="O176" s="2"/>
      <c r="P176" s="2"/>
      <c r="R176" s="1">
        <f t="shared" si="15"/>
        <v>0</v>
      </c>
    </row>
    <row r="177" spans="1:256" x14ac:dyDescent="0.35">
      <c r="A177" s="2"/>
      <c r="B177" s="2"/>
      <c r="C177" s="2"/>
      <c r="D177" s="2"/>
      <c r="E177" s="2"/>
      <c r="F177" s="2"/>
      <c r="G177" s="2"/>
      <c r="H177" s="2"/>
      <c r="I177" s="2"/>
      <c r="K177" s="2"/>
      <c r="L177" s="2"/>
      <c r="M177" s="2"/>
      <c r="N177" s="2"/>
      <c r="O177" s="2"/>
      <c r="P177" s="2"/>
      <c r="R177" s="1">
        <f t="shared" si="15"/>
        <v>0</v>
      </c>
    </row>
    <row r="178" spans="1:256" x14ac:dyDescent="0.35">
      <c r="A178" s="2"/>
      <c r="B178" s="2"/>
      <c r="C178" s="2"/>
      <c r="D178" s="2"/>
      <c r="E178" s="2"/>
      <c r="F178" s="2"/>
      <c r="G178" s="2"/>
      <c r="H178" s="2"/>
      <c r="I178" s="2"/>
      <c r="K178" s="2"/>
      <c r="L178" s="2"/>
      <c r="M178" s="2"/>
      <c r="N178" s="2"/>
      <c r="O178" s="2"/>
      <c r="P178" s="2"/>
      <c r="R178" s="1">
        <f t="shared" si="15"/>
        <v>0</v>
      </c>
    </row>
    <row r="179" spans="1:256" x14ac:dyDescent="0.35">
      <c r="A179" s="2"/>
      <c r="B179" s="2"/>
      <c r="C179" s="2"/>
      <c r="D179" s="2"/>
      <c r="E179" s="2"/>
      <c r="F179" s="2"/>
      <c r="G179" s="2"/>
      <c r="H179" s="2"/>
      <c r="I179" s="2"/>
      <c r="K179" s="2"/>
      <c r="L179" s="2"/>
      <c r="M179" s="2"/>
      <c r="N179" s="2"/>
      <c r="O179" s="2"/>
      <c r="P179" s="2"/>
      <c r="R179" s="1">
        <f t="shared" si="15"/>
        <v>0</v>
      </c>
    </row>
    <row r="180" spans="1:256" x14ac:dyDescent="0.35">
      <c r="A180" s="2"/>
      <c r="B180" s="2"/>
      <c r="C180" s="2"/>
      <c r="D180" s="2"/>
      <c r="E180" s="2"/>
      <c r="F180" s="2"/>
      <c r="G180" s="2"/>
      <c r="H180" s="2"/>
      <c r="I180" s="2"/>
      <c r="K180" s="2"/>
      <c r="L180" s="2"/>
      <c r="M180" s="2"/>
      <c r="N180" s="2"/>
      <c r="O180" s="2"/>
      <c r="P180" s="2"/>
      <c r="R180" s="1">
        <f t="shared" si="15"/>
        <v>0</v>
      </c>
    </row>
    <row r="181" spans="1:256" x14ac:dyDescent="0.35">
      <c r="A181" s="2"/>
      <c r="B181" s="2"/>
      <c r="C181" s="2"/>
      <c r="D181" s="2"/>
      <c r="E181" s="2"/>
      <c r="F181" s="2"/>
      <c r="G181" s="2"/>
      <c r="H181" s="2"/>
      <c r="I181" s="2"/>
      <c r="K181" s="2"/>
      <c r="L181" s="2"/>
      <c r="M181" s="2"/>
      <c r="N181" s="2"/>
      <c r="O181" s="2"/>
      <c r="P181" s="2"/>
      <c r="R181" s="1">
        <f t="shared" si="15"/>
        <v>0</v>
      </c>
    </row>
    <row r="182" spans="1:256" x14ac:dyDescent="0.35">
      <c r="A182" s="2"/>
      <c r="B182" s="2"/>
      <c r="C182" s="2"/>
      <c r="D182" s="2"/>
      <c r="E182" s="2"/>
      <c r="F182" s="2"/>
      <c r="G182" s="2"/>
      <c r="H182" s="2"/>
      <c r="I182" s="2"/>
      <c r="K182" s="2"/>
      <c r="L182" s="2"/>
      <c r="M182" s="2"/>
      <c r="N182" s="2"/>
      <c r="O182" s="2"/>
      <c r="P182" s="2"/>
      <c r="R182" s="1">
        <f t="shared" si="15"/>
        <v>0</v>
      </c>
    </row>
    <row r="183" spans="1:256" x14ac:dyDescent="0.35">
      <c r="A183" s="2"/>
      <c r="B183" s="2"/>
      <c r="C183" s="2"/>
      <c r="D183" s="2"/>
      <c r="E183" s="2"/>
      <c r="F183" s="2"/>
      <c r="G183" s="2"/>
      <c r="H183" s="2"/>
      <c r="I183" s="2"/>
      <c r="K183" s="2"/>
      <c r="L183" s="2"/>
      <c r="M183" s="2"/>
      <c r="N183" s="2"/>
      <c r="O183" s="2"/>
      <c r="P183" s="2"/>
      <c r="R183" s="1">
        <f t="shared" si="15"/>
        <v>0</v>
      </c>
    </row>
    <row r="184" spans="1:256" x14ac:dyDescent="0.35">
      <c r="A184" s="2"/>
      <c r="B184" s="2"/>
      <c r="C184" s="2"/>
      <c r="D184" s="2"/>
      <c r="E184" s="2"/>
      <c r="F184" s="2"/>
      <c r="G184" s="2"/>
      <c r="H184" s="2"/>
      <c r="I184" s="2"/>
      <c r="K184" s="2"/>
      <c r="L184" s="2"/>
      <c r="M184" s="2"/>
      <c r="N184" s="2"/>
      <c r="O184" s="2"/>
      <c r="P184" s="2"/>
      <c r="R184" s="1">
        <f t="shared" si="15"/>
        <v>0</v>
      </c>
    </row>
    <row r="185" spans="1:256" x14ac:dyDescent="0.35">
      <c r="A185" s="2"/>
      <c r="B185" s="2"/>
      <c r="C185" s="2"/>
      <c r="D185" s="2"/>
      <c r="E185" s="2"/>
      <c r="F185" s="2"/>
      <c r="G185" s="2"/>
      <c r="H185" s="2"/>
      <c r="I185" s="2"/>
      <c r="K185" s="2"/>
      <c r="L185" s="2"/>
      <c r="M185" s="2"/>
      <c r="N185" s="2"/>
      <c r="O185" s="2"/>
      <c r="P185" s="2"/>
      <c r="R185" s="1">
        <f t="shared" si="15"/>
        <v>0</v>
      </c>
    </row>
    <row r="186" spans="1:256" x14ac:dyDescent="0.35">
      <c r="A186" s="2"/>
      <c r="B186" s="2"/>
      <c r="C186" s="2"/>
      <c r="D186" s="2"/>
      <c r="E186" s="2"/>
      <c r="F186" s="2"/>
      <c r="G186" s="2"/>
      <c r="H186" s="2"/>
      <c r="I186" s="2"/>
      <c r="K186" s="2"/>
      <c r="L186" s="2"/>
      <c r="M186" s="2"/>
      <c r="N186" s="2"/>
      <c r="O186" s="2"/>
      <c r="P186" s="2"/>
      <c r="R186" s="1">
        <f t="shared" si="15"/>
        <v>0</v>
      </c>
    </row>
    <row r="187" spans="1:256" x14ac:dyDescent="0.35">
      <c r="A187" s="2"/>
      <c r="B187" s="2"/>
      <c r="C187" s="2"/>
      <c r="D187" s="2"/>
      <c r="E187" s="2"/>
      <c r="F187" s="2"/>
      <c r="G187" s="2"/>
      <c r="H187" s="2"/>
      <c r="I187" s="2"/>
      <c r="K187" s="2"/>
      <c r="L187" s="2"/>
      <c r="M187" s="2"/>
      <c r="N187" s="2"/>
      <c r="O187" s="2"/>
      <c r="P187" s="2"/>
      <c r="R187" s="1">
        <f t="shared" si="15"/>
        <v>0</v>
      </c>
    </row>
    <row r="188" spans="1:256" x14ac:dyDescent="0.35">
      <c r="A188" s="2"/>
      <c r="B188" s="2"/>
      <c r="C188" s="2"/>
      <c r="D188" s="2"/>
      <c r="E188" s="2"/>
      <c r="F188" s="2"/>
      <c r="G188" s="2"/>
      <c r="H188" s="2"/>
      <c r="I188" s="2"/>
      <c r="K188" s="2"/>
      <c r="L188" s="2"/>
      <c r="M188" s="2"/>
      <c r="N188" s="2"/>
      <c r="O188" s="2"/>
      <c r="P188" s="2"/>
      <c r="R188" s="1">
        <f t="shared" si="15"/>
        <v>0</v>
      </c>
    </row>
    <row r="189" spans="1:256" x14ac:dyDescent="0.35">
      <c r="A189" s="2"/>
      <c r="B189" s="2"/>
      <c r="C189" s="2"/>
      <c r="D189" s="2"/>
      <c r="E189" s="2"/>
      <c r="F189" s="2"/>
      <c r="G189" s="2"/>
      <c r="H189" s="2"/>
      <c r="I189" s="2"/>
      <c r="K189" s="2"/>
      <c r="L189" s="2"/>
      <c r="M189" s="2"/>
      <c r="N189" s="2"/>
      <c r="O189" s="2"/>
      <c r="P189" s="2"/>
      <c r="R189" s="1">
        <f t="shared" si="15"/>
        <v>0</v>
      </c>
    </row>
    <row r="190" spans="1:256" x14ac:dyDescent="0.35">
      <c r="A190" s="2"/>
      <c r="B190" s="2"/>
      <c r="C190" s="2"/>
      <c r="D190" s="2"/>
      <c r="E190" s="2"/>
      <c r="F190" s="2"/>
      <c r="G190" s="2"/>
      <c r="H190" s="2"/>
      <c r="I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/>
      <c r="IL190" s="2"/>
      <c r="IM190" s="2"/>
      <c r="IN190" s="2"/>
      <c r="IO190" s="2"/>
      <c r="IP190" s="2"/>
      <c r="IQ190" s="2"/>
      <c r="IR190" s="2"/>
      <c r="IS190" s="2"/>
      <c r="IT190" s="2"/>
      <c r="IU190" s="2"/>
      <c r="IV190" s="2"/>
    </row>
    <row r="191" spans="1:256" x14ac:dyDescent="0.35">
      <c r="A191" s="2"/>
      <c r="B191" s="2"/>
      <c r="C191" s="2"/>
      <c r="D191" s="2"/>
      <c r="E191" s="2"/>
      <c r="F191" s="2"/>
      <c r="G191" s="2"/>
      <c r="H191" s="2"/>
      <c r="I191" s="2"/>
      <c r="K191" s="2"/>
      <c r="L191" s="2"/>
      <c r="M191" s="2"/>
      <c r="N191" s="2"/>
      <c r="O191" s="2"/>
      <c r="P191" s="2"/>
      <c r="Q191" s="6"/>
      <c r="R191" s="1">
        <f>SUM(K191:O191)</f>
        <v>0</v>
      </c>
    </row>
    <row r="192" spans="1:256" ht="12.7" x14ac:dyDescent="0.4">
      <c r="A192" s="2"/>
      <c r="B192" s="2"/>
      <c r="C192" s="2"/>
      <c r="D192" s="2"/>
      <c r="E192" s="2"/>
      <c r="F192" s="2"/>
      <c r="G192" s="2"/>
      <c r="H192" s="2"/>
      <c r="I192" s="2"/>
      <c r="K192" s="2"/>
      <c r="L192" s="2"/>
      <c r="M192" s="2"/>
      <c r="N192" s="2"/>
      <c r="O192" s="2"/>
      <c r="P192" s="2"/>
      <c r="Q192" s="5"/>
      <c r="R192" s="1">
        <f>SUM(K192:O192)</f>
        <v>0</v>
      </c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18" x14ac:dyDescent="0.35">
      <c r="A193" s="2"/>
      <c r="B193" s="2"/>
      <c r="C193" s="2"/>
      <c r="D193" s="2"/>
      <c r="E193" s="2"/>
      <c r="F193" s="2"/>
      <c r="G193" s="2"/>
      <c r="H193" s="2"/>
      <c r="I193" s="2"/>
      <c r="K193" s="2"/>
      <c r="L193" s="2"/>
      <c r="M193" s="2"/>
      <c r="N193" s="2"/>
      <c r="O193" s="2"/>
      <c r="P193" s="2"/>
      <c r="Q193" s="3"/>
      <c r="R193" s="3"/>
    </row>
    <row r="194" spans="1:18" x14ac:dyDescent="0.35">
      <c r="A194" s="2"/>
      <c r="B194" s="2"/>
      <c r="C194" s="2"/>
      <c r="D194" s="2"/>
      <c r="E194" s="2"/>
      <c r="F194" s="2"/>
      <c r="G194" s="2"/>
      <c r="H194" s="2"/>
      <c r="I194" s="2"/>
      <c r="K194" s="2"/>
      <c r="L194" s="2"/>
      <c r="M194" s="2"/>
      <c r="N194" s="2"/>
      <c r="O194" s="2"/>
      <c r="P194" s="2"/>
    </row>
    <row r="195" spans="1:18" x14ac:dyDescent="0.35">
      <c r="A195" s="2"/>
      <c r="B195" s="2"/>
      <c r="C195" s="2"/>
      <c r="D195" s="2"/>
      <c r="E195" s="2"/>
      <c r="F195" s="2"/>
      <c r="G195" s="2"/>
      <c r="H195" s="2"/>
      <c r="I195" s="2"/>
      <c r="K195" s="2"/>
      <c r="L195" s="2"/>
      <c r="M195" s="2"/>
      <c r="N195" s="2"/>
      <c r="O195" s="2"/>
      <c r="P195" s="2"/>
    </row>
    <row r="196" spans="1:18" x14ac:dyDescent="0.35">
      <c r="A196" s="2"/>
      <c r="B196" s="2"/>
      <c r="C196" s="2"/>
      <c r="D196" s="2"/>
      <c r="E196" s="2"/>
      <c r="F196" s="2"/>
      <c r="G196" s="2"/>
      <c r="H196" s="2"/>
      <c r="I196" s="2"/>
      <c r="K196" s="2"/>
      <c r="L196" s="2"/>
      <c r="M196" s="2"/>
      <c r="N196" s="2"/>
      <c r="O196" s="2"/>
      <c r="P196" s="2"/>
    </row>
    <row r="197" spans="1:18" x14ac:dyDescent="0.35">
      <c r="A197" s="2"/>
      <c r="B197" s="2"/>
      <c r="C197" s="2"/>
      <c r="D197" s="2"/>
      <c r="E197" s="2"/>
      <c r="F197" s="2"/>
      <c r="G197" s="2"/>
      <c r="H197" s="2"/>
      <c r="I197" s="2"/>
      <c r="K197" s="2"/>
      <c r="L197" s="2"/>
      <c r="M197" s="2"/>
      <c r="N197" s="2"/>
      <c r="O197" s="2"/>
      <c r="P197" s="2"/>
    </row>
    <row r="198" spans="1:18" x14ac:dyDescent="0.35">
      <c r="A198" s="2"/>
      <c r="B198" s="2"/>
      <c r="C198" s="2"/>
      <c r="D198" s="2"/>
      <c r="E198" s="2"/>
      <c r="F198" s="2"/>
      <c r="G198" s="2"/>
      <c r="H198" s="2"/>
      <c r="I198" s="2"/>
      <c r="K198" s="2"/>
      <c r="L198" s="2"/>
      <c r="M198" s="2"/>
      <c r="N198" s="2"/>
      <c r="O198" s="2"/>
      <c r="P198" s="2"/>
    </row>
    <row r="199" spans="1:18" x14ac:dyDescent="0.35">
      <c r="A199" s="2"/>
      <c r="B199" s="2"/>
      <c r="C199" s="2"/>
      <c r="D199" s="2"/>
      <c r="E199" s="2"/>
      <c r="F199" s="2"/>
      <c r="G199" s="2"/>
      <c r="H199" s="2"/>
      <c r="I199" s="2"/>
      <c r="K199" s="2"/>
      <c r="L199" s="2"/>
      <c r="M199" s="2"/>
      <c r="N199" s="2"/>
      <c r="O199" s="2"/>
      <c r="P199" s="2"/>
    </row>
    <row r="200" spans="1:18" x14ac:dyDescent="0.35">
      <c r="A200" s="2"/>
      <c r="B200" s="2"/>
      <c r="C200" s="2"/>
      <c r="D200" s="2"/>
      <c r="E200" s="2"/>
      <c r="F200" s="2"/>
      <c r="G200" s="2"/>
      <c r="H200" s="2"/>
      <c r="I200" s="2"/>
      <c r="K200" s="2"/>
      <c r="L200" s="2"/>
      <c r="M200" s="2"/>
      <c r="N200" s="2"/>
      <c r="O200" s="2"/>
      <c r="P200" s="2"/>
    </row>
    <row r="201" spans="1:18" x14ac:dyDescent="0.35">
      <c r="A201" s="2"/>
      <c r="B201" s="2"/>
      <c r="C201" s="2"/>
      <c r="D201" s="2"/>
      <c r="E201" s="2"/>
      <c r="F201" s="2"/>
      <c r="G201" s="2"/>
      <c r="H201" s="2"/>
      <c r="I201" s="2"/>
      <c r="K201" s="2"/>
      <c r="L201" s="2"/>
      <c r="M201" s="2"/>
      <c r="N201" s="2"/>
      <c r="O201" s="2"/>
      <c r="P201" s="2"/>
    </row>
    <row r="202" spans="1:18" x14ac:dyDescent="0.35">
      <c r="A202" s="2"/>
      <c r="B202" s="2"/>
      <c r="C202" s="2"/>
      <c r="D202" s="2"/>
      <c r="E202" s="2"/>
      <c r="F202" s="2"/>
      <c r="G202" s="2"/>
      <c r="H202" s="2"/>
      <c r="I202" s="2"/>
      <c r="K202" s="2"/>
      <c r="L202" s="2"/>
      <c r="M202" s="2"/>
      <c r="N202" s="2"/>
      <c r="O202" s="2"/>
      <c r="P202" s="2"/>
    </row>
    <row r="203" spans="1:18" x14ac:dyDescent="0.35">
      <c r="A203" s="2"/>
      <c r="B203" s="2"/>
      <c r="C203" s="2"/>
      <c r="D203" s="2"/>
      <c r="E203" s="2"/>
      <c r="F203" s="2"/>
      <c r="G203" s="2"/>
      <c r="H203" s="2"/>
      <c r="I203" s="2"/>
      <c r="K203" s="2"/>
      <c r="L203" s="2"/>
      <c r="M203" s="2"/>
      <c r="N203" s="2"/>
      <c r="O203" s="2"/>
      <c r="P203" s="2"/>
    </row>
    <row r="204" spans="1:18" x14ac:dyDescent="0.35">
      <c r="A204" s="2"/>
      <c r="B204" s="2"/>
      <c r="C204" s="2"/>
      <c r="D204" s="2"/>
      <c r="E204" s="2"/>
      <c r="F204" s="2"/>
      <c r="G204" s="2"/>
      <c r="H204" s="2"/>
      <c r="I204" s="2"/>
      <c r="K204" s="2"/>
      <c r="L204" s="2"/>
      <c r="M204" s="2"/>
      <c r="N204" s="2"/>
      <c r="O204" s="2"/>
      <c r="P204" s="2"/>
    </row>
    <row r="205" spans="1:18" x14ac:dyDescent="0.35">
      <c r="A205" s="2"/>
      <c r="B205" s="2"/>
      <c r="C205" s="2"/>
      <c r="D205" s="2"/>
      <c r="E205" s="2"/>
      <c r="F205" s="2"/>
      <c r="G205" s="2"/>
      <c r="H205" s="2"/>
      <c r="I205" s="2"/>
      <c r="K205" s="2"/>
      <c r="L205" s="2"/>
      <c r="M205" s="2"/>
      <c r="N205" s="2"/>
      <c r="O205" s="2"/>
      <c r="P205" s="2"/>
    </row>
    <row r="206" spans="1:18" x14ac:dyDescent="0.35">
      <c r="A206" s="2"/>
      <c r="B206" s="2"/>
      <c r="C206" s="2"/>
      <c r="D206" s="2"/>
      <c r="E206" s="2"/>
      <c r="F206" s="2"/>
      <c r="G206" s="2"/>
      <c r="H206" s="2"/>
      <c r="I206" s="2"/>
      <c r="K206" s="2"/>
      <c r="L206" s="2"/>
      <c r="M206" s="2"/>
      <c r="N206" s="2"/>
      <c r="O206" s="2"/>
      <c r="P206" s="2"/>
    </row>
    <row r="207" spans="1:18" x14ac:dyDescent="0.35">
      <c r="A207" s="2"/>
      <c r="B207" s="2"/>
      <c r="C207" s="2"/>
      <c r="D207" s="2"/>
      <c r="E207" s="2"/>
      <c r="F207" s="2"/>
      <c r="G207" s="2"/>
      <c r="H207" s="2"/>
      <c r="I207" s="2"/>
      <c r="K207" s="2"/>
      <c r="L207" s="2"/>
      <c r="M207" s="2"/>
      <c r="N207" s="2"/>
      <c r="O207" s="2"/>
      <c r="P207" s="2"/>
    </row>
    <row r="208" spans="1:18" x14ac:dyDescent="0.35">
      <c r="A208" s="2"/>
      <c r="B208" s="2"/>
      <c r="C208" s="2"/>
      <c r="D208" s="2"/>
      <c r="E208" s="2"/>
      <c r="F208" s="2"/>
      <c r="G208" s="2"/>
      <c r="H208" s="2"/>
      <c r="I208" s="2"/>
      <c r="K208" s="2"/>
      <c r="L208" s="2"/>
      <c r="M208" s="2"/>
      <c r="N208" s="2"/>
      <c r="O208" s="2"/>
      <c r="P208" s="2"/>
    </row>
    <row r="209" spans="1:16" x14ac:dyDescent="0.35">
      <c r="A209" s="2"/>
      <c r="B209" s="2"/>
      <c r="C209" s="2"/>
      <c r="D209" s="2"/>
      <c r="E209" s="2"/>
      <c r="F209" s="2"/>
      <c r="G209" s="2"/>
      <c r="H209" s="2"/>
      <c r="I209" s="2"/>
      <c r="K209" s="2"/>
      <c r="L209" s="2"/>
      <c r="M209" s="2"/>
      <c r="N209" s="2"/>
      <c r="O209" s="2"/>
      <c r="P209" s="2"/>
    </row>
    <row r="210" spans="1:16" x14ac:dyDescent="0.35">
      <c r="A210" s="2"/>
      <c r="B210" s="2"/>
      <c r="C210" s="2"/>
      <c r="D210" s="2"/>
      <c r="E210" s="2"/>
      <c r="F210" s="2"/>
      <c r="G210" s="2"/>
      <c r="H210" s="2"/>
      <c r="I210" s="2"/>
      <c r="K210" s="2"/>
      <c r="L210" s="2"/>
      <c r="M210" s="2"/>
      <c r="N210" s="2"/>
      <c r="O210" s="2"/>
      <c r="P210" s="2"/>
    </row>
    <row r="211" spans="1:16" x14ac:dyDescent="0.35">
      <c r="A211" s="2"/>
      <c r="B211" s="2"/>
      <c r="C211" s="2"/>
      <c r="D211" s="2"/>
      <c r="E211" s="2"/>
      <c r="F211" s="2"/>
      <c r="G211" s="2"/>
      <c r="H211" s="2"/>
      <c r="I211" s="2"/>
      <c r="K211" s="2"/>
      <c r="L211" s="2"/>
      <c r="M211" s="2"/>
      <c r="N211" s="2"/>
      <c r="O211" s="2"/>
      <c r="P211" s="2"/>
    </row>
    <row r="212" spans="1:16" x14ac:dyDescent="0.35">
      <c r="A212" s="2"/>
      <c r="B212" s="2"/>
      <c r="C212" s="2"/>
      <c r="D212" s="2"/>
      <c r="E212" s="2"/>
      <c r="F212" s="2"/>
      <c r="G212" s="2"/>
      <c r="H212" s="2"/>
      <c r="I212" s="2"/>
      <c r="K212" s="2"/>
      <c r="L212" s="2"/>
      <c r="M212" s="2"/>
      <c r="N212" s="2"/>
      <c r="O212" s="2"/>
      <c r="P212" s="2"/>
    </row>
    <row r="213" spans="1:16" x14ac:dyDescent="0.35">
      <c r="A213" s="2"/>
      <c r="B213" s="2"/>
      <c r="C213" s="2"/>
      <c r="D213" s="2"/>
      <c r="E213" s="2"/>
      <c r="F213" s="2"/>
      <c r="G213" s="2"/>
      <c r="H213" s="2"/>
      <c r="I213" s="2"/>
      <c r="K213" s="2"/>
      <c r="L213" s="2"/>
      <c r="M213" s="2"/>
      <c r="N213" s="2"/>
      <c r="O213" s="2"/>
      <c r="P213" s="2"/>
    </row>
    <row r="214" spans="1:16" x14ac:dyDescent="0.35">
      <c r="A214" s="2"/>
      <c r="B214" s="2"/>
      <c r="C214" s="2"/>
      <c r="D214" s="2"/>
      <c r="E214" s="2"/>
      <c r="F214" s="2"/>
      <c r="G214" s="2"/>
      <c r="H214" s="2"/>
      <c r="I214" s="2"/>
      <c r="K214" s="2"/>
      <c r="L214" s="2"/>
      <c r="M214" s="2"/>
      <c r="N214" s="2"/>
      <c r="O214" s="2"/>
      <c r="P214" s="2"/>
    </row>
    <row r="215" spans="1:16" x14ac:dyDescent="0.35">
      <c r="A215" s="2"/>
      <c r="B215" s="2"/>
      <c r="C215" s="2"/>
      <c r="D215" s="2"/>
      <c r="E215" s="2"/>
      <c r="F215" s="2"/>
      <c r="G215" s="2"/>
      <c r="H215" s="2"/>
      <c r="I215" s="2"/>
      <c r="K215" s="2"/>
      <c r="L215" s="2"/>
      <c r="M215" s="2"/>
      <c r="N215" s="2"/>
      <c r="O215" s="2"/>
      <c r="P215" s="2"/>
    </row>
    <row r="216" spans="1:16" x14ac:dyDescent="0.35">
      <c r="A216" s="2"/>
      <c r="B216" s="2"/>
      <c r="C216" s="2"/>
      <c r="D216" s="2"/>
      <c r="E216" s="2"/>
      <c r="F216" s="2"/>
      <c r="G216" s="2"/>
      <c r="H216" s="2"/>
      <c r="I216" s="2"/>
      <c r="K216" s="2"/>
      <c r="L216" s="2"/>
      <c r="M216" s="2"/>
      <c r="N216" s="2"/>
      <c r="O216" s="2"/>
      <c r="P216" s="2"/>
    </row>
    <row r="217" spans="1:16" x14ac:dyDescent="0.35">
      <c r="A217" s="2"/>
      <c r="B217" s="2"/>
      <c r="C217" s="2"/>
      <c r="D217" s="2"/>
      <c r="E217" s="2"/>
      <c r="F217" s="2"/>
      <c r="G217" s="2"/>
      <c r="H217" s="2"/>
      <c r="I217" s="2"/>
      <c r="K217" s="2"/>
      <c r="L217" s="2"/>
      <c r="M217" s="2"/>
      <c r="N217" s="2"/>
      <c r="O217" s="2"/>
      <c r="P217" s="2"/>
    </row>
    <row r="218" spans="1:16" x14ac:dyDescent="0.35">
      <c r="A218" s="2"/>
      <c r="B218" s="2"/>
      <c r="C218" s="2"/>
      <c r="D218" s="2"/>
      <c r="E218" s="2"/>
      <c r="F218" s="2"/>
      <c r="G218" s="2"/>
      <c r="H218" s="2"/>
      <c r="I218" s="2"/>
      <c r="K218" s="2"/>
      <c r="L218" s="2"/>
      <c r="M218" s="2"/>
      <c r="N218" s="2"/>
      <c r="O218" s="2"/>
      <c r="P218" s="2"/>
    </row>
    <row r="219" spans="1:16" x14ac:dyDescent="0.35">
      <c r="A219" s="2"/>
      <c r="B219" s="2"/>
      <c r="C219" s="2"/>
      <c r="D219" s="2"/>
      <c r="E219" s="2"/>
      <c r="F219" s="2"/>
      <c r="G219" s="2"/>
      <c r="H219" s="2"/>
      <c r="I219" s="2"/>
      <c r="K219" s="2"/>
      <c r="L219" s="2"/>
      <c r="M219" s="2"/>
      <c r="N219" s="2"/>
      <c r="O219" s="2"/>
      <c r="P219" s="2"/>
    </row>
    <row r="220" spans="1:16" x14ac:dyDescent="0.35">
      <c r="A220" s="2"/>
      <c r="B220" s="2"/>
      <c r="C220" s="2"/>
      <c r="D220" s="2"/>
      <c r="E220" s="2"/>
      <c r="F220" s="2"/>
      <c r="G220" s="2"/>
      <c r="H220" s="2"/>
      <c r="I220" s="2"/>
      <c r="K220" s="2"/>
      <c r="L220" s="2"/>
      <c r="M220" s="2"/>
      <c r="N220" s="2"/>
      <c r="O220" s="2"/>
      <c r="P220" s="2"/>
    </row>
    <row r="221" spans="1:16" x14ac:dyDescent="0.35">
      <c r="A221" s="2"/>
      <c r="B221" s="2"/>
      <c r="C221" s="2"/>
      <c r="D221" s="2"/>
      <c r="E221" s="2"/>
      <c r="F221" s="2"/>
      <c r="G221" s="2"/>
      <c r="H221" s="2"/>
      <c r="I221" s="2"/>
      <c r="K221" s="2"/>
      <c r="L221" s="2"/>
      <c r="M221" s="2"/>
      <c r="N221" s="2"/>
      <c r="O221" s="2"/>
      <c r="P221" s="2"/>
    </row>
    <row r="222" spans="1:16" x14ac:dyDescent="0.35">
      <c r="A222" s="2"/>
      <c r="B222" s="2"/>
      <c r="C222" s="2"/>
      <c r="D222" s="2"/>
      <c r="E222" s="2"/>
      <c r="F222" s="2"/>
      <c r="G222" s="2"/>
      <c r="H222" s="2"/>
      <c r="I222" s="2"/>
      <c r="K222" s="2"/>
      <c r="L222" s="2"/>
      <c r="M222" s="2"/>
      <c r="N222" s="2"/>
      <c r="O222" s="2"/>
      <c r="P222" s="2"/>
    </row>
    <row r="223" spans="1:16" x14ac:dyDescent="0.35">
      <c r="A223" s="2"/>
      <c r="B223" s="2"/>
      <c r="C223" s="2"/>
      <c r="D223" s="2"/>
      <c r="E223" s="2"/>
      <c r="F223" s="2"/>
      <c r="G223" s="2"/>
      <c r="H223" s="2"/>
      <c r="I223" s="2"/>
      <c r="K223" s="2"/>
      <c r="L223" s="2"/>
      <c r="M223" s="2"/>
      <c r="N223" s="2"/>
      <c r="O223" s="2"/>
      <c r="P223" s="2"/>
    </row>
    <row r="224" spans="1:16" x14ac:dyDescent="0.35">
      <c r="A224" s="2"/>
      <c r="B224" s="2"/>
      <c r="C224" s="2"/>
      <c r="D224" s="2"/>
      <c r="E224" s="2"/>
      <c r="F224" s="2"/>
      <c r="G224" s="2"/>
      <c r="H224" s="2"/>
      <c r="I224" s="2"/>
      <c r="K224" s="2"/>
      <c r="L224" s="2"/>
      <c r="M224" s="2"/>
      <c r="N224" s="2"/>
      <c r="O224" s="2"/>
      <c r="P224" s="2"/>
    </row>
    <row r="225" spans="1:16" x14ac:dyDescent="0.35">
      <c r="A225" s="2"/>
      <c r="B225" s="2"/>
      <c r="C225" s="2"/>
      <c r="D225" s="2"/>
      <c r="E225" s="2"/>
      <c r="F225" s="2"/>
      <c r="G225" s="2"/>
      <c r="H225" s="2"/>
      <c r="I225" s="2"/>
      <c r="K225" s="2"/>
      <c r="L225" s="2"/>
      <c r="M225" s="2"/>
      <c r="N225" s="2"/>
      <c r="O225" s="2"/>
      <c r="P225" s="2"/>
    </row>
    <row r="226" spans="1:16" x14ac:dyDescent="0.35">
      <c r="A226" s="2"/>
      <c r="B226" s="2"/>
      <c r="C226" s="2"/>
      <c r="D226" s="2"/>
      <c r="E226" s="2"/>
      <c r="F226" s="2"/>
      <c r="G226" s="2"/>
      <c r="H226" s="2"/>
      <c r="I226" s="2"/>
      <c r="K226" s="2"/>
      <c r="L226" s="2"/>
      <c r="M226" s="2"/>
      <c r="N226" s="2"/>
      <c r="O226" s="2"/>
      <c r="P226" s="2"/>
    </row>
    <row r="227" spans="1:16" x14ac:dyDescent="0.35">
      <c r="A227" s="2"/>
      <c r="B227" s="2"/>
      <c r="C227" s="2"/>
      <c r="D227" s="2"/>
      <c r="E227" s="2"/>
      <c r="F227" s="2"/>
      <c r="G227" s="2"/>
      <c r="H227" s="2"/>
      <c r="I227" s="2"/>
      <c r="K227" s="2"/>
      <c r="L227" s="2"/>
      <c r="M227" s="2"/>
      <c r="N227" s="2"/>
      <c r="O227" s="2"/>
      <c r="P227" s="2"/>
    </row>
    <row r="228" spans="1:16" x14ac:dyDescent="0.35">
      <c r="A228" s="2"/>
      <c r="B228" s="2"/>
      <c r="C228" s="2"/>
      <c r="D228" s="2"/>
      <c r="E228" s="2"/>
      <c r="F228" s="2"/>
      <c r="G228" s="2"/>
      <c r="H228" s="2"/>
      <c r="I228" s="2"/>
      <c r="K228" s="2"/>
      <c r="L228" s="2"/>
      <c r="M228" s="2"/>
      <c r="N228" s="2"/>
      <c r="O228" s="2"/>
      <c r="P228" s="2"/>
    </row>
    <row r="229" spans="1:16" x14ac:dyDescent="0.35">
      <c r="A229" s="2"/>
      <c r="B229" s="2"/>
      <c r="C229" s="2"/>
      <c r="D229" s="2"/>
      <c r="E229" s="2"/>
      <c r="F229" s="2"/>
      <c r="G229" s="2"/>
      <c r="H229" s="2"/>
      <c r="I229" s="2"/>
      <c r="K229" s="2"/>
      <c r="L229" s="2"/>
      <c r="M229" s="2"/>
      <c r="N229" s="2"/>
      <c r="O229" s="2"/>
      <c r="P229" s="2"/>
    </row>
    <row r="230" spans="1:16" x14ac:dyDescent="0.35">
      <c r="A230" s="2"/>
      <c r="B230" s="2"/>
      <c r="C230" s="2"/>
      <c r="D230" s="2"/>
      <c r="E230" s="2"/>
      <c r="F230" s="2"/>
      <c r="G230" s="2"/>
      <c r="H230" s="2"/>
      <c r="I230" s="2"/>
      <c r="K230" s="2"/>
      <c r="L230" s="2"/>
      <c r="M230" s="2"/>
      <c r="N230" s="2"/>
      <c r="O230" s="2"/>
      <c r="P230" s="2"/>
    </row>
    <row r="231" spans="1:16" x14ac:dyDescent="0.35">
      <c r="A231" s="2"/>
      <c r="B231" s="2"/>
      <c r="C231" s="2"/>
      <c r="D231" s="2"/>
      <c r="E231" s="2"/>
      <c r="F231" s="2"/>
      <c r="G231" s="2"/>
      <c r="H231" s="2"/>
      <c r="I231" s="2"/>
      <c r="K231" s="2"/>
      <c r="L231" s="2"/>
      <c r="M231" s="2"/>
      <c r="N231" s="2"/>
      <c r="O231" s="2"/>
      <c r="P231" s="2"/>
    </row>
    <row r="232" spans="1:16" x14ac:dyDescent="0.35">
      <c r="A232" s="2"/>
      <c r="B232" s="2"/>
      <c r="C232" s="2"/>
      <c r="D232" s="2"/>
      <c r="E232" s="2"/>
      <c r="F232" s="2"/>
      <c r="G232" s="2"/>
      <c r="H232" s="2"/>
      <c r="I232" s="2"/>
      <c r="K232" s="2"/>
      <c r="L232" s="2"/>
      <c r="M232" s="2"/>
      <c r="N232" s="2"/>
      <c r="O232" s="2"/>
      <c r="P232" s="2"/>
    </row>
    <row r="233" spans="1:16" x14ac:dyDescent="0.35">
      <c r="A233" s="2"/>
      <c r="B233" s="2"/>
      <c r="C233" s="2"/>
      <c r="D233" s="2"/>
      <c r="E233" s="2"/>
      <c r="F233" s="2"/>
      <c r="G233" s="2"/>
      <c r="H233" s="2"/>
      <c r="I233" s="2"/>
      <c r="K233" s="2"/>
      <c r="L233" s="2"/>
      <c r="M233" s="2"/>
      <c r="N233" s="2"/>
      <c r="O233" s="2"/>
      <c r="P233" s="2"/>
    </row>
    <row r="234" spans="1:16" x14ac:dyDescent="0.35">
      <c r="A234" s="2"/>
      <c r="B234" s="2"/>
      <c r="C234" s="2"/>
      <c r="D234" s="2"/>
      <c r="E234" s="2"/>
      <c r="F234" s="2"/>
      <c r="G234" s="2"/>
      <c r="H234" s="2"/>
      <c r="I234" s="2"/>
      <c r="K234" s="2"/>
      <c r="L234" s="2"/>
      <c r="M234" s="2"/>
      <c r="N234" s="2"/>
      <c r="O234" s="2"/>
      <c r="P234" s="2"/>
    </row>
    <row r="235" spans="1:16" x14ac:dyDescent="0.35">
      <c r="A235" s="2"/>
      <c r="B235" s="2"/>
      <c r="C235" s="2"/>
      <c r="D235" s="2"/>
      <c r="E235" s="2"/>
      <c r="F235" s="2"/>
      <c r="G235" s="2"/>
      <c r="H235" s="2"/>
      <c r="I235" s="2"/>
      <c r="K235" s="2"/>
      <c r="L235" s="2"/>
      <c r="M235" s="2"/>
      <c r="N235" s="2"/>
      <c r="O235" s="2"/>
      <c r="P235" s="2"/>
    </row>
    <row r="236" spans="1:16" x14ac:dyDescent="0.35">
      <c r="A236" s="2"/>
      <c r="B236" s="2"/>
      <c r="C236" s="2"/>
      <c r="D236" s="2"/>
      <c r="E236" s="2"/>
      <c r="F236" s="2"/>
      <c r="G236" s="2"/>
      <c r="H236" s="2"/>
      <c r="I236" s="2"/>
      <c r="K236" s="2"/>
      <c r="L236" s="2"/>
      <c r="M236" s="2"/>
      <c r="N236" s="2"/>
      <c r="O236" s="2"/>
      <c r="P236" s="2"/>
    </row>
    <row r="237" spans="1:16" x14ac:dyDescent="0.35">
      <c r="A237" s="2"/>
      <c r="B237" s="2"/>
      <c r="C237" s="2"/>
      <c r="D237" s="2"/>
      <c r="E237" s="2"/>
      <c r="F237" s="2"/>
      <c r="G237" s="2"/>
      <c r="H237" s="2"/>
      <c r="I237" s="2"/>
      <c r="K237" s="2"/>
      <c r="L237" s="2"/>
      <c r="M237" s="2"/>
      <c r="N237" s="2"/>
      <c r="O237" s="2"/>
      <c r="P237" s="2"/>
    </row>
    <row r="238" spans="1:16" x14ac:dyDescent="0.35">
      <c r="A238" s="2"/>
      <c r="B238" s="2"/>
      <c r="C238" s="2"/>
      <c r="D238" s="2"/>
      <c r="E238" s="2"/>
      <c r="F238" s="2"/>
      <c r="G238" s="2"/>
      <c r="H238" s="2"/>
      <c r="I238" s="2"/>
      <c r="K238" s="2"/>
      <c r="L238" s="2"/>
      <c r="M238" s="2"/>
      <c r="N238" s="2"/>
      <c r="O238" s="2"/>
      <c r="P238" s="2"/>
    </row>
    <row r="239" spans="1:16" x14ac:dyDescent="0.35">
      <c r="A239" s="2"/>
      <c r="B239" s="2"/>
      <c r="C239" s="2"/>
      <c r="D239" s="2"/>
      <c r="E239" s="2"/>
      <c r="F239" s="2"/>
      <c r="G239" s="2"/>
      <c r="H239" s="2"/>
      <c r="I239" s="2"/>
      <c r="K239" s="2"/>
      <c r="L239" s="2"/>
      <c r="M239" s="2"/>
      <c r="N239" s="2"/>
      <c r="O239" s="2"/>
      <c r="P239" s="2"/>
    </row>
    <row r="240" spans="1:16" x14ac:dyDescent="0.35">
      <c r="A240" s="2"/>
      <c r="B240" s="2"/>
      <c r="C240" s="2"/>
      <c r="D240" s="2"/>
      <c r="E240" s="2"/>
      <c r="F240" s="2"/>
      <c r="G240" s="2"/>
      <c r="H240" s="2"/>
      <c r="I240" s="2"/>
      <c r="K240" s="2"/>
      <c r="L240" s="2"/>
      <c r="M240" s="2"/>
      <c r="N240" s="2"/>
      <c r="O240" s="2"/>
      <c r="P240" s="2"/>
    </row>
    <row r="241" spans="1:16" x14ac:dyDescent="0.35">
      <c r="A241" s="2"/>
      <c r="B241" s="2"/>
      <c r="C241" s="2"/>
      <c r="D241" s="2"/>
      <c r="E241" s="2"/>
      <c r="F241" s="2"/>
      <c r="G241" s="2"/>
      <c r="H241" s="2"/>
      <c r="I241" s="2"/>
      <c r="K241" s="2"/>
      <c r="L241" s="2"/>
      <c r="M241" s="2"/>
      <c r="N241" s="2"/>
      <c r="O241" s="2"/>
      <c r="P241" s="2"/>
    </row>
    <row r="242" spans="1:16" x14ac:dyDescent="0.35">
      <c r="A242" s="2"/>
      <c r="B242" s="2"/>
      <c r="C242" s="2"/>
      <c r="D242" s="2"/>
      <c r="E242" s="2"/>
      <c r="F242" s="2"/>
      <c r="G242" s="2"/>
      <c r="H242" s="2"/>
      <c r="I242" s="2"/>
      <c r="K242" s="2"/>
      <c r="L242" s="2"/>
      <c r="M242" s="2"/>
      <c r="N242" s="2"/>
      <c r="O242" s="2"/>
      <c r="P242" s="2"/>
    </row>
    <row r="243" spans="1:16" x14ac:dyDescent="0.35">
      <c r="A243" s="2"/>
      <c r="B243" s="2"/>
      <c r="C243" s="2"/>
      <c r="D243" s="2"/>
      <c r="E243" s="2"/>
      <c r="F243" s="2"/>
      <c r="G243" s="2"/>
      <c r="H243" s="2"/>
      <c r="I243" s="2"/>
      <c r="K243" s="2"/>
      <c r="L243" s="2"/>
      <c r="M243" s="2"/>
      <c r="N243" s="2"/>
      <c r="O243" s="2"/>
      <c r="P243" s="2"/>
    </row>
    <row r="244" spans="1:16" x14ac:dyDescent="0.35">
      <c r="A244" s="2"/>
      <c r="B244" s="2"/>
      <c r="C244" s="2"/>
      <c r="D244" s="2"/>
      <c r="E244" s="2"/>
      <c r="F244" s="2"/>
      <c r="G244" s="2"/>
      <c r="H244" s="2"/>
      <c r="I244" s="2"/>
      <c r="K244" s="2"/>
      <c r="L244" s="2"/>
      <c r="M244" s="2"/>
      <c r="N244" s="2"/>
      <c r="O244" s="2"/>
      <c r="P244" s="2"/>
    </row>
    <row r="245" spans="1:16" x14ac:dyDescent="0.35">
      <c r="A245" s="2"/>
      <c r="B245" s="2"/>
      <c r="C245" s="2"/>
      <c r="D245" s="2"/>
      <c r="E245" s="2"/>
      <c r="F245" s="2"/>
      <c r="G245" s="2"/>
      <c r="H245" s="2"/>
      <c r="I245" s="2"/>
      <c r="K245" s="2"/>
      <c r="L245" s="2"/>
      <c r="M245" s="2"/>
      <c r="N245" s="2"/>
      <c r="O245" s="2"/>
      <c r="P245" s="2"/>
    </row>
    <row r="246" spans="1:16" x14ac:dyDescent="0.35">
      <c r="A246" s="2"/>
      <c r="B246" s="2"/>
      <c r="C246" s="2"/>
      <c r="D246" s="2"/>
      <c r="E246" s="2"/>
      <c r="F246" s="2"/>
      <c r="G246" s="2"/>
      <c r="H246" s="2"/>
      <c r="I246" s="2"/>
      <c r="K246" s="2"/>
      <c r="L246" s="2"/>
      <c r="M246" s="2"/>
      <c r="N246" s="2"/>
      <c r="O246" s="2"/>
      <c r="P246" s="2"/>
    </row>
    <row r="247" spans="1:16" x14ac:dyDescent="0.35">
      <c r="A247" s="2"/>
      <c r="B247" s="2"/>
      <c r="C247" s="2"/>
      <c r="D247" s="2"/>
      <c r="E247" s="2"/>
      <c r="F247" s="2"/>
      <c r="G247" s="2"/>
      <c r="H247" s="2"/>
      <c r="I247" s="2"/>
      <c r="K247" s="2"/>
      <c r="L247" s="2"/>
      <c r="M247" s="2"/>
      <c r="N247" s="2"/>
      <c r="O247" s="2"/>
      <c r="P247" s="2"/>
    </row>
    <row r="248" spans="1:16" x14ac:dyDescent="0.35">
      <c r="A248" s="2"/>
      <c r="B248" s="2"/>
      <c r="C248" s="2"/>
      <c r="D248" s="2"/>
      <c r="E248" s="2"/>
      <c r="F248" s="2"/>
      <c r="G248" s="2"/>
      <c r="H248" s="2"/>
      <c r="I248" s="2"/>
      <c r="K248" s="2"/>
      <c r="L248" s="2"/>
      <c r="M248" s="2"/>
      <c r="N248" s="2"/>
      <c r="O248" s="2"/>
      <c r="P248" s="2"/>
    </row>
    <row r="249" spans="1:16" x14ac:dyDescent="0.35">
      <c r="A249" s="2"/>
      <c r="B249" s="2"/>
      <c r="C249" s="2"/>
      <c r="D249" s="2"/>
      <c r="E249" s="2"/>
      <c r="F249" s="2"/>
      <c r="G249" s="2"/>
      <c r="H249" s="2"/>
      <c r="I249" s="2"/>
      <c r="K249" s="2"/>
      <c r="L249" s="2"/>
      <c r="M249" s="2"/>
      <c r="N249" s="2"/>
      <c r="O249" s="2"/>
      <c r="P249" s="2"/>
    </row>
    <row r="250" spans="1:16" x14ac:dyDescent="0.35">
      <c r="A250" s="2"/>
      <c r="B250" s="2"/>
      <c r="C250" s="2"/>
      <c r="D250" s="2"/>
      <c r="E250" s="2"/>
      <c r="F250" s="2"/>
      <c r="G250" s="2"/>
      <c r="H250" s="2"/>
      <c r="I250" s="2"/>
      <c r="K250" s="2"/>
      <c r="L250" s="2"/>
      <c r="M250" s="2"/>
      <c r="N250" s="2"/>
      <c r="O250" s="2"/>
      <c r="P250" s="2"/>
    </row>
    <row r="251" spans="1:16" x14ac:dyDescent="0.35">
      <c r="A251" s="2"/>
      <c r="B251" s="2"/>
      <c r="C251" s="2"/>
      <c r="D251" s="2"/>
      <c r="E251" s="2"/>
      <c r="F251" s="2"/>
      <c r="G251" s="2"/>
      <c r="H251" s="2"/>
      <c r="I251" s="2"/>
      <c r="K251" s="2"/>
      <c r="L251" s="2"/>
      <c r="M251" s="2"/>
      <c r="N251" s="2"/>
      <c r="O251" s="2"/>
      <c r="P251" s="2"/>
    </row>
    <row r="252" spans="1:16" x14ac:dyDescent="0.35">
      <c r="A252" s="2"/>
      <c r="B252" s="2"/>
      <c r="C252" s="2"/>
      <c r="D252" s="2"/>
      <c r="E252" s="2"/>
      <c r="F252" s="2"/>
      <c r="G252" s="2"/>
      <c r="H252" s="2"/>
      <c r="I252" s="2"/>
      <c r="K252" s="2"/>
      <c r="L252" s="2"/>
      <c r="M252" s="2"/>
      <c r="N252" s="2"/>
      <c r="O252" s="2"/>
      <c r="P252" s="2"/>
    </row>
    <row r="253" spans="1:16" x14ac:dyDescent="0.35">
      <c r="A253" s="2"/>
      <c r="B253" s="2"/>
      <c r="C253" s="2"/>
      <c r="D253" s="2"/>
      <c r="E253" s="2"/>
      <c r="F253" s="2"/>
      <c r="G253" s="2"/>
      <c r="H253" s="2"/>
      <c r="I253" s="2"/>
      <c r="K253" s="2"/>
      <c r="L253" s="2"/>
      <c r="M253" s="2"/>
      <c r="N253" s="2"/>
      <c r="O253" s="2"/>
      <c r="P253" s="2"/>
    </row>
    <row r="254" spans="1:16" x14ac:dyDescent="0.35">
      <c r="A254" s="2"/>
      <c r="B254" s="2"/>
      <c r="C254" s="2"/>
      <c r="D254" s="2"/>
      <c r="E254" s="2"/>
      <c r="F254" s="2"/>
      <c r="G254" s="2"/>
      <c r="H254" s="2"/>
      <c r="I254" s="2"/>
      <c r="K254" s="2"/>
      <c r="L254" s="2"/>
      <c r="M254" s="2"/>
      <c r="N254" s="2"/>
      <c r="O254" s="2"/>
      <c r="P254" s="2"/>
    </row>
    <row r="255" spans="1:16" x14ac:dyDescent="0.35">
      <c r="A255" s="2"/>
      <c r="B255" s="2"/>
      <c r="C255" s="2"/>
      <c r="D255" s="2"/>
      <c r="E255" s="2"/>
      <c r="F255" s="2"/>
      <c r="G255" s="2"/>
      <c r="H255" s="2"/>
      <c r="I255" s="2"/>
      <c r="K255" s="2"/>
      <c r="L255" s="2"/>
      <c r="M255" s="2"/>
      <c r="N255" s="2"/>
      <c r="O255" s="2"/>
      <c r="P255" s="2"/>
    </row>
    <row r="256" spans="1:16" x14ac:dyDescent="0.35">
      <c r="A256" s="2"/>
      <c r="B256" s="2"/>
      <c r="C256" s="2"/>
      <c r="D256" s="2"/>
      <c r="E256" s="2"/>
      <c r="F256" s="2"/>
      <c r="G256" s="2"/>
      <c r="H256" s="2"/>
      <c r="I256" s="2"/>
      <c r="K256" s="2"/>
      <c r="L256" s="2"/>
      <c r="M256" s="2"/>
      <c r="N256" s="2"/>
      <c r="O256" s="2"/>
      <c r="P256" s="2"/>
    </row>
    <row r="257" spans="1:16" x14ac:dyDescent="0.35">
      <c r="A257" s="2"/>
      <c r="B257" s="2"/>
      <c r="C257" s="2"/>
      <c r="D257" s="2"/>
      <c r="E257" s="2"/>
      <c r="F257" s="2"/>
      <c r="G257" s="2"/>
      <c r="H257" s="2"/>
      <c r="I257" s="2"/>
      <c r="K257" s="2"/>
      <c r="L257" s="2"/>
      <c r="M257" s="2"/>
      <c r="N257" s="2"/>
      <c r="O257" s="2"/>
      <c r="P257" s="2"/>
    </row>
    <row r="258" spans="1:16" x14ac:dyDescent="0.35">
      <c r="A258" s="2"/>
      <c r="B258" s="2"/>
      <c r="C258" s="2"/>
      <c r="D258" s="2"/>
      <c r="E258" s="2"/>
      <c r="F258" s="2"/>
      <c r="G258" s="2"/>
      <c r="H258" s="2"/>
      <c r="I258" s="2"/>
      <c r="K258" s="2"/>
      <c r="L258" s="2"/>
      <c r="M258" s="2"/>
      <c r="N258" s="2"/>
      <c r="O258" s="2"/>
      <c r="P258" s="2"/>
    </row>
    <row r="259" spans="1:16" x14ac:dyDescent="0.35">
      <c r="A259" s="2"/>
      <c r="B259" s="2"/>
      <c r="C259" s="2"/>
      <c r="D259" s="2"/>
      <c r="E259" s="2"/>
      <c r="F259" s="2"/>
      <c r="G259" s="2"/>
      <c r="H259" s="2"/>
      <c r="I259" s="2"/>
      <c r="K259" s="2"/>
      <c r="L259" s="2"/>
      <c r="M259" s="2"/>
      <c r="N259" s="2"/>
      <c r="O259" s="2"/>
      <c r="P259" s="2"/>
    </row>
    <row r="260" spans="1:16" x14ac:dyDescent="0.35">
      <c r="A260" s="2"/>
      <c r="B260" s="2"/>
      <c r="C260" s="2"/>
      <c r="D260" s="2"/>
      <c r="E260" s="2"/>
      <c r="F260" s="2"/>
      <c r="G260" s="2"/>
      <c r="H260" s="2"/>
      <c r="I260" s="2"/>
      <c r="K260" s="2"/>
      <c r="L260" s="2"/>
      <c r="M260" s="2"/>
      <c r="N260" s="2"/>
      <c r="O260" s="2"/>
      <c r="P260" s="2"/>
    </row>
    <row r="261" spans="1:16" x14ac:dyDescent="0.35">
      <c r="A261" s="2"/>
      <c r="B261" s="2"/>
      <c r="C261" s="2"/>
      <c r="D261" s="2"/>
      <c r="E261" s="2"/>
      <c r="F261" s="2"/>
      <c r="G261" s="2"/>
      <c r="H261" s="2"/>
      <c r="I261" s="2"/>
      <c r="K261" s="2"/>
      <c r="L261" s="2"/>
      <c r="M261" s="2"/>
      <c r="N261" s="2"/>
      <c r="O261" s="2"/>
      <c r="P261" s="2"/>
    </row>
    <row r="262" spans="1:16" x14ac:dyDescent="0.35">
      <c r="A262" s="2"/>
      <c r="B262" s="2"/>
      <c r="C262" s="2"/>
      <c r="D262" s="2"/>
      <c r="E262" s="2"/>
      <c r="F262" s="2"/>
      <c r="G262" s="2"/>
      <c r="H262" s="2"/>
      <c r="I262" s="2"/>
      <c r="K262" s="2"/>
      <c r="L262" s="2"/>
      <c r="M262" s="2"/>
      <c r="N262" s="2"/>
      <c r="O262" s="2"/>
      <c r="P262" s="2"/>
    </row>
    <row r="263" spans="1:16" x14ac:dyDescent="0.35">
      <c r="A263" s="2"/>
      <c r="B263" s="2"/>
      <c r="C263" s="2"/>
      <c r="D263" s="2"/>
      <c r="E263" s="2"/>
      <c r="F263" s="2"/>
      <c r="G263" s="2"/>
      <c r="H263" s="2"/>
      <c r="I263" s="2"/>
      <c r="K263" s="2"/>
      <c r="L263" s="2"/>
      <c r="M263" s="2"/>
      <c r="N263" s="2"/>
      <c r="O263" s="2"/>
      <c r="P263" s="2"/>
    </row>
    <row r="264" spans="1:16" x14ac:dyDescent="0.35">
      <c r="A264" s="2"/>
      <c r="B264" s="2"/>
      <c r="C264" s="2"/>
      <c r="D264" s="2"/>
      <c r="E264" s="2"/>
      <c r="F264" s="2"/>
      <c r="G264" s="2"/>
      <c r="H264" s="2"/>
      <c r="I264" s="2"/>
      <c r="K264" s="2"/>
      <c r="L264" s="2"/>
      <c r="M264" s="2"/>
      <c r="N264" s="2"/>
      <c r="O264" s="2"/>
      <c r="P264" s="2"/>
    </row>
    <row r="265" spans="1:16" x14ac:dyDescent="0.35">
      <c r="A265" s="2"/>
      <c r="B265" s="2"/>
      <c r="C265" s="2"/>
      <c r="D265" s="2"/>
      <c r="E265" s="2"/>
      <c r="F265" s="2"/>
      <c r="G265" s="2"/>
      <c r="H265" s="2"/>
      <c r="I265" s="2"/>
      <c r="K265" s="2"/>
      <c r="L265" s="2"/>
      <c r="M265" s="2"/>
      <c r="N265" s="2"/>
      <c r="O265" s="2"/>
      <c r="P265" s="2"/>
    </row>
    <row r="266" spans="1:16" x14ac:dyDescent="0.35">
      <c r="A266" s="2"/>
      <c r="B266" s="2"/>
      <c r="C266" s="2"/>
      <c r="D266" s="2"/>
      <c r="E266" s="2"/>
      <c r="F266" s="2"/>
      <c r="G266" s="2"/>
      <c r="H266" s="2"/>
      <c r="I266" s="2"/>
      <c r="K266" s="2"/>
      <c r="L266" s="2"/>
      <c r="M266" s="2"/>
      <c r="N266" s="2"/>
      <c r="O266" s="2"/>
      <c r="P266" s="2"/>
    </row>
    <row r="267" spans="1:16" x14ac:dyDescent="0.35">
      <c r="A267" s="2"/>
      <c r="B267" s="2"/>
      <c r="C267" s="2"/>
      <c r="D267" s="2"/>
      <c r="E267" s="2"/>
      <c r="F267" s="2"/>
      <c r="G267" s="2"/>
      <c r="H267" s="2"/>
      <c r="I267" s="2"/>
      <c r="K267" s="2"/>
      <c r="L267" s="2"/>
      <c r="M267" s="2"/>
      <c r="N267" s="2"/>
      <c r="O267" s="2"/>
      <c r="P267" s="2"/>
    </row>
    <row r="268" spans="1:16" x14ac:dyDescent="0.35">
      <c r="A268" s="2"/>
      <c r="B268" s="2"/>
      <c r="C268" s="2"/>
      <c r="D268" s="2"/>
      <c r="E268" s="2"/>
      <c r="F268" s="2"/>
      <c r="G268" s="2"/>
      <c r="H268" s="2"/>
      <c r="I268" s="2"/>
      <c r="K268" s="2"/>
      <c r="L268" s="2"/>
      <c r="M268" s="2"/>
      <c r="N268" s="2"/>
      <c r="O268" s="2"/>
      <c r="P268" s="2"/>
    </row>
  </sheetData>
  <printOptions horizontalCentered="1"/>
  <pageMargins left="0" right="0" top="0.73" bottom="0.39" header="0.3" footer="0.23"/>
  <pageSetup paperSize="5" scale="70" orientation="landscape" cellComments="atEnd" r:id="rId1"/>
  <headerFooter alignWithMargins="0">
    <oddHeader xml:space="preserve">&amp;L&amp;"Times New Roman,Bold"&amp;12REVISED as of &amp;D&amp;C&amp;"Times New Roman,Bold"UNIVERSITY of SOUTHERN CALIFORNIA
Statement of Activities
USC, Norris, REDC,  USC Care, AMI-USC and APF
Restated for Publication &amp;R&amp;14
</oddHeader>
    <oddFooter>&amp;Cpage &amp;P+1&amp;R&amp;Z&amp;F\&amp;A : &amp;D</oddFooter>
  </headerFooter>
  <colBreaks count="1" manualBreakCount="1">
    <brk id="6" max="1048575" man="1"/>
  </colBreak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Q274"/>
  <sheetViews>
    <sheetView showZeros="0" topLeftCell="A8" zoomScaleNormal="100" workbookViewId="0">
      <pane xSplit="1" ySplit="6" topLeftCell="B14" activePane="bottomRight" state="frozen"/>
      <selection activeCell="A8" sqref="A8"/>
      <selection pane="topRight" activeCell="B8" sqref="B8"/>
      <selection pane="bottomLeft" activeCell="A14" sqref="A14"/>
      <selection pane="bottomRight" activeCell="A28" sqref="A28:XFD28"/>
    </sheetView>
  </sheetViews>
  <sheetFormatPr defaultColWidth="9.1171875" defaultRowHeight="10.35" x14ac:dyDescent="0.35"/>
  <cols>
    <col min="1" max="1" width="35.87890625" style="1" customWidth="1"/>
    <col min="2" max="9" width="15.29296875" style="1" customWidth="1"/>
    <col min="10" max="10" width="2.41015625" style="2" customWidth="1"/>
    <col min="11" max="12" width="14.41015625" style="1" customWidth="1"/>
    <col min="13" max="13" width="16.1171875" style="1" customWidth="1"/>
    <col min="14" max="16384" width="9.1171875" style="1"/>
  </cols>
  <sheetData>
    <row r="1" spans="1:13" x14ac:dyDescent="0.35">
      <c r="A1" s="2"/>
    </row>
    <row r="3" spans="1:13" x14ac:dyDescent="0.35">
      <c r="M3" s="2"/>
    </row>
    <row r="4" spans="1:13" x14ac:dyDescent="0.35">
      <c r="M4" s="2"/>
    </row>
    <row r="5" spans="1:13" x14ac:dyDescent="0.35">
      <c r="B5" s="2"/>
      <c r="I5" s="82"/>
      <c r="J5" s="81"/>
      <c r="K5" s="81"/>
      <c r="L5" s="81"/>
      <c r="M5" s="68" t="s">
        <v>87</v>
      </c>
    </row>
    <row r="6" spans="1:13" ht="9.75" customHeight="1" thickBot="1" x14ac:dyDescent="0.4">
      <c r="A6" s="2"/>
      <c r="B6" s="2"/>
      <c r="C6" s="70"/>
      <c r="D6" s="70"/>
      <c r="E6" s="71"/>
      <c r="F6" s="70"/>
      <c r="G6" s="70"/>
      <c r="H6" s="71"/>
      <c r="I6" s="80"/>
      <c r="J6" s="80"/>
      <c r="K6" s="80"/>
      <c r="L6" s="80"/>
      <c r="M6" s="79" t="s">
        <v>114</v>
      </c>
    </row>
    <row r="7" spans="1:13" ht="9.75" customHeight="1" x14ac:dyDescent="0.35">
      <c r="A7" s="2"/>
      <c r="B7" s="78"/>
      <c r="C7" s="70"/>
      <c r="D7" s="70"/>
      <c r="E7" s="71"/>
      <c r="F7" s="70"/>
      <c r="G7" s="70">
        <f>'FY''11  PL'!M341</f>
        <v>0</v>
      </c>
      <c r="H7" s="71"/>
      <c r="I7" s="63"/>
      <c r="J7" s="63"/>
      <c r="K7" s="63"/>
      <c r="L7" s="63"/>
      <c r="M7" s="77"/>
    </row>
    <row r="8" spans="1:13" ht="9.75" customHeight="1" x14ac:dyDescent="0.35">
      <c r="A8" s="2"/>
      <c r="B8" s="78" t="s">
        <v>73</v>
      </c>
      <c r="C8" s="70"/>
      <c r="D8" s="70"/>
      <c r="E8" s="71"/>
      <c r="F8" s="70"/>
      <c r="G8" s="70"/>
      <c r="H8" s="71"/>
      <c r="I8" s="63"/>
      <c r="J8" s="63"/>
      <c r="K8" s="63"/>
      <c r="L8" s="63"/>
      <c r="M8" s="77"/>
    </row>
    <row r="9" spans="1:13" ht="9.75" customHeight="1" x14ac:dyDescent="0.35">
      <c r="A9" s="2"/>
      <c r="B9" s="76" t="s">
        <v>62</v>
      </c>
      <c r="C9" s="70"/>
      <c r="D9" s="70"/>
      <c r="E9" s="71"/>
      <c r="F9" s="70"/>
      <c r="G9" s="70"/>
      <c r="H9" s="71"/>
      <c r="I9" s="63"/>
      <c r="J9" s="63"/>
      <c r="K9" s="63"/>
      <c r="L9" s="63"/>
      <c r="M9" s="63"/>
    </row>
    <row r="10" spans="1:13" ht="9.75" customHeight="1" x14ac:dyDescent="0.35">
      <c r="A10" s="2"/>
      <c r="B10" s="11"/>
      <c r="C10" s="11"/>
      <c r="D10" s="75" t="s">
        <v>85</v>
      </c>
      <c r="E10" s="74"/>
      <c r="F10" s="11"/>
      <c r="G10" s="11"/>
      <c r="H10" s="74"/>
      <c r="I10" s="73"/>
      <c r="J10" s="63"/>
      <c r="K10" s="63"/>
      <c r="L10" s="63"/>
      <c r="M10" s="63"/>
    </row>
    <row r="11" spans="1:13" ht="9.75" customHeight="1" x14ac:dyDescent="0.35">
      <c r="A11" s="2"/>
      <c r="B11" s="13"/>
      <c r="C11" s="13"/>
      <c r="D11" s="72" t="s">
        <v>84</v>
      </c>
      <c r="E11" s="67" t="s">
        <v>83</v>
      </c>
      <c r="F11" s="13"/>
      <c r="G11" s="2"/>
      <c r="H11" s="71"/>
      <c r="I11" s="68" t="s">
        <v>71</v>
      </c>
      <c r="J11" s="63"/>
      <c r="K11" s="68" t="s">
        <v>82</v>
      </c>
      <c r="L11" s="69" t="s">
        <v>81</v>
      </c>
      <c r="M11" s="63"/>
    </row>
    <row r="12" spans="1:13" ht="9.75" customHeight="1" x14ac:dyDescent="0.35">
      <c r="A12" s="2"/>
      <c r="B12" s="13" t="s">
        <v>79</v>
      </c>
      <c r="C12" s="13" t="s">
        <v>78</v>
      </c>
      <c r="D12" s="67" t="s">
        <v>77</v>
      </c>
      <c r="E12" s="67" t="s">
        <v>77</v>
      </c>
      <c r="F12" s="13" t="s">
        <v>76</v>
      </c>
      <c r="G12" s="13" t="s">
        <v>75</v>
      </c>
      <c r="H12" s="13" t="s">
        <v>74</v>
      </c>
      <c r="I12" s="69" t="s">
        <v>73</v>
      </c>
      <c r="J12" s="63"/>
      <c r="K12" s="68" t="s">
        <v>72</v>
      </c>
      <c r="L12" s="68" t="s">
        <v>72</v>
      </c>
      <c r="M12" s="68" t="s">
        <v>71</v>
      </c>
    </row>
    <row r="13" spans="1:13" ht="9.75" customHeight="1" x14ac:dyDescent="0.35">
      <c r="A13" s="2"/>
      <c r="B13" s="66" t="s">
        <v>69</v>
      </c>
      <c r="C13" s="66" t="s">
        <v>68</v>
      </c>
      <c r="D13" s="67" t="s">
        <v>67</v>
      </c>
      <c r="E13" s="66" t="s">
        <v>66</v>
      </c>
      <c r="F13" s="66" t="s">
        <v>65</v>
      </c>
      <c r="G13" s="66" t="s">
        <v>64</v>
      </c>
      <c r="H13" s="66" t="s">
        <v>63</v>
      </c>
      <c r="I13" s="65" t="s">
        <v>62</v>
      </c>
      <c r="J13" s="63"/>
      <c r="K13" s="65" t="s">
        <v>62</v>
      </c>
      <c r="L13" s="65" t="s">
        <v>62</v>
      </c>
      <c r="M13" s="65" t="s">
        <v>62</v>
      </c>
    </row>
    <row r="14" spans="1:13" ht="9.75" customHeight="1" x14ac:dyDescent="0.35">
      <c r="A14" s="33" t="s">
        <v>60</v>
      </c>
      <c r="D14" s="9"/>
      <c r="I14" s="64"/>
      <c r="J14" s="63"/>
      <c r="K14" s="62"/>
      <c r="L14" s="62"/>
      <c r="M14" s="62"/>
    </row>
    <row r="15" spans="1:13" ht="9.75" customHeight="1" x14ac:dyDescent="0.35">
      <c r="A15" s="6" t="s">
        <v>59</v>
      </c>
      <c r="B15" s="30">
        <f>ROUND(('[5]Changes FY11'!B15),-3)</f>
        <v>1267545000</v>
      </c>
      <c r="C15" s="20">
        <f>ROUND(('[5]Changes FY11'!C15),-3)</f>
        <v>0</v>
      </c>
      <c r="D15" s="20">
        <f>ROUND(('[5]Changes FY11'!D15),-3)</f>
        <v>0</v>
      </c>
      <c r="E15" s="20">
        <f>ROUND(('[5]Changes FY11'!E15),-3)</f>
        <v>0</v>
      </c>
      <c r="F15" s="20">
        <f>ROUND(('[5]Changes FY11'!F15),-3)</f>
        <v>0</v>
      </c>
      <c r="G15" s="20">
        <f>ROUND(('[5]Changes FY11'!G15),-3)</f>
        <v>0</v>
      </c>
      <c r="H15" s="20">
        <f>ROUND(('[5]Changes FY11'!H15),-3)</f>
        <v>0</v>
      </c>
      <c r="I15" s="32">
        <f t="shared" ref="I15:I30" si="0">SUM(B15:H15)</f>
        <v>1267545000</v>
      </c>
      <c r="J15" s="28"/>
      <c r="K15" s="29">
        <f>ROUND(('[5]Changes FY11'!K15),-3)</f>
        <v>0</v>
      </c>
      <c r="L15" s="29">
        <f>ROUND(('[5]Changes FY11'!L15),-3)</f>
        <v>0</v>
      </c>
      <c r="M15" s="32">
        <f t="shared" ref="M15:M32" si="1">SUM(I15:L15)</f>
        <v>1267545000</v>
      </c>
    </row>
    <row r="16" spans="1:13" ht="9.75" customHeight="1" x14ac:dyDescent="0.35">
      <c r="A16" s="6" t="s">
        <v>58</v>
      </c>
      <c r="B16" s="20">
        <f>ROUND(('[5]Changes FY11'!B16),-3)</f>
        <v>-356859000</v>
      </c>
      <c r="C16" s="20">
        <f>ROUND(('[5]Changes FY11'!C16),-3)</f>
        <v>0</v>
      </c>
      <c r="D16" s="20">
        <f>ROUND(('[5]Changes FY11'!D16),-3)</f>
        <v>0</v>
      </c>
      <c r="E16" s="20">
        <f>ROUND(('[5]Changes FY11'!E16),-3)</f>
        <v>0</v>
      </c>
      <c r="F16" s="20">
        <f>ROUND(('[5]Changes FY11'!F16),-3)</f>
        <v>0</v>
      </c>
      <c r="G16" s="20">
        <f>ROUND(('[5]Changes FY11'!G16),-3)</f>
        <v>0</v>
      </c>
      <c r="H16" s="20">
        <f>ROUND(('[5]Changes FY11'!H16),-3)</f>
        <v>0</v>
      </c>
      <c r="I16" s="28">
        <f t="shared" si="0"/>
        <v>-356859000</v>
      </c>
      <c r="J16" s="28"/>
      <c r="K16" s="29">
        <f>ROUND(('[5]Changes FY11'!K16),-3)</f>
        <v>0</v>
      </c>
      <c r="L16" s="29">
        <f>ROUND(('[5]Changes FY11'!L16),-3)</f>
        <v>0</v>
      </c>
      <c r="M16" s="28">
        <f t="shared" si="1"/>
        <v>-356859000</v>
      </c>
    </row>
    <row r="17" spans="1:13" ht="9.75" customHeight="1" x14ac:dyDescent="0.35">
      <c r="A17" s="61" t="s">
        <v>57</v>
      </c>
      <c r="B17" s="60">
        <f>B16+B15</f>
        <v>910686000</v>
      </c>
      <c r="C17" s="20">
        <f>ROUND(('[5]Changes FY11'!C17),-3)</f>
        <v>0</v>
      </c>
      <c r="D17" s="20">
        <f>ROUND(('[5]Changes FY11'!D17),-3)</f>
        <v>0</v>
      </c>
      <c r="E17" s="20">
        <f>ROUND(('[5]Changes FY11'!E17),-3)</f>
        <v>0</v>
      </c>
      <c r="F17" s="20">
        <f>ROUND(('[5]Changes FY11'!F17),-3)</f>
        <v>0</v>
      </c>
      <c r="G17" s="20">
        <f>ROUND(('[5]Changes FY11'!G17),-3)</f>
        <v>0</v>
      </c>
      <c r="H17" s="20">
        <f>ROUND(('[5]Changes FY11'!H17),-3)</f>
        <v>0</v>
      </c>
      <c r="I17" s="87">
        <f t="shared" si="0"/>
        <v>910686000</v>
      </c>
      <c r="J17" s="88"/>
      <c r="K17" s="29">
        <f>ROUND(('[5]Changes FY11'!K17),-3)</f>
        <v>0</v>
      </c>
      <c r="L17" s="29">
        <f>ROUND(('[5]Changes FY11'!L17),-3)</f>
        <v>0</v>
      </c>
      <c r="M17" s="87">
        <f t="shared" si="1"/>
        <v>910686000</v>
      </c>
    </row>
    <row r="18" spans="1:13" ht="9.75" customHeight="1" x14ac:dyDescent="0.35">
      <c r="A18" s="6" t="s">
        <v>56</v>
      </c>
      <c r="B18" s="20">
        <f>ROUND(('[5]Changes FY11'!B18),-3)</f>
        <v>29310000</v>
      </c>
      <c r="C18" s="20">
        <f>ROUND(('[5]Changes FY11'!C18),-3)</f>
        <v>0</v>
      </c>
      <c r="D18" s="30">
        <f>ROUND(('[5]Changes FY11'!D18),-3)</f>
        <v>23890000</v>
      </c>
      <c r="E18" s="20">
        <f>ROUND(('[5]Changes FY11'!E18),-3)</f>
        <v>0</v>
      </c>
      <c r="F18" s="20">
        <f>ROUND(('[5]Changes FY11'!F18),-3)</f>
        <v>0</v>
      </c>
      <c r="G18" s="20">
        <f>ROUND(('[5]Changes FY11'!G18),-3)</f>
        <v>0</v>
      </c>
      <c r="H18" s="20">
        <f>ROUND(('[5]Changes FY11'!H18),-3)</f>
        <v>0</v>
      </c>
      <c r="I18" s="28">
        <f t="shared" si="0"/>
        <v>53200000</v>
      </c>
      <c r="J18" s="28"/>
      <c r="K18" s="29">
        <f>ROUND(('[5]Changes FY11'!K18),-3)</f>
        <v>0</v>
      </c>
      <c r="L18" s="31">
        <f>ROUND(('[5]Changes FY11'!L18),-3)</f>
        <v>0</v>
      </c>
      <c r="M18" s="28">
        <f t="shared" si="1"/>
        <v>53200000</v>
      </c>
    </row>
    <row r="19" spans="1:13" ht="9.75" customHeight="1" x14ac:dyDescent="0.35">
      <c r="A19" s="6" t="s">
        <v>55</v>
      </c>
      <c r="B19" s="20">
        <f>ROUND(('[5]Changes FY11'!B19),-3)</f>
        <v>877000</v>
      </c>
      <c r="C19" s="20">
        <f>ROUND(('[5]Changes FY11'!C19),-3)</f>
        <v>0</v>
      </c>
      <c r="D19" s="20">
        <f>ROUND(('[5]Changes FY11'!D19),-3)</f>
        <v>2502000</v>
      </c>
      <c r="E19" s="30">
        <f>ROUND(('[5]Changes FY11'!E19),-3)</f>
        <v>2222000</v>
      </c>
      <c r="F19" s="20">
        <f>ROUND(('[5]Changes FY11'!F19),-3)</f>
        <v>0</v>
      </c>
      <c r="G19" s="20">
        <f>ROUND(('[5]Changes FY11'!G19),-3)</f>
        <v>0</v>
      </c>
      <c r="H19" s="20">
        <f>ROUND(('[5]Changes FY11'!H19),-3)</f>
        <v>-1096000</v>
      </c>
      <c r="I19" s="28">
        <f t="shared" si="0"/>
        <v>4505000</v>
      </c>
      <c r="J19" s="28"/>
      <c r="K19" s="31">
        <f>ROUND(('[5]Changes FY11'!K19),-3)</f>
        <v>0</v>
      </c>
      <c r="L19" s="29">
        <f>ROUND(('[5]Changes FY11'!L19),-3)</f>
        <v>184000</v>
      </c>
      <c r="M19" s="28">
        <f t="shared" si="1"/>
        <v>4689000</v>
      </c>
    </row>
    <row r="20" spans="1:13" ht="9.75" customHeight="1" x14ac:dyDescent="0.35">
      <c r="A20" s="6" t="s">
        <v>54</v>
      </c>
      <c r="B20" s="20">
        <f>ROUND(('[5]Changes FY11'!B20),-3)</f>
        <v>0</v>
      </c>
      <c r="C20" s="20">
        <f>ROUND(('[5]Changes FY11'!C20),-3)</f>
        <v>0</v>
      </c>
      <c r="D20" s="20">
        <f>ROUND(('[5]Changes FY11'!D20),-3)</f>
        <v>1128000</v>
      </c>
      <c r="E20" s="20">
        <f>ROUND(('[5]Changes FY11'!E20),-3)</f>
        <v>765000</v>
      </c>
      <c r="F20" s="20">
        <f>ROUND(('[5]Changes FY11'!F20),-3)</f>
        <v>0</v>
      </c>
      <c r="G20" s="30">
        <f>ROUND(('[5]Changes FY11'!G20),-3)</f>
        <v>217053000</v>
      </c>
      <c r="H20" s="20">
        <f>ROUND(('[5]Changes FY11'!H20),-3)</f>
        <v>0</v>
      </c>
      <c r="I20" s="28">
        <f t="shared" si="0"/>
        <v>218946000</v>
      </c>
      <c r="J20" s="28"/>
      <c r="K20" s="29">
        <f>ROUND(('[5]Changes FY11'!K20),-3)</f>
        <v>386211000</v>
      </c>
      <c r="L20" s="29">
        <f>ROUND(('[5]Changes FY11'!L20),-3)</f>
        <v>19801000</v>
      </c>
      <c r="M20" s="28">
        <f t="shared" si="1"/>
        <v>624958000</v>
      </c>
    </row>
    <row r="21" spans="1:13" ht="9.75" customHeight="1" x14ac:dyDescent="0.35">
      <c r="A21" s="6" t="s">
        <v>53</v>
      </c>
      <c r="B21" s="20">
        <f>ROUND(('[5]Changes FY11'!B21),-3)</f>
        <v>0</v>
      </c>
      <c r="C21" s="20">
        <f>ROUND(('[5]Changes FY11'!C21),-3)</f>
        <v>0</v>
      </c>
      <c r="D21" s="20">
        <f>ROUND(('[5]Changes FY11'!D21),-3)</f>
        <v>350827000</v>
      </c>
      <c r="E21" s="20">
        <f>ROUND(('[5]Changes FY11'!E21),-3)</f>
        <v>0</v>
      </c>
      <c r="F21" s="20">
        <f>ROUND(('[5]Changes FY11'!F21),-3)</f>
        <v>0</v>
      </c>
      <c r="G21" s="20">
        <f>ROUND(('[5]Changes FY11'!G21),-3)</f>
        <v>0</v>
      </c>
      <c r="H21" s="20">
        <f>ROUND(('[5]Changes FY11'!H21),-3)</f>
        <v>0</v>
      </c>
      <c r="I21" s="28">
        <f t="shared" si="0"/>
        <v>350827000</v>
      </c>
      <c r="J21" s="28"/>
      <c r="K21" s="29">
        <f>ROUND(('[5]Changes FY11'!K21),-3)</f>
        <v>0</v>
      </c>
      <c r="L21" s="29">
        <f>ROUND(('[5]Changes FY11'!L21),-3)</f>
        <v>0</v>
      </c>
      <c r="M21" s="28">
        <f t="shared" si="1"/>
        <v>350827000</v>
      </c>
    </row>
    <row r="22" spans="1:13" ht="9.75" customHeight="1" x14ac:dyDescent="0.35">
      <c r="A22" s="6" t="s">
        <v>52</v>
      </c>
      <c r="B22" s="20">
        <f>ROUND(('[5]Changes FY11'!B22),-3)</f>
        <v>132254000</v>
      </c>
      <c r="C22" s="20">
        <f>ROUND(('[5]Changes FY11'!C22),-3)</f>
        <v>0</v>
      </c>
      <c r="D22" s="20">
        <f>ROUND(('[5]Changes FY11'!D22),-3)</f>
        <v>0</v>
      </c>
      <c r="E22" s="20">
        <f>ROUND(('[5]Changes FY11'!E22),-3)</f>
        <v>0</v>
      </c>
      <c r="F22" s="20">
        <f>ROUND(('[5]Changes FY11'!F22),-3)</f>
        <v>0</v>
      </c>
      <c r="G22" s="20">
        <f>ROUND(('[5]Changes FY11'!G22),-3)</f>
        <v>0</v>
      </c>
      <c r="H22" s="20">
        <f>ROUND(('[5]Changes FY11'!H22),-3)</f>
        <v>0</v>
      </c>
      <c r="I22" s="28">
        <f t="shared" si="0"/>
        <v>132254000</v>
      </c>
      <c r="J22" s="28"/>
      <c r="K22" s="29">
        <f>ROUND(('[5]Changes FY11'!K22),-3)</f>
        <v>0</v>
      </c>
      <c r="L22" s="29">
        <f>ROUND(('[5]Changes FY11'!L22),-3)</f>
        <v>0</v>
      </c>
      <c r="M22" s="28">
        <f t="shared" si="1"/>
        <v>132254000</v>
      </c>
    </row>
    <row r="23" spans="1:13" ht="9.75" customHeight="1" x14ac:dyDescent="0.35">
      <c r="A23" s="6" t="s">
        <v>51</v>
      </c>
      <c r="B23" s="20">
        <f>ROUND(('[5]Changes FY11'!B23),-3)</f>
        <v>29868000</v>
      </c>
      <c r="C23" s="20">
        <f>ROUND(('[5]Changes FY11'!C23),-3)</f>
        <v>0</v>
      </c>
      <c r="D23" s="20">
        <f>ROUND(('[5]Changes FY11'!D23),-3)</f>
        <v>262832000</v>
      </c>
      <c r="E23" s="20">
        <f>ROUND(('[5]Changes FY11'!E23),-3)</f>
        <v>24109000</v>
      </c>
      <c r="F23" s="30">
        <f>ROUND(('[5]Changes FY11'!F23),-3)</f>
        <v>1516000</v>
      </c>
      <c r="G23" s="20">
        <f>ROUND(('[5]Changes FY11'!G23),-3)</f>
        <v>0</v>
      </c>
      <c r="H23" s="20">
        <f>ROUND(('[5]Changes FY11'!H23),-3)</f>
        <v>0</v>
      </c>
      <c r="I23" s="28">
        <f t="shared" si="0"/>
        <v>318325000</v>
      </c>
      <c r="J23" s="28"/>
      <c r="K23" s="29">
        <f>ROUND(('[5]Changes FY11'!K23),-3)+1000</f>
        <v>145990000</v>
      </c>
      <c r="L23" s="29">
        <f>ROUND(('[5]Changes FY11'!L23),-3)</f>
        <v>216952000</v>
      </c>
      <c r="M23" s="28">
        <f t="shared" si="1"/>
        <v>681267000</v>
      </c>
    </row>
    <row r="24" spans="1:13" ht="9.75" customHeight="1" x14ac:dyDescent="0.35">
      <c r="A24" s="6" t="s">
        <v>50</v>
      </c>
      <c r="B24" s="20">
        <f>ROUND(('[5]Changes FY11'!B24),-3)</f>
        <v>31029000</v>
      </c>
      <c r="C24" s="20">
        <f>ROUND(('[5]Changes FY11'!C24),-3)</f>
        <v>0</v>
      </c>
      <c r="D24" s="20">
        <f>ROUND(('[5]Changes FY11'!D24),-3)</f>
        <v>0</v>
      </c>
      <c r="E24" s="20">
        <f>ROUND(('[5]Changes FY11'!E24),-3)</f>
        <v>0</v>
      </c>
      <c r="F24" s="20">
        <f>ROUND(('[5]Changes FY11'!F24),-3)</f>
        <v>0</v>
      </c>
      <c r="G24" s="20">
        <f>ROUND(('[5]Changes FY11'!G24),-3)</f>
        <v>0</v>
      </c>
      <c r="H24" s="20">
        <f>ROUND(('[5]Changes FY11'!H24),-3)</f>
        <v>0</v>
      </c>
      <c r="I24" s="28">
        <f t="shared" si="0"/>
        <v>31029000</v>
      </c>
      <c r="J24" s="28"/>
      <c r="K24" s="29">
        <f>ROUND(('[5]Changes FY11'!K24),-3)</f>
        <v>0</v>
      </c>
      <c r="L24" s="29">
        <f>ROUND(('[5]Changes FY11'!L24),-3)</f>
        <v>0</v>
      </c>
      <c r="M24" s="28">
        <f t="shared" si="1"/>
        <v>31029000</v>
      </c>
    </row>
    <row r="25" spans="1:13" ht="9.75" customHeight="1" x14ac:dyDescent="0.35">
      <c r="A25" s="6" t="s">
        <v>49</v>
      </c>
      <c r="B25" s="20">
        <f>ROUND(('[5]Changes FY11'!B25),-3)</f>
        <v>243011000</v>
      </c>
      <c r="C25" s="20">
        <f>ROUND(('[5]Changes FY11'!C25),-3)</f>
        <v>0</v>
      </c>
      <c r="D25" s="20">
        <f>ROUND(('[5]Changes FY11'!D25),-3)</f>
        <v>0</v>
      </c>
      <c r="E25" s="20">
        <f>ROUND(('[5]Changes FY11'!E25),-3)</f>
        <v>0</v>
      </c>
      <c r="F25" s="20">
        <f>ROUND(('[5]Changes FY11'!F25),-3)</f>
        <v>0</v>
      </c>
      <c r="G25" s="20">
        <f>ROUND(('[5]Changes FY11'!G25),-3)</f>
        <v>0</v>
      </c>
      <c r="H25" s="20">
        <f>ROUND(('[5]Changes FY11'!H25),-3)</f>
        <v>0</v>
      </c>
      <c r="I25" s="28">
        <f t="shared" si="0"/>
        <v>243011000</v>
      </c>
      <c r="J25" s="28"/>
      <c r="K25" s="29">
        <f>ROUND(('[5]Changes FY11'!K25),-3)</f>
        <v>0</v>
      </c>
      <c r="L25" s="29">
        <f>ROUND(('[5]Changes FY11'!L25),-3)</f>
        <v>0</v>
      </c>
      <c r="M25" s="28">
        <f t="shared" si="1"/>
        <v>243011000</v>
      </c>
    </row>
    <row r="26" spans="1:13" ht="9.75" customHeight="1" x14ac:dyDescent="0.35">
      <c r="A26" s="6" t="s">
        <v>92</v>
      </c>
      <c r="B26" s="20"/>
      <c r="C26" s="30">
        <f>ROUND(('[5]Changes FY11'!C26),-3)</f>
        <v>684978000</v>
      </c>
      <c r="D26" s="20"/>
      <c r="E26" s="20"/>
      <c r="F26" s="20"/>
      <c r="G26" s="20"/>
      <c r="H26" s="20"/>
      <c r="I26" s="28">
        <f t="shared" si="0"/>
        <v>684978000</v>
      </c>
      <c r="J26" s="28"/>
      <c r="K26" s="29"/>
      <c r="L26" s="29"/>
      <c r="M26" s="28">
        <f t="shared" si="1"/>
        <v>684978000</v>
      </c>
    </row>
    <row r="27" spans="1:13" ht="9.75" customHeight="1" x14ac:dyDescent="0.35">
      <c r="A27" s="6" t="s">
        <v>48</v>
      </c>
      <c r="B27" s="20">
        <f>ROUND(('[5]Changes FY11'!B27),-3)</f>
        <v>0</v>
      </c>
      <c r="C27" s="20">
        <f>ROUND(('[5]Changes FY11'!C27),-3)</f>
        <v>113839000</v>
      </c>
      <c r="D27" s="20">
        <f>ROUND(('[5]Changes FY11'!D27),-3)</f>
        <v>0</v>
      </c>
      <c r="E27" s="20">
        <f>ROUND(('[5]Changes FY11'!E27),-3)</f>
        <v>0</v>
      </c>
      <c r="F27" s="20">
        <f>ROUND(('[5]Changes FY11'!F27),-3)</f>
        <v>0</v>
      </c>
      <c r="G27" s="20">
        <f>ROUND(('[5]Changes FY11'!G27),-3)</f>
        <v>0</v>
      </c>
      <c r="H27" s="20">
        <f>ROUND(('[5]Changes FY11'!H27),-3)</f>
        <v>0</v>
      </c>
      <c r="I27" s="28">
        <f t="shared" si="0"/>
        <v>113839000</v>
      </c>
      <c r="J27" s="28"/>
      <c r="K27" s="29">
        <f>ROUND(('[5]Changes FY11'!K27),-3)</f>
        <v>0</v>
      </c>
      <c r="L27" s="29">
        <f>ROUND(('[5]Changes FY11'!L27),-3)</f>
        <v>0</v>
      </c>
      <c r="M27" s="28">
        <f t="shared" si="1"/>
        <v>113839000</v>
      </c>
    </row>
    <row r="28" spans="1:13" ht="9.75" customHeight="1" x14ac:dyDescent="0.35">
      <c r="A28" s="6" t="s">
        <v>47</v>
      </c>
      <c r="B28" s="20">
        <f>ROUND(('[5]Changes FY11'!B28),-3)</f>
        <v>0</v>
      </c>
      <c r="C28" s="20">
        <f>ROUND(('[5]Changes FY11'!C28),-3)</f>
        <v>12721000</v>
      </c>
      <c r="D28" s="20">
        <f>ROUND(('[5]Changes FY11'!D28),-3)</f>
        <v>0</v>
      </c>
      <c r="E28" s="20">
        <f>ROUND(('[5]Changes FY11'!E28),-3)</f>
        <v>0</v>
      </c>
      <c r="F28" s="20">
        <f>ROUND(('[5]Changes FY11'!F28),-3)</f>
        <v>0</v>
      </c>
      <c r="G28" s="20">
        <f>ROUND(('[5]Changes FY11'!G28),-3)</f>
        <v>0</v>
      </c>
      <c r="H28" s="20">
        <f>ROUND(('[5]Changes FY11'!H28),-3)</f>
        <v>0</v>
      </c>
      <c r="I28" s="28">
        <f t="shared" si="0"/>
        <v>12721000</v>
      </c>
      <c r="J28" s="28"/>
      <c r="K28" s="29">
        <f>ROUND(('[5]Changes FY11'!K28),-3)</f>
        <v>0</v>
      </c>
      <c r="L28" s="29">
        <f>ROUND(('[5]Changes FY11'!L28),-3)</f>
        <v>0</v>
      </c>
      <c r="M28" s="28">
        <f t="shared" si="1"/>
        <v>12721000</v>
      </c>
    </row>
    <row r="29" spans="1:13" s="2" customFormat="1" ht="10.5" customHeight="1" x14ac:dyDescent="0.35">
      <c r="A29" s="2" t="s">
        <v>46</v>
      </c>
      <c r="B29" s="20">
        <f>ROUND(('[5]Changes FY11'!B29),-3)</f>
        <v>0</v>
      </c>
      <c r="C29" s="20">
        <f>ROUND(('[5]Changes FY11'!C29),-3)</f>
        <v>0</v>
      </c>
      <c r="D29" s="20">
        <f>ROUND(('[5]Changes FY11'!D29),-3)</f>
        <v>0</v>
      </c>
      <c r="E29" s="20">
        <f>ROUND(('[5]Changes FY11'!E29),-3)</f>
        <v>0</v>
      </c>
      <c r="F29" s="20">
        <f>ROUND(('[5]Changes FY11'!F29),-3)</f>
        <v>0</v>
      </c>
      <c r="G29" s="20">
        <f>ROUND(('[5]Changes FY11'!G29),-3)</f>
        <v>0</v>
      </c>
      <c r="H29" s="20">
        <f>ROUND(('[5]Changes FY11'!H29),-3)</f>
        <v>0</v>
      </c>
      <c r="I29" s="28">
        <f t="shared" si="0"/>
        <v>0</v>
      </c>
      <c r="J29" s="28"/>
      <c r="K29" s="29">
        <f>ROUND(('[5]Changes FY11'!K29),-3)</f>
        <v>0</v>
      </c>
      <c r="L29" s="29">
        <f>ROUND(('[5]Changes FY11'!L29),-3)</f>
        <v>0</v>
      </c>
      <c r="M29" s="28">
        <f t="shared" si="1"/>
        <v>0</v>
      </c>
    </row>
    <row r="30" spans="1:13" ht="9.75" customHeight="1" x14ac:dyDescent="0.35">
      <c r="A30" s="6" t="s">
        <v>45</v>
      </c>
      <c r="B30" s="20">
        <f>ROUND(('[5]Changes FY11'!B30),-3)-1000</f>
        <v>84694000</v>
      </c>
      <c r="C30" s="20">
        <f>ROUND(('[5]Changes FY11'!C30),-3)</f>
        <v>0</v>
      </c>
      <c r="D30" s="20">
        <f>ROUND(('[5]Changes FY11'!D30),-3)</f>
        <v>13617000</v>
      </c>
      <c r="E30" s="20">
        <f>ROUND(('[5]Changes FY11'!E30),-3)</f>
        <v>0</v>
      </c>
      <c r="F30" s="20">
        <f>ROUND(('[5]Changes FY11'!F30),-3)</f>
        <v>-2606000</v>
      </c>
      <c r="G30" s="20">
        <f>ROUND(('[5]Changes FY11'!G30),-3)</f>
        <v>0</v>
      </c>
      <c r="H30" s="20">
        <f>ROUND(('[5]Changes FY11'!H30),-3)</f>
        <v>0</v>
      </c>
      <c r="I30" s="28">
        <f t="shared" si="0"/>
        <v>95705000</v>
      </c>
      <c r="J30" s="28"/>
      <c r="K30" s="29">
        <f>ROUND(('[5]Changes FY11'!K30),-3)</f>
        <v>0</v>
      </c>
      <c r="L30" s="29">
        <f>ROUND(('[5]Changes FY11'!L30),-3)</f>
        <v>0</v>
      </c>
      <c r="M30" s="28">
        <f t="shared" si="1"/>
        <v>95705000</v>
      </c>
    </row>
    <row r="31" spans="1:13" ht="9.75" customHeight="1" x14ac:dyDescent="0.35">
      <c r="A31" s="6" t="s">
        <v>44</v>
      </c>
      <c r="B31" s="20">
        <f>ROUND(('[5]Changes FY11'!B31),-3)</f>
        <v>0</v>
      </c>
      <c r="C31" s="20">
        <f>ROUND(('[5]Changes FY11'!C31),-3)</f>
        <v>0</v>
      </c>
      <c r="D31" s="20">
        <f>ROUND(('[5]Changes FY11'!D31),-3)</f>
        <v>0</v>
      </c>
      <c r="E31" s="20">
        <f>ROUND(('[5]Changes FY11'!E31),-3)</f>
        <v>0</v>
      </c>
      <c r="F31" s="20">
        <f>ROUND(('[5]Changes FY11'!F31),-3)</f>
        <v>0</v>
      </c>
      <c r="G31" s="20">
        <f>ROUND(('[5]Changes FY11'!G31),-3)</f>
        <v>0</v>
      </c>
      <c r="H31" s="20">
        <f>ROUND(('[5]Changes FY11'!H31),-3)</f>
        <v>0</v>
      </c>
      <c r="I31" s="28"/>
      <c r="J31" s="28"/>
      <c r="K31" s="29">
        <f>ROUND(('[5]Changes FY11'!K31),-3)</f>
        <v>-3194000</v>
      </c>
      <c r="L31" s="29">
        <f>ROUND(('[5]Changes FY11'!L31),-3)</f>
        <v>-13305000</v>
      </c>
      <c r="M31" s="28">
        <f t="shared" si="1"/>
        <v>-16499000</v>
      </c>
    </row>
    <row r="32" spans="1:13" ht="9.75" customHeight="1" x14ac:dyDescent="0.35">
      <c r="A32" s="6" t="s">
        <v>43</v>
      </c>
      <c r="B32" s="20">
        <f>ROUND(('[5]Changes FY11'!B32),-3)</f>
        <v>7000</v>
      </c>
      <c r="C32" s="20">
        <f>ROUND(('[5]Changes FY11'!C32),-3)</f>
        <v>0</v>
      </c>
      <c r="D32" s="20">
        <f>ROUND(('[5]Changes FY11'!D32),-3)</f>
        <v>33691000</v>
      </c>
      <c r="E32" s="20">
        <f>ROUND(('[5]Changes FY11'!E32),-3)</f>
        <v>15000000</v>
      </c>
      <c r="F32" s="20">
        <f>ROUND(('[5]Changes FY11'!F32),-3)</f>
        <v>0</v>
      </c>
      <c r="G32" s="20">
        <f>ROUND(('[5]Changes FY11'!G32),-3)</f>
        <v>67921000</v>
      </c>
      <c r="H32" s="20">
        <f>ROUND(('[5]Changes FY11'!H32),-3)</f>
        <v>0</v>
      </c>
      <c r="I32" s="28">
        <f>SUM(B32:H32)</f>
        <v>116619000</v>
      </c>
      <c r="J32" s="28"/>
      <c r="K32" s="29">
        <f>ROUND(('[5]Changes FY11'!K32),-3)</f>
        <v>-119327000</v>
      </c>
      <c r="L32" s="29">
        <f>ROUND(('[5]Changes FY11'!L32),-3)</f>
        <v>2708000</v>
      </c>
      <c r="M32" s="28">
        <f t="shared" si="1"/>
        <v>0</v>
      </c>
    </row>
    <row r="33" spans="1:13" ht="12.95" customHeight="1" x14ac:dyDescent="0.35">
      <c r="A33" s="37" t="s">
        <v>42</v>
      </c>
      <c r="B33" s="57">
        <f t="shared" ref="B33:M33" si="2">SUM(B17:B32)</f>
        <v>1461736000</v>
      </c>
      <c r="C33" s="57">
        <f t="shared" si="2"/>
        <v>811538000</v>
      </c>
      <c r="D33" s="57">
        <f t="shared" si="2"/>
        <v>688487000</v>
      </c>
      <c r="E33" s="57">
        <f t="shared" si="2"/>
        <v>42096000</v>
      </c>
      <c r="F33" s="57">
        <f t="shared" si="2"/>
        <v>-1090000</v>
      </c>
      <c r="G33" s="57">
        <f t="shared" si="2"/>
        <v>284974000</v>
      </c>
      <c r="H33" s="57">
        <f t="shared" si="2"/>
        <v>-1096000</v>
      </c>
      <c r="I33" s="56">
        <f t="shared" si="2"/>
        <v>3286645000</v>
      </c>
      <c r="J33" s="56">
        <f t="shared" si="2"/>
        <v>0</v>
      </c>
      <c r="K33" s="56">
        <f t="shared" si="2"/>
        <v>409680000</v>
      </c>
      <c r="L33" s="56">
        <f t="shared" si="2"/>
        <v>226340000</v>
      </c>
      <c r="M33" s="56">
        <f t="shared" si="2"/>
        <v>3922665000</v>
      </c>
    </row>
    <row r="34" spans="1:13" ht="12.95" customHeight="1" x14ac:dyDescent="0.35">
      <c r="A34" s="54"/>
      <c r="B34" s="53"/>
      <c r="C34" s="53"/>
      <c r="D34" s="53"/>
      <c r="E34" s="53"/>
      <c r="F34" s="53"/>
      <c r="G34" s="53"/>
      <c r="H34" s="53"/>
      <c r="I34" s="43"/>
      <c r="J34" s="28"/>
      <c r="K34" s="43"/>
      <c r="L34" s="43"/>
      <c r="M34" s="43"/>
    </row>
    <row r="35" spans="1:13" ht="9.75" customHeight="1" x14ac:dyDescent="0.35">
      <c r="A35" s="33" t="s">
        <v>41</v>
      </c>
      <c r="B35" s="20"/>
      <c r="C35" s="20"/>
      <c r="D35" s="20"/>
      <c r="E35" s="20"/>
      <c r="F35" s="20"/>
      <c r="G35" s="20"/>
      <c r="H35" s="20"/>
      <c r="I35" s="28"/>
      <c r="J35" s="28"/>
      <c r="K35" s="28"/>
      <c r="L35" s="28"/>
      <c r="M35" s="28"/>
    </row>
    <row r="36" spans="1:13" s="2" customFormat="1" ht="9.75" customHeight="1" x14ac:dyDescent="0.35">
      <c r="A36" s="6" t="s">
        <v>40</v>
      </c>
      <c r="B36" s="20">
        <f>ROUND(('[5]Changes FY11'!B36),-3)</f>
        <v>1332008000</v>
      </c>
      <c r="C36" s="20">
        <f>ROUND(('[5]Changes FY11'!C36),-3)</f>
        <v>0</v>
      </c>
      <c r="D36" s="20">
        <f>ROUND(('[5]Changes FY11'!D36),-3)</f>
        <v>599727000</v>
      </c>
      <c r="E36" s="20">
        <f>ROUND(('[5]Changes FY11'!E36),-3)</f>
        <v>0</v>
      </c>
      <c r="F36" s="20">
        <f>ROUND(('[5]Changes FY11'!F36),-3)</f>
        <v>0</v>
      </c>
      <c r="G36" s="20">
        <f>ROUND(('[5]Changes FY11'!G36),-3)</f>
        <v>0</v>
      </c>
      <c r="H36" s="20">
        <f>ROUND(('[5]Changes FY11'!H36),-3)</f>
        <v>0</v>
      </c>
      <c r="I36" s="28">
        <f>SUM(B36:H36)</f>
        <v>1931735000</v>
      </c>
      <c r="J36" s="28"/>
      <c r="K36" s="29">
        <f>ROUND(('[5]Changes FY11'!K36),-3)</f>
        <v>0</v>
      </c>
      <c r="L36" s="29">
        <f>ROUND(('[5]Changes FY11'!L36),-3)</f>
        <v>0</v>
      </c>
      <c r="M36" s="28">
        <f>SUM(I36:L36)</f>
        <v>1931735000</v>
      </c>
    </row>
    <row r="37" spans="1:13" s="2" customFormat="1" ht="9.75" customHeight="1" x14ac:dyDescent="0.35">
      <c r="A37" s="2" t="s">
        <v>39</v>
      </c>
      <c r="B37" s="20">
        <f>ROUND(('[5]Changes FY11'!B37),-3)</f>
        <v>0</v>
      </c>
      <c r="C37" s="20">
        <f>ROUND(('[5]Changes FY11'!C37),-3)</f>
        <v>799944000</v>
      </c>
      <c r="D37" s="20">
        <f>ROUND(('[5]Changes FY11'!D37),-3)</f>
        <v>0</v>
      </c>
      <c r="E37" s="20">
        <f>ROUND(('[5]Changes FY11'!E37),-3)</f>
        <v>0</v>
      </c>
      <c r="F37" s="20">
        <f>ROUND(('[5]Changes FY11'!F37),-3)</f>
        <v>0</v>
      </c>
      <c r="G37" s="20">
        <f>ROUND(('[5]Changes FY11'!G37),-3)</f>
        <v>0</v>
      </c>
      <c r="H37" s="20">
        <f>ROUND(('[5]Changes FY11'!H37),-3)</f>
        <v>0</v>
      </c>
      <c r="I37" s="28">
        <f>SUM(B37:H37)</f>
        <v>799944000</v>
      </c>
      <c r="J37" s="28"/>
      <c r="K37" s="29">
        <f>ROUND(('[5]Changes FY11'!K37),-3)</f>
        <v>0</v>
      </c>
      <c r="L37" s="29">
        <f>ROUND(('[5]Changes FY11'!L37),-3)</f>
        <v>0</v>
      </c>
      <c r="M37" s="28">
        <f>SUM(I37:L37)</f>
        <v>799944000</v>
      </c>
    </row>
    <row r="38" spans="1:13" ht="9.75" customHeight="1" x14ac:dyDescent="0.35">
      <c r="A38" s="6" t="s">
        <v>38</v>
      </c>
      <c r="B38" s="20">
        <f>ROUND(('[5]Changes FY11'!B38),-3)</f>
        <v>0</v>
      </c>
      <c r="C38" s="20">
        <f>ROUND(('[5]Changes FY11'!C38),-3)</f>
        <v>28372000</v>
      </c>
      <c r="D38" s="20">
        <f>ROUND(('[5]Changes FY11'!D38),-3)</f>
        <v>0</v>
      </c>
      <c r="E38" s="20">
        <f>ROUND(('[5]Changes FY11'!E38),-3)</f>
        <v>0</v>
      </c>
      <c r="F38" s="20">
        <f>ROUND(('[5]Changes FY11'!F38),-3)</f>
        <v>125275000</v>
      </c>
      <c r="G38" s="20">
        <f>ROUND(('[5]Changes FY11'!G38),-3)</f>
        <v>0</v>
      </c>
      <c r="H38" s="20">
        <f>ROUND(('[5]Changes FY11'!H38),-3)</f>
        <v>0</v>
      </c>
      <c r="I38" s="28">
        <f>SUM(B38:H38)</f>
        <v>153647000</v>
      </c>
      <c r="J38" s="28"/>
      <c r="K38" s="29">
        <f>ROUND(('[5]Changes FY11'!K38),-3)</f>
        <v>0</v>
      </c>
      <c r="L38" s="29">
        <f>ROUND(('[5]Changes FY11'!L38),-3)</f>
        <v>0</v>
      </c>
      <c r="M38" s="28">
        <f>SUM(I38:L38)</f>
        <v>153647000</v>
      </c>
    </row>
    <row r="39" spans="1:13" ht="9.75" customHeight="1" x14ac:dyDescent="0.35">
      <c r="A39" s="6" t="s">
        <v>37</v>
      </c>
      <c r="B39" s="20">
        <f>ROUND(('[5]Changes FY11'!B39),-3)</f>
        <v>0</v>
      </c>
      <c r="C39" s="20">
        <f>ROUND(('[5]Changes FY11'!C39),-3)</f>
        <v>0</v>
      </c>
      <c r="D39" s="20">
        <f>ROUND(('[5]Changes FY11'!D39),-3)</f>
        <v>0</v>
      </c>
      <c r="E39" s="20">
        <f>ROUND(('[5]Changes FY11'!E39),-3)</f>
        <v>45413000</v>
      </c>
      <c r="F39" s="20">
        <f>ROUND(('[5]Changes FY11'!F39),-3)</f>
        <v>0</v>
      </c>
      <c r="G39" s="20">
        <f>ROUND(('[5]Changes FY11'!G39),-3)</f>
        <v>0</v>
      </c>
      <c r="H39" s="20">
        <f>ROUND(('[5]Changes FY11'!H39),-3)</f>
        <v>0</v>
      </c>
      <c r="I39" s="28">
        <f>SUM(B39:H39)</f>
        <v>45413000</v>
      </c>
      <c r="J39" s="28"/>
      <c r="K39" s="29">
        <f>ROUND(('[5]Changes FY11'!K39),-3)</f>
        <v>0</v>
      </c>
      <c r="L39" s="29">
        <f>ROUND(('[5]Changes FY11'!L39),-3)</f>
        <v>0</v>
      </c>
      <c r="M39" s="28">
        <f>SUM(I39:L39)</f>
        <v>45413000</v>
      </c>
    </row>
    <row r="40" spans="1:13" s="9" customFormat="1" ht="12" customHeight="1" x14ac:dyDescent="0.35">
      <c r="A40" s="37" t="s">
        <v>35</v>
      </c>
      <c r="B40" s="57">
        <f t="shared" ref="B40:M40" si="3">SUM(B36:B39)</f>
        <v>1332008000</v>
      </c>
      <c r="C40" s="57">
        <f t="shared" si="3"/>
        <v>828316000</v>
      </c>
      <c r="D40" s="57">
        <f t="shared" si="3"/>
        <v>599727000</v>
      </c>
      <c r="E40" s="57">
        <f t="shared" si="3"/>
        <v>45413000</v>
      </c>
      <c r="F40" s="57">
        <f t="shared" si="3"/>
        <v>125275000</v>
      </c>
      <c r="G40" s="57">
        <f t="shared" si="3"/>
        <v>0</v>
      </c>
      <c r="H40" s="57">
        <f t="shared" si="3"/>
        <v>0</v>
      </c>
      <c r="I40" s="56">
        <f t="shared" si="3"/>
        <v>2930739000</v>
      </c>
      <c r="J40" s="28">
        <f t="shared" si="3"/>
        <v>0</v>
      </c>
      <c r="K40" s="56">
        <f t="shared" si="3"/>
        <v>0</v>
      </c>
      <c r="L40" s="56">
        <f t="shared" si="3"/>
        <v>0</v>
      </c>
      <c r="M40" s="56">
        <f t="shared" si="3"/>
        <v>2930739000</v>
      </c>
    </row>
    <row r="41" spans="1:13" s="15" customFormat="1" ht="12" customHeight="1" x14ac:dyDescent="0.35">
      <c r="A41" s="55"/>
      <c r="B41" s="53"/>
      <c r="C41" s="53"/>
      <c r="D41" s="53"/>
      <c r="E41" s="53"/>
      <c r="F41" s="53"/>
      <c r="G41" s="53"/>
      <c r="H41" s="53"/>
      <c r="I41" s="43"/>
      <c r="J41" s="28"/>
      <c r="K41" s="43"/>
      <c r="L41" s="43"/>
      <c r="M41" s="43"/>
    </row>
    <row r="42" spans="1:13" s="15" customFormat="1" ht="9.75" customHeight="1" x14ac:dyDescent="0.35">
      <c r="A42" s="54" t="s">
        <v>34</v>
      </c>
      <c r="B42" s="53"/>
      <c r="C42" s="53"/>
      <c r="D42" s="53"/>
      <c r="E42" s="53"/>
      <c r="F42" s="53"/>
      <c r="G42" s="53"/>
      <c r="H42" s="53"/>
      <c r="I42" s="43"/>
      <c r="J42" s="28"/>
      <c r="K42" s="28"/>
      <c r="L42" s="28"/>
      <c r="M42" s="28"/>
    </row>
    <row r="43" spans="1:13" ht="12" customHeight="1" x14ac:dyDescent="0.35">
      <c r="A43" s="6" t="s">
        <v>33</v>
      </c>
      <c r="B43" s="20">
        <f>ROUND(('[5]Changes FY11'!B43),-3)+1000</f>
        <v>-47167000</v>
      </c>
      <c r="C43" s="20">
        <f>ROUND(('[5]Changes FY11'!C43),-3)</f>
        <v>-1174000</v>
      </c>
      <c r="D43" s="20">
        <f>ROUND(('[5]Changes FY11'!D43),-3)</f>
        <v>0</v>
      </c>
      <c r="E43" s="20">
        <f>ROUND(('[5]Changes FY11'!E43),-3)</f>
        <v>48341000</v>
      </c>
      <c r="F43" s="20">
        <f>ROUND(('[5]Changes FY11'!F43),-3)</f>
        <v>0</v>
      </c>
      <c r="G43" s="20">
        <f>ROUND(('[5]Changes FY11'!G43),-3)</f>
        <v>0</v>
      </c>
      <c r="H43" s="20">
        <f>ROUND(('[5]Changes FY11'!H43),-3)</f>
        <v>0</v>
      </c>
      <c r="I43" s="28">
        <f t="shared" ref="I43:I51" si="4">SUM(B43:H43)</f>
        <v>0</v>
      </c>
      <c r="J43" s="28"/>
      <c r="K43" s="29">
        <f>ROUND(('[5]Changes FY11'!K43),-3)</f>
        <v>0</v>
      </c>
      <c r="L43" s="29">
        <f>ROUND(('[5]Changes FY11'!L43),-3)</f>
        <v>0</v>
      </c>
      <c r="M43" s="28">
        <f t="shared" ref="M43:M51" si="5">SUM(I43:L43)</f>
        <v>0</v>
      </c>
    </row>
    <row r="44" spans="1:13" ht="9.75" customHeight="1" x14ac:dyDescent="0.35">
      <c r="A44" s="6" t="s">
        <v>32</v>
      </c>
      <c r="B44" s="20">
        <f>ROUND(('[5]Changes FY11'!B44),-3)</f>
        <v>0</v>
      </c>
      <c r="C44" s="20">
        <f>ROUND(('[5]Changes FY11'!C44),-3)</f>
        <v>0</v>
      </c>
      <c r="D44" s="20">
        <f>ROUND(('[5]Changes FY11'!D44),-3)</f>
        <v>0</v>
      </c>
      <c r="E44" s="20">
        <f>ROUND(('[5]Changes FY11'!E44),-3)</f>
        <v>0</v>
      </c>
      <c r="F44" s="20">
        <f>ROUND(('[5]Changes FY11'!F44),-3)</f>
        <v>0</v>
      </c>
      <c r="G44" s="20">
        <f>ROUND(('[5]Changes FY11'!G44),-3)</f>
        <v>0</v>
      </c>
      <c r="H44" s="20">
        <f>ROUND(('[5]Changes FY11'!H44),-3)</f>
        <v>0</v>
      </c>
      <c r="I44" s="28">
        <f t="shared" si="4"/>
        <v>0</v>
      </c>
      <c r="J44" s="28"/>
      <c r="K44" s="29">
        <f>ROUND(('[5]Changes FY11'!K44),-3)</f>
        <v>0</v>
      </c>
      <c r="L44" s="29">
        <f>ROUND(('[5]Changes FY11'!L44),-3)</f>
        <v>0</v>
      </c>
      <c r="M44" s="28">
        <f t="shared" si="5"/>
        <v>0</v>
      </c>
    </row>
    <row r="45" spans="1:13" ht="9.75" customHeight="1" x14ac:dyDescent="0.35">
      <c r="A45" s="6" t="s">
        <v>31</v>
      </c>
      <c r="B45" s="20">
        <f>ROUND(('[5]Changes FY11'!B45),-3)</f>
        <v>-1401000</v>
      </c>
      <c r="C45" s="20">
        <f>ROUND(('[5]Changes FY11'!C45),-3)</f>
        <v>0</v>
      </c>
      <c r="D45" s="20">
        <f>ROUND(('[5]Changes FY11'!D45),-3)</f>
        <v>0</v>
      </c>
      <c r="E45" s="20">
        <f>ROUND(('[5]Changes FY11'!E45),-3)</f>
        <v>0</v>
      </c>
      <c r="F45" s="20">
        <f>ROUND(('[5]Changes FY11'!F45),-3)</f>
        <v>0</v>
      </c>
      <c r="G45" s="20">
        <f>ROUND(('[5]Changes FY11'!G45),-3)</f>
        <v>1401000</v>
      </c>
      <c r="H45" s="20">
        <f>ROUND(('[5]Changes FY11'!H45),-3)</f>
        <v>0</v>
      </c>
      <c r="I45" s="28">
        <f t="shared" si="4"/>
        <v>0</v>
      </c>
      <c r="J45" s="28"/>
      <c r="K45" s="29">
        <f>ROUND(('[5]Changes FY11'!K45),-3)</f>
        <v>0</v>
      </c>
      <c r="L45" s="29">
        <f>ROUND(('[5]Changes FY11'!L45),-3)</f>
        <v>0</v>
      </c>
      <c r="M45" s="28">
        <f t="shared" si="5"/>
        <v>0</v>
      </c>
    </row>
    <row r="46" spans="1:13" ht="9.75" customHeight="1" x14ac:dyDescent="0.35">
      <c r="A46" s="6" t="s">
        <v>30</v>
      </c>
      <c r="B46" s="20">
        <f>ROUND(('[5]Changes FY11'!B46),-3)</f>
        <v>-25280000</v>
      </c>
      <c r="C46" s="20">
        <f>ROUND(('[5]Changes FY11'!C46),-3)</f>
        <v>-1864000</v>
      </c>
      <c r="D46" s="20">
        <f>ROUND(('[5]Changes FY11'!D46),-3)</f>
        <v>-229000</v>
      </c>
      <c r="E46" s="20">
        <f>ROUND(('[5]Changes FY11'!E46),-3)-1000</f>
        <v>27373000</v>
      </c>
      <c r="F46" s="20">
        <f>ROUND(('[5]Changes FY11'!F46),-3)</f>
        <v>0</v>
      </c>
      <c r="G46" s="20">
        <f>ROUND(('[5]Changes FY11'!G46),-3)</f>
        <v>0</v>
      </c>
      <c r="H46" s="20">
        <f>ROUND(('[5]Changes FY11'!H46),-3)</f>
        <v>0</v>
      </c>
      <c r="I46" s="28">
        <f t="shared" si="4"/>
        <v>0</v>
      </c>
      <c r="J46" s="28"/>
      <c r="K46" s="29">
        <f>ROUND(('[5]Changes FY11'!K46),-3)</f>
        <v>0</v>
      </c>
      <c r="L46" s="29">
        <f>ROUND(('[5]Changes FY11'!L46),-3)</f>
        <v>0</v>
      </c>
      <c r="M46" s="28">
        <f t="shared" si="5"/>
        <v>0</v>
      </c>
    </row>
    <row r="47" spans="1:13" ht="9.75" customHeight="1" x14ac:dyDescent="0.35">
      <c r="A47" s="6" t="s">
        <v>29</v>
      </c>
      <c r="B47" s="20">
        <f>ROUND(('[5]Changes FY11'!B47),-3)</f>
        <v>43874000</v>
      </c>
      <c r="C47" s="20">
        <f>ROUND(('[5]Changes FY11'!C47),-3)</f>
        <v>0</v>
      </c>
      <c r="D47" s="20">
        <f>ROUND(('[5]Changes FY11'!D47),-3)</f>
        <v>57213000</v>
      </c>
      <c r="E47" s="20">
        <f>ROUND(('[5]Changes FY11'!E47),-3)</f>
        <v>0</v>
      </c>
      <c r="F47" s="20">
        <f>ROUND(('[5]Changes FY11'!F47),-3)</f>
        <v>0</v>
      </c>
      <c r="G47" s="20">
        <f>ROUND(('[5]Changes FY11'!G47),-3)+1000</f>
        <v>-101087000</v>
      </c>
      <c r="H47" s="20">
        <f>ROUND(('[5]Changes FY11'!H47),-3)</f>
        <v>0</v>
      </c>
      <c r="I47" s="28">
        <f t="shared" si="4"/>
        <v>0</v>
      </c>
      <c r="J47" s="28"/>
      <c r="K47" s="29">
        <f>ROUND(('[5]Changes FY11'!K47),-3)</f>
        <v>0</v>
      </c>
      <c r="L47" s="29">
        <f>ROUND(('[5]Changes FY11'!L47),-3)</f>
        <v>0</v>
      </c>
      <c r="M47" s="28">
        <f t="shared" si="5"/>
        <v>0</v>
      </c>
    </row>
    <row r="48" spans="1:13" ht="9.75" customHeight="1" x14ac:dyDescent="0.35">
      <c r="A48" s="6" t="s">
        <v>28</v>
      </c>
      <c r="B48" s="20">
        <f>ROUND(('[5]Changes FY11'!B48),-3)</f>
        <v>47648000</v>
      </c>
      <c r="C48" s="20">
        <f>ROUND(('[5]Changes FY11'!C48),-3)</f>
        <v>0</v>
      </c>
      <c r="D48" s="20">
        <f>ROUND(('[5]Changes FY11'!D48),-3)</f>
        <v>-47648000</v>
      </c>
      <c r="E48" s="20">
        <f>ROUND(('[5]Changes FY11'!E48),-3)</f>
        <v>0</v>
      </c>
      <c r="F48" s="20">
        <f>ROUND(('[5]Changes FY11'!F48),-3)</f>
        <v>0</v>
      </c>
      <c r="G48" s="20">
        <f>ROUND(('[5]Changes FY11'!G48),-3)</f>
        <v>0</v>
      </c>
      <c r="H48" s="20">
        <f>ROUND(('[5]Changes FY11'!H48),-3)</f>
        <v>0</v>
      </c>
      <c r="I48" s="28">
        <f t="shared" si="4"/>
        <v>0</v>
      </c>
      <c r="J48" s="28"/>
      <c r="K48" s="29">
        <f>ROUND(('[5]Changes FY11'!K48),-3)</f>
        <v>0</v>
      </c>
      <c r="L48" s="29">
        <f>ROUND(('[5]Changes FY11'!L48),-3)</f>
        <v>0</v>
      </c>
      <c r="M48" s="28">
        <f t="shared" si="5"/>
        <v>0</v>
      </c>
    </row>
    <row r="49" spans="1:13" ht="9.75" customHeight="1" x14ac:dyDescent="0.35">
      <c r="A49" s="52" t="s">
        <v>27</v>
      </c>
      <c r="B49" s="20">
        <f>ROUND(('[5]Changes FY11'!B49),-3)</f>
        <v>-125860000</v>
      </c>
      <c r="C49" s="20">
        <f>ROUND(('[5]Changes FY11'!C49),-3)</f>
        <v>-34241000</v>
      </c>
      <c r="D49" s="20">
        <f>ROUND(('[5]Changes FY11'!D49),-3)</f>
        <v>13175000</v>
      </c>
      <c r="E49" s="20">
        <f>ROUND(('[5]Changes FY11'!E49),-3)</f>
        <v>135784000</v>
      </c>
      <c r="F49" s="20">
        <f>ROUND(('[5]Changes FY11'!F49),-3)</f>
        <v>0</v>
      </c>
      <c r="G49" s="20">
        <f>ROUND(('[5]Changes FY11'!G49),-3)</f>
        <v>11142000</v>
      </c>
      <c r="H49" s="20">
        <f>ROUND(('[5]Changes FY11'!H49),-3)</f>
        <v>0</v>
      </c>
      <c r="I49" s="28">
        <f t="shared" si="4"/>
        <v>0</v>
      </c>
      <c r="J49" s="28"/>
      <c r="K49" s="29">
        <f>ROUND(('[5]Changes FY11'!K49),-3)</f>
        <v>0</v>
      </c>
      <c r="L49" s="29">
        <f>ROUND(('[5]Changes FY11'!L49),-3)</f>
        <v>0</v>
      </c>
      <c r="M49" s="28">
        <f t="shared" si="5"/>
        <v>0</v>
      </c>
    </row>
    <row r="50" spans="1:13" ht="9.75" customHeight="1" x14ac:dyDescent="0.35">
      <c r="A50" s="52" t="s">
        <v>26</v>
      </c>
      <c r="B50" s="20">
        <f>ROUND(('[5]Changes FY11'!B50),-3)</f>
        <v>0</v>
      </c>
      <c r="C50" s="20">
        <f>ROUND(('[5]Changes FY11'!C50),-3)</f>
        <v>0</v>
      </c>
      <c r="D50" s="20">
        <f>ROUND(('[5]Changes FY11'!D50),-3)</f>
        <v>0</v>
      </c>
      <c r="E50" s="20">
        <f>ROUND(('[5]Changes FY11'!E50),-3)</f>
        <v>0</v>
      </c>
      <c r="F50" s="20">
        <f>ROUND(('[5]Changes FY11'!F50),-3)</f>
        <v>0</v>
      </c>
      <c r="G50" s="20">
        <f>ROUND(('[5]Changes FY11'!G50),-3)</f>
        <v>0</v>
      </c>
      <c r="H50" s="20">
        <f>ROUND(('[5]Changes FY11'!H50),-3)</f>
        <v>0</v>
      </c>
      <c r="I50" s="28">
        <f t="shared" si="4"/>
        <v>0</v>
      </c>
      <c r="J50" s="28"/>
      <c r="K50" s="29"/>
      <c r="L50" s="29"/>
      <c r="M50" s="28">
        <f t="shared" si="5"/>
        <v>0</v>
      </c>
    </row>
    <row r="51" spans="1:13" ht="9.75" customHeight="1" x14ac:dyDescent="0.35">
      <c r="A51" s="6" t="s">
        <v>25</v>
      </c>
      <c r="B51" s="20">
        <f>ROUND(('[5]Changes FY11'!B51),-3)</f>
        <v>-21542000</v>
      </c>
      <c r="C51" s="20">
        <f>ROUND(('[5]Changes FY11'!C51),-3)</f>
        <v>-761000</v>
      </c>
      <c r="D51" s="20">
        <f>ROUND(('[5]Changes FY11'!D51),-3)</f>
        <v>25402000</v>
      </c>
      <c r="E51" s="20">
        <f>ROUND(('[5]Changes FY11'!E51),-3)</f>
        <v>-241604000</v>
      </c>
      <c r="F51" s="20">
        <f>ROUND(('[5]Changes FY11'!F51),-3)</f>
        <v>238505000</v>
      </c>
      <c r="G51" s="20">
        <f>ROUND(('[5]Changes FY11'!G51),-3)</f>
        <v>0</v>
      </c>
      <c r="H51" s="20">
        <f>ROUND(('[5]Changes FY11'!H51),-3)</f>
        <v>0</v>
      </c>
      <c r="I51" s="28">
        <f t="shared" si="4"/>
        <v>0</v>
      </c>
      <c r="J51" s="28"/>
      <c r="K51" s="29">
        <f>ROUND(('[5]Changes FY11'!K51),-3)</f>
        <v>0</v>
      </c>
      <c r="L51" s="29">
        <f>ROUND(('[5]Changes FY11'!L51),-3)</f>
        <v>0</v>
      </c>
      <c r="M51" s="28">
        <f t="shared" si="5"/>
        <v>0</v>
      </c>
    </row>
    <row r="52" spans="1:13" s="15" customFormat="1" ht="11.7" x14ac:dyDescent="0.4">
      <c r="A52" s="49" t="s">
        <v>21</v>
      </c>
      <c r="B52" s="83">
        <f t="shared" ref="B52:I52" si="6">+B33-B40+SUM(B43:B51)</f>
        <v>0</v>
      </c>
      <c r="C52" s="83">
        <f t="shared" si="6"/>
        <v>-54818000</v>
      </c>
      <c r="D52" s="83">
        <f t="shared" si="6"/>
        <v>136673000</v>
      </c>
      <c r="E52" s="83">
        <f t="shared" si="6"/>
        <v>-33423000</v>
      </c>
      <c r="F52" s="83">
        <f t="shared" si="6"/>
        <v>112140000</v>
      </c>
      <c r="G52" s="83">
        <f t="shared" si="6"/>
        <v>196430000</v>
      </c>
      <c r="H52" s="83">
        <f t="shared" si="6"/>
        <v>-1096000</v>
      </c>
      <c r="I52" s="56">
        <f t="shared" si="6"/>
        <v>355906000</v>
      </c>
      <c r="J52" s="47"/>
      <c r="K52" s="56">
        <f>+K33-K40+SUM(K43:K51)</f>
        <v>409680000</v>
      </c>
      <c r="L52" s="56">
        <f>+L33-L40+SUM(L43:L51)</f>
        <v>226340000</v>
      </c>
      <c r="M52" s="56">
        <f>+M33-M40+SUM(M43:M51)</f>
        <v>991926000</v>
      </c>
    </row>
    <row r="53" spans="1:13" s="15" customFormat="1" ht="11.7" x14ac:dyDescent="0.4">
      <c r="A53" s="49" t="s">
        <v>91</v>
      </c>
      <c r="B53" s="86"/>
      <c r="C53" s="86"/>
      <c r="D53" s="86"/>
      <c r="E53" s="86"/>
      <c r="F53" s="86"/>
      <c r="G53" s="20">
        <f>ROUND(('[5]Changes FY11'!G53),-3)</f>
        <v>0</v>
      </c>
      <c r="H53" s="86"/>
      <c r="I53" s="28">
        <f>SUM(B53:H53)</f>
        <v>0</v>
      </c>
      <c r="J53" s="47"/>
      <c r="K53" s="29">
        <f>ROUND(('[5]Changes FY11'!K53),-3)</f>
        <v>0</v>
      </c>
      <c r="L53" s="43"/>
      <c r="M53" s="28">
        <f>SUM(I53:L53)</f>
        <v>0</v>
      </c>
    </row>
    <row r="54" spans="1:13" s="15" customFormat="1" ht="11.35" x14ac:dyDescent="0.35">
      <c r="A54" s="45" t="s">
        <v>20</v>
      </c>
      <c r="B54" s="40">
        <f>ROUND(('[5]Changes FY11'!B54),-3)</f>
        <v>0</v>
      </c>
      <c r="C54" s="44">
        <f>ROUND(('[5]Changes FY11'!C54),-3)</f>
        <v>0</v>
      </c>
      <c r="D54" s="40">
        <f>ROUND(('[5]Changes FY11'!D54),-3)</f>
        <v>0</v>
      </c>
      <c r="E54" s="44">
        <f>ROUND(('[5]Changes FY11'!E54),-3)</f>
        <v>0</v>
      </c>
      <c r="F54" s="44">
        <f>ROUND(('[5]Changes FY11'!F54),-3)</f>
        <v>0</v>
      </c>
      <c r="G54" s="44">
        <f>ROUND(('[5]Changes FY11'!G54),-3)</f>
        <v>0</v>
      </c>
      <c r="H54" s="44">
        <f>ROUND(('[5]Changes FY11'!H54),-3)</f>
        <v>0</v>
      </c>
      <c r="I54" s="28">
        <f>SUM(B54:H54)</f>
        <v>0</v>
      </c>
      <c r="J54" s="28"/>
      <c r="K54" s="28"/>
      <c r="L54" s="43"/>
      <c r="M54" s="28">
        <f>SUM(I54:L54)</f>
        <v>0</v>
      </c>
    </row>
    <row r="55" spans="1:13" ht="12" customHeight="1" x14ac:dyDescent="0.35">
      <c r="A55" s="41" t="s">
        <v>19</v>
      </c>
      <c r="B55" s="40">
        <f>ROUND(('[5]Changes FY11'!B55),-3)</f>
        <v>0</v>
      </c>
      <c r="C55" s="40">
        <f>ROUND(('[5]Changes FY11'!C55),-3)</f>
        <v>-76933000</v>
      </c>
      <c r="D55" s="40">
        <f>ROUND(('[5]Changes FY11'!D55),-3)-1000</f>
        <v>612490000</v>
      </c>
      <c r="E55" s="40">
        <f>ROUND(('[5]Changes FY11'!E55),-3)</f>
        <v>206443000</v>
      </c>
      <c r="F55" s="40">
        <f>ROUND(('[5]Changes FY11'!F55),-3)</f>
        <v>684018000</v>
      </c>
      <c r="G55" s="40">
        <f>ROUND(('[5]Changes FY11'!G55),-3)</f>
        <v>872877000</v>
      </c>
      <c r="H55" s="40">
        <f>ROUND(('[5]Changes FY11'!H55),-3)</f>
        <v>-10581000</v>
      </c>
      <c r="I55" s="39">
        <f>SUM(B55:H55)</f>
        <v>2288314000</v>
      </c>
      <c r="J55" s="28"/>
      <c r="K55" s="38">
        <f>ROUND(('[5]Changes FY11'!K55),-3)</f>
        <v>1039472000</v>
      </c>
      <c r="L55" s="38">
        <f>ROUND(('[5]Changes FY11'!L55),-3)</f>
        <v>1409146000</v>
      </c>
      <c r="M55" s="38">
        <f>SUM(I55:L55)</f>
        <v>4736932000</v>
      </c>
    </row>
    <row r="56" spans="1:13" s="9" customFormat="1" ht="12" customHeight="1" x14ac:dyDescent="0.35">
      <c r="A56" s="37" t="s">
        <v>18</v>
      </c>
      <c r="B56" s="85">
        <f t="shared" ref="B56:M56" si="7">SUM(B52:B55)</f>
        <v>0</v>
      </c>
      <c r="C56" s="85">
        <f t="shared" si="7"/>
        <v>-131751000</v>
      </c>
      <c r="D56" s="85">
        <f t="shared" si="7"/>
        <v>749163000</v>
      </c>
      <c r="E56" s="85">
        <f t="shared" si="7"/>
        <v>173020000</v>
      </c>
      <c r="F56" s="85">
        <f t="shared" si="7"/>
        <v>796158000</v>
      </c>
      <c r="G56" s="85">
        <f t="shared" si="7"/>
        <v>1069307000</v>
      </c>
      <c r="H56" s="85">
        <f t="shared" si="7"/>
        <v>-11677000</v>
      </c>
      <c r="I56" s="23">
        <f t="shared" si="7"/>
        <v>2644220000</v>
      </c>
      <c r="J56" s="32">
        <f t="shared" si="7"/>
        <v>0</v>
      </c>
      <c r="K56" s="23">
        <f t="shared" si="7"/>
        <v>1449152000</v>
      </c>
      <c r="L56" s="23">
        <f t="shared" si="7"/>
        <v>1635486000</v>
      </c>
      <c r="M56" s="23">
        <f t="shared" si="7"/>
        <v>5728858000</v>
      </c>
    </row>
    <row r="57" spans="1:13" s="7" customFormat="1" ht="2.1" customHeight="1" x14ac:dyDescent="0.35">
      <c r="B57" s="35"/>
      <c r="C57" s="35"/>
      <c r="D57" s="35"/>
      <c r="E57" s="35"/>
      <c r="F57" s="35"/>
      <c r="G57" s="35"/>
      <c r="H57" s="35"/>
      <c r="I57" s="34"/>
      <c r="J57" s="28"/>
      <c r="K57" s="34"/>
      <c r="L57" s="34"/>
      <c r="M57" s="34"/>
    </row>
    <row r="58" spans="1:13" ht="9.9499999999999993" customHeight="1" x14ac:dyDescent="0.35">
      <c r="A58" s="2"/>
      <c r="B58" s="20"/>
      <c r="C58" s="20"/>
      <c r="D58" s="20"/>
      <c r="E58" s="20"/>
      <c r="F58" s="20"/>
      <c r="G58" s="20"/>
      <c r="H58" s="20"/>
      <c r="I58" s="28"/>
      <c r="J58" s="28"/>
      <c r="K58" s="28"/>
      <c r="L58" s="28"/>
      <c r="M58" s="28"/>
    </row>
    <row r="59" spans="1:13" ht="9.9499999999999993" customHeight="1" x14ac:dyDescent="0.35">
      <c r="A59" s="33" t="s">
        <v>17</v>
      </c>
      <c r="B59" s="20"/>
      <c r="C59" s="20"/>
      <c r="D59" s="20"/>
      <c r="E59" s="20"/>
      <c r="F59" s="20"/>
      <c r="G59" s="20"/>
      <c r="H59" s="20"/>
      <c r="I59" s="28"/>
      <c r="J59" s="28"/>
      <c r="K59" s="28"/>
      <c r="L59" s="28"/>
      <c r="M59" s="28"/>
    </row>
    <row r="60" spans="1:13" s="2" customFormat="1" ht="9.9499999999999993" customHeight="1" x14ac:dyDescent="0.35">
      <c r="A60" s="6" t="s">
        <v>16</v>
      </c>
      <c r="B60" s="20">
        <f>ROUND(('[5]Changes FY11'!B60),-3)</f>
        <v>0</v>
      </c>
      <c r="C60" s="30">
        <f>ROUND(('[5]Changes FY11'!C60),-3)</f>
        <v>-31110000</v>
      </c>
      <c r="D60" s="30">
        <f>ROUND(('[5]Changes FY11'!D60),-3)</f>
        <v>118656000</v>
      </c>
      <c r="E60" s="20">
        <f>ROUND(('[5]Changes FY11'!E60),-3)</f>
        <v>0</v>
      </c>
      <c r="F60" s="30">
        <f>ROUND(('[5]Changes FY11'!F60),-3)</f>
        <v>0</v>
      </c>
      <c r="G60" s="20">
        <f>ROUND(('[5]Changes FY11'!G60),-3)</f>
        <v>0</v>
      </c>
      <c r="H60" s="30">
        <f>ROUND(('[5]Changes FY11'!H60),-3)</f>
        <v>-16321000</v>
      </c>
      <c r="I60" s="32">
        <f t="shared" ref="I60:I75" si="8">SUM(B60:H60)</f>
        <v>71225000</v>
      </c>
      <c r="J60" s="28"/>
      <c r="K60" s="29">
        <f>ROUND(('[5]Changes FY11'!K60),-3)</f>
        <v>0</v>
      </c>
      <c r="L60" s="29">
        <f>ROUND(('[5]Changes FY11'!L60),-3)</f>
        <v>0</v>
      </c>
      <c r="M60" s="32">
        <f t="shared" ref="M60:M75" si="9">SUM(I60:L60)</f>
        <v>71225000</v>
      </c>
    </row>
    <row r="61" spans="1:13" s="2" customFormat="1" ht="9.9499999999999993" customHeight="1" x14ac:dyDescent="0.35">
      <c r="A61" s="6" t="s">
        <v>15</v>
      </c>
      <c r="B61" s="20">
        <f>ROUND(('[5]Changes FY11'!B61),-3)</f>
        <v>0</v>
      </c>
      <c r="C61" s="20">
        <f>ROUND(('[5]Changes FY11'!C61),-3)</f>
        <v>-100641000</v>
      </c>
      <c r="D61" s="20">
        <f>ROUND(('[5]Changes FY11'!D61),-3)-1000</f>
        <v>448797000</v>
      </c>
      <c r="E61" s="30">
        <f>ROUND(('[5]Changes FY11'!E61),-3)</f>
        <v>101226000</v>
      </c>
      <c r="F61" s="20">
        <f>ROUND(('[5]Changes FY11'!F61),-3)</f>
        <v>0</v>
      </c>
      <c r="G61" s="20">
        <f>ROUND(('[5]Changes FY11'!G61),-3)</f>
        <v>0</v>
      </c>
      <c r="H61" s="20">
        <f>ROUND(('[5]Changes FY11'!H61),-3)</f>
        <v>4644000</v>
      </c>
      <c r="I61" s="28">
        <f t="shared" si="8"/>
        <v>454026000</v>
      </c>
      <c r="J61" s="28"/>
      <c r="K61" s="29">
        <f>ROUND(('[5]Changes FY11'!K61),-3)</f>
        <v>0</v>
      </c>
      <c r="L61" s="29">
        <f>ROUND(('[5]Changes FY11'!L61),-3)</f>
        <v>0</v>
      </c>
      <c r="M61" s="28">
        <f t="shared" si="9"/>
        <v>454026000</v>
      </c>
    </row>
    <row r="62" spans="1:13" s="2" customFormat="1" x14ac:dyDescent="0.35">
      <c r="A62" s="6" t="s">
        <v>14</v>
      </c>
      <c r="B62" s="20">
        <f>ROUND(('[5]Changes FY11'!B62),-3)</f>
        <v>0</v>
      </c>
      <c r="C62" s="20">
        <f>ROUND(('[5]Changes FY11'!C62),-3)</f>
        <v>0</v>
      </c>
      <c r="D62" s="20">
        <f>ROUND(('[5]Changes FY11'!D62),-3)</f>
        <v>0</v>
      </c>
      <c r="E62" s="20">
        <f>ROUND(('[5]Changes FY11'!E62),-3)</f>
        <v>0</v>
      </c>
      <c r="F62" s="20">
        <f>ROUND(('[5]Changes FY11'!F62),-3)</f>
        <v>0</v>
      </c>
      <c r="G62" s="20">
        <f>ROUND(('[5]Changes FY11'!G62),-3)</f>
        <v>0</v>
      </c>
      <c r="H62" s="20">
        <f>ROUND(('[5]Changes FY11'!H62),-3)</f>
        <v>0</v>
      </c>
      <c r="I62" s="28">
        <f t="shared" si="8"/>
        <v>0</v>
      </c>
      <c r="J62" s="28"/>
      <c r="K62" s="31">
        <f>ROUND(('[5]Changes FY11'!K62),-3)</f>
        <v>38953000</v>
      </c>
      <c r="L62" s="31">
        <f>ROUND(('[5]Changes FY11'!L62),-3)</f>
        <v>35053000</v>
      </c>
      <c r="M62" s="28">
        <f t="shared" si="9"/>
        <v>74006000</v>
      </c>
    </row>
    <row r="63" spans="1:13" s="2" customFormat="1" ht="9.9499999999999993" customHeight="1" x14ac:dyDescent="0.35">
      <c r="A63" s="6" t="s">
        <v>13</v>
      </c>
      <c r="B63" s="20">
        <f>ROUND(('[5]Changes FY11'!B63),-3)</f>
        <v>0</v>
      </c>
      <c r="C63" s="20">
        <f>ROUND(('[5]Changes FY11'!C63),-3)</f>
        <v>0</v>
      </c>
      <c r="D63" s="20">
        <f>ROUND(('[5]Changes FY11'!D63),-3)</f>
        <v>0</v>
      </c>
      <c r="E63" s="20">
        <f>ROUND(('[5]Changes FY11'!E63),-3)</f>
        <v>0</v>
      </c>
      <c r="F63" s="20">
        <f>ROUND(('[5]Changes FY11'!F63),-3)</f>
        <v>0</v>
      </c>
      <c r="G63" s="30">
        <f>ROUND(('[5]Changes FY11'!G63),-3)</f>
        <v>0</v>
      </c>
      <c r="H63" s="20">
        <f>ROUND(('[5]Changes FY11'!H63),-3)</f>
        <v>0</v>
      </c>
      <c r="I63" s="28">
        <f t="shared" si="8"/>
        <v>0</v>
      </c>
      <c r="J63" s="28"/>
      <c r="K63" s="29">
        <f>ROUND(('[5]Changes FY11'!K63),-3)</f>
        <v>223104000</v>
      </c>
      <c r="L63" s="29">
        <f>ROUND(('[5]Changes FY11'!L63),-3)</f>
        <v>211252000</v>
      </c>
      <c r="M63" s="28">
        <f t="shared" si="9"/>
        <v>434356000</v>
      </c>
    </row>
    <row r="64" spans="1:13" s="2" customFormat="1" ht="9.9499999999999993" customHeight="1" x14ac:dyDescent="0.35">
      <c r="A64" s="6" t="s">
        <v>90</v>
      </c>
      <c r="B64" s="20"/>
      <c r="C64" s="30">
        <f>ROUND(('[5]Changes FY11'!C64),-3)</f>
        <v>0</v>
      </c>
      <c r="D64" s="20"/>
      <c r="E64" s="20"/>
      <c r="F64" s="20"/>
      <c r="G64" s="30"/>
      <c r="H64" s="20"/>
      <c r="I64" s="28">
        <f t="shared" si="8"/>
        <v>0</v>
      </c>
      <c r="J64" s="28"/>
      <c r="K64" s="29"/>
      <c r="L64" s="29"/>
      <c r="M64" s="28">
        <f t="shared" si="9"/>
        <v>0</v>
      </c>
    </row>
    <row r="65" spans="1:13" s="2" customFormat="1" ht="9.9499999999999993" customHeight="1" x14ac:dyDescent="0.35">
      <c r="A65" s="6" t="s">
        <v>12</v>
      </c>
      <c r="B65" s="20">
        <f>ROUND(('[5]Changes FY11'!B65),-3)</f>
        <v>0</v>
      </c>
      <c r="C65" s="20">
        <f>ROUND(('[5]Changes FY11'!C65),-3)</f>
        <v>0</v>
      </c>
      <c r="D65" s="20">
        <f>ROUND(('[5]Changes FY11'!D65),-3)</f>
        <v>0</v>
      </c>
      <c r="E65" s="20">
        <f>ROUND(('[5]Changes FY11'!E65),-3)</f>
        <v>0</v>
      </c>
      <c r="F65" s="20">
        <f>ROUND(('[5]Changes FY11'!F65),-3)</f>
        <v>0</v>
      </c>
      <c r="G65" s="20">
        <f>ROUND(('[5]Changes FY11'!G65),-3)</f>
        <v>0</v>
      </c>
      <c r="H65" s="20">
        <f>ROUND(('[5]Changes FY11'!H65),-3)</f>
        <v>0</v>
      </c>
      <c r="I65" s="28">
        <f t="shared" si="8"/>
        <v>0</v>
      </c>
      <c r="J65" s="28"/>
      <c r="K65" s="29">
        <f>ROUND(('[5]Changes FY11'!K65),-3)</f>
        <v>0</v>
      </c>
      <c r="L65" s="29">
        <f>ROUND(('[5]Changes FY11'!L65),-3)</f>
        <v>0</v>
      </c>
      <c r="M65" s="28">
        <f t="shared" si="9"/>
        <v>0</v>
      </c>
    </row>
    <row r="66" spans="1:13" s="2" customFormat="1" ht="9.9499999999999993" customHeight="1" x14ac:dyDescent="0.35">
      <c r="A66" s="6" t="s">
        <v>11</v>
      </c>
      <c r="B66" s="20">
        <f>ROUND(('[5]Changes FY11'!B66),-3)</f>
        <v>0</v>
      </c>
      <c r="C66" s="20">
        <f>ROUND(('[5]Changes FY11'!C66),-3)</f>
        <v>0</v>
      </c>
      <c r="D66" s="20">
        <f>ROUND(('[5]Changes FY11'!D66),-3)</f>
        <v>181710000</v>
      </c>
      <c r="E66" s="20">
        <f>ROUND(('[5]Changes FY11'!E66),-3)</f>
        <v>0</v>
      </c>
      <c r="F66" s="20">
        <f>ROUND(('[5]Changes FY11'!F66),-3)</f>
        <v>0</v>
      </c>
      <c r="G66" s="20">
        <f>ROUND(('[5]Changes FY11'!G66),-3)</f>
        <v>0</v>
      </c>
      <c r="H66" s="20">
        <f>ROUND(('[5]Changes FY11'!H66),-3)</f>
        <v>0</v>
      </c>
      <c r="I66" s="28">
        <f t="shared" si="8"/>
        <v>181710000</v>
      </c>
      <c r="J66" s="28"/>
      <c r="K66" s="29">
        <f>ROUND(('[5]Changes FY11'!K66),-3)</f>
        <v>0</v>
      </c>
      <c r="L66" s="29">
        <f>ROUND(('[5]Changes FY11'!L66),-3)</f>
        <v>0</v>
      </c>
      <c r="M66" s="28">
        <f t="shared" si="9"/>
        <v>181710000</v>
      </c>
    </row>
    <row r="67" spans="1:13" s="2" customFormat="1" ht="9.9499999999999993" customHeight="1" x14ac:dyDescent="0.35">
      <c r="A67" s="6" t="s">
        <v>10</v>
      </c>
      <c r="B67" s="20">
        <f>ROUND(('[5]Changes FY11'!B67),-3)</f>
        <v>0</v>
      </c>
      <c r="C67" s="20">
        <f>ROUND(('[5]Changes FY11'!C67),-3)</f>
        <v>0</v>
      </c>
      <c r="D67" s="20">
        <f>ROUND(('[5]Changes FY11'!D67),-3)</f>
        <v>0</v>
      </c>
      <c r="E67" s="20">
        <f>ROUND(('[5]Changes FY11'!E67),-3)</f>
        <v>0</v>
      </c>
      <c r="F67" s="20">
        <f>ROUND(('[5]Changes FY11'!F67),-3)</f>
        <v>0</v>
      </c>
      <c r="G67" s="20">
        <f>ROUND(('[5]Changes FY11'!G67),-3)</f>
        <v>0</v>
      </c>
      <c r="H67" s="20">
        <f>ROUND(('[5]Changes FY11'!H67),-3)</f>
        <v>0</v>
      </c>
      <c r="I67" s="28">
        <f t="shared" si="8"/>
        <v>0</v>
      </c>
      <c r="J67" s="28"/>
      <c r="K67" s="29">
        <f>ROUND(('[5]Changes FY11'!K67),-3)</f>
        <v>46628000</v>
      </c>
      <c r="L67" s="29">
        <f>ROUND(('[5]Changes FY11'!L67),-3)</f>
        <v>81782000</v>
      </c>
      <c r="M67" s="28">
        <f t="shared" si="9"/>
        <v>128410000</v>
      </c>
    </row>
    <row r="68" spans="1:13" s="2" customFormat="1" ht="9.9499999999999993" customHeight="1" x14ac:dyDescent="0.35">
      <c r="A68" s="6" t="s">
        <v>9</v>
      </c>
      <c r="B68" s="20">
        <f>ROUND(('[5]Changes FY11'!B68),-3)</f>
        <v>0</v>
      </c>
      <c r="C68" s="20">
        <f>ROUND(('[5]Changes FY11'!C68),-3)</f>
        <v>0</v>
      </c>
      <c r="D68" s="20">
        <f>ROUND(('[5]Changes FY11'!D68),-3)</f>
        <v>0</v>
      </c>
      <c r="E68" s="20">
        <f>ROUND(('[5]Changes FY11'!E68),-3)</f>
        <v>0</v>
      </c>
      <c r="F68" s="20">
        <f>ROUND(('[5]Changes FY11'!F68),-3)</f>
        <v>0</v>
      </c>
      <c r="G68" s="20">
        <f>ROUND(('[5]Changes FY11'!G68),-3)</f>
        <v>0</v>
      </c>
      <c r="H68" s="20">
        <f>ROUND(('[5]Changes FY11'!H68),-3)</f>
        <v>0</v>
      </c>
      <c r="I68" s="28">
        <f t="shared" si="8"/>
        <v>0</v>
      </c>
      <c r="J68" s="28"/>
      <c r="K68" s="29">
        <f>ROUND(('[5]Changes FY11'!K68),-3)</f>
        <v>1140467000</v>
      </c>
      <c r="L68" s="29">
        <f>ROUND(('[5]Changes FY11'!L68),-3)</f>
        <v>1307399000</v>
      </c>
      <c r="M68" s="28">
        <f t="shared" si="9"/>
        <v>2447866000</v>
      </c>
    </row>
    <row r="69" spans="1:13" s="2" customFormat="1" x14ac:dyDescent="0.35">
      <c r="A69" s="6" t="s">
        <v>8</v>
      </c>
      <c r="B69" s="20">
        <f>ROUND(('[5]Changes FY11'!B69),-3)</f>
        <v>0</v>
      </c>
      <c r="C69" s="20">
        <f>ROUND(('[5]Changes FY11'!C69),-3)</f>
        <v>0</v>
      </c>
      <c r="D69" s="20">
        <f>ROUND(('[5]Changes FY11'!D69),-3)</f>
        <v>0</v>
      </c>
      <c r="E69" s="20">
        <f>ROUND(('[5]Changes FY11'!E69),-3)</f>
        <v>0</v>
      </c>
      <c r="F69" s="20">
        <f>ROUND(('[5]Changes FY11'!F69),-3)</f>
        <v>0</v>
      </c>
      <c r="G69" s="20">
        <f>ROUND(('[5]Changes FY11'!G69),-3)</f>
        <v>0</v>
      </c>
      <c r="H69" s="20">
        <f>ROUND(('[5]Changes FY11'!H69),-3)</f>
        <v>0</v>
      </c>
      <c r="I69" s="28">
        <f t="shared" si="8"/>
        <v>0</v>
      </c>
      <c r="J69" s="28"/>
      <c r="K69" s="29">
        <f>ROUND(('[5]Changes FY11'!K69),-3)</f>
        <v>0</v>
      </c>
      <c r="L69" s="29">
        <f>ROUND(('[5]Changes FY11'!L69),-3)</f>
        <v>0</v>
      </c>
      <c r="M69" s="28">
        <f t="shared" si="9"/>
        <v>0</v>
      </c>
    </row>
    <row r="70" spans="1:13" s="2" customFormat="1" x14ac:dyDescent="0.35">
      <c r="A70" s="6" t="s">
        <v>7</v>
      </c>
      <c r="B70" s="20">
        <f>ROUND(('[5]Changes FY11'!B70),-3)</f>
        <v>0</v>
      </c>
      <c r="C70" s="20">
        <f>ROUND(('[5]Changes FY11'!C70),-3)</f>
        <v>0</v>
      </c>
      <c r="D70" s="20">
        <f>ROUND(('[5]Changes FY11'!D70),-3)</f>
        <v>0</v>
      </c>
      <c r="E70" s="20">
        <f>ROUND(('[5]Changes FY11'!E70),-3)</f>
        <v>0</v>
      </c>
      <c r="F70" s="20">
        <f>ROUND(('[5]Changes FY11'!F70),-3)</f>
        <v>0</v>
      </c>
      <c r="G70" s="20">
        <f>ROUND(('[5]Changes FY11'!G70),-3)</f>
        <v>1069307000</v>
      </c>
      <c r="H70" s="20">
        <f>ROUND(('[5]Changes FY11'!H70),-3)</f>
        <v>0</v>
      </c>
      <c r="I70" s="28">
        <f t="shared" si="8"/>
        <v>1069307000</v>
      </c>
      <c r="J70" s="28"/>
      <c r="K70" s="29">
        <f>ROUND(('[5]Changes FY11'!K70),-3)</f>
        <v>0</v>
      </c>
      <c r="L70" s="29">
        <f>ROUND(('[5]Changes FY11'!L70),-3)</f>
        <v>0</v>
      </c>
      <c r="M70" s="28">
        <f t="shared" si="9"/>
        <v>1069307000</v>
      </c>
    </row>
    <row r="71" spans="1:13" s="2" customFormat="1" x14ac:dyDescent="0.35">
      <c r="A71" s="6" t="s">
        <v>6</v>
      </c>
      <c r="B71" s="20">
        <f>ROUND(('[5]Changes FY11'!B71),-3)</f>
        <v>0</v>
      </c>
      <c r="C71" s="20">
        <f>ROUND(('[5]Changes FY11'!C71),-3)</f>
        <v>0</v>
      </c>
      <c r="D71" s="20">
        <f>ROUND(('[5]Changes FY11'!D71),-3)</f>
        <v>0</v>
      </c>
      <c r="E71" s="20">
        <f>ROUND(('[5]Changes FY11'!E71),-3)</f>
        <v>0</v>
      </c>
      <c r="F71" s="20">
        <f>ROUND(('[5]Changes FY11'!F71),-3)</f>
        <v>0</v>
      </c>
      <c r="G71" s="20">
        <f>ROUND(('[5]Changes FY11'!G71),-3)</f>
        <v>0</v>
      </c>
      <c r="H71" s="20">
        <f>ROUND(('[5]Changes FY11'!H71),-3)</f>
        <v>0</v>
      </c>
      <c r="I71" s="28">
        <f t="shared" si="8"/>
        <v>0</v>
      </c>
      <c r="J71" s="28"/>
      <c r="K71" s="29">
        <f>ROUND(('[5]Changes FY11'!K71),-3)</f>
        <v>0</v>
      </c>
      <c r="L71" s="29">
        <f>ROUND(('[5]Changes FY11'!L71),-3)</f>
        <v>0</v>
      </c>
      <c r="M71" s="28">
        <f t="shared" si="9"/>
        <v>0</v>
      </c>
    </row>
    <row r="72" spans="1:13" s="2" customFormat="1" x14ac:dyDescent="0.35">
      <c r="A72" s="6" t="s">
        <v>5</v>
      </c>
      <c r="B72" s="20">
        <f>ROUND(('[5]Changes FY11'!B72),-3)</f>
        <v>0</v>
      </c>
      <c r="C72" s="20">
        <f>ROUND(('[5]Changes FY11'!C72),-3)</f>
        <v>0</v>
      </c>
      <c r="D72" s="20">
        <f>ROUND(('[5]Changes FY11'!D72),-3)</f>
        <v>0</v>
      </c>
      <c r="E72" s="20">
        <f>ROUND(('[5]Changes FY11'!E72),-3)</f>
        <v>0</v>
      </c>
      <c r="F72" s="20">
        <f>ROUND(('[5]Changes FY11'!F72),-3)</f>
        <v>0</v>
      </c>
      <c r="G72" s="20">
        <f>ROUND(('[5]Changes FY11'!G72),-3)</f>
        <v>0</v>
      </c>
      <c r="H72" s="20">
        <f>ROUND(('[5]Changes FY11'!H72),-3)</f>
        <v>0</v>
      </c>
      <c r="I72" s="28">
        <f t="shared" si="8"/>
        <v>0</v>
      </c>
      <c r="J72" s="28"/>
      <c r="K72" s="29">
        <f>ROUND(('[5]Changes FY11'!K72),-3)</f>
        <v>0</v>
      </c>
      <c r="L72" s="29">
        <f>ROUND(('[5]Changes FY11'!L72),-3)</f>
        <v>0</v>
      </c>
      <c r="M72" s="28">
        <f t="shared" si="9"/>
        <v>0</v>
      </c>
    </row>
    <row r="73" spans="1:13" s="2" customFormat="1" x14ac:dyDescent="0.35">
      <c r="A73" s="6" t="s">
        <v>4</v>
      </c>
      <c r="B73" s="20">
        <f>ROUND(('[5]Changes FY11'!B73),-3)</f>
        <v>0</v>
      </c>
      <c r="C73" s="20">
        <f>ROUND(('[5]Changes FY11'!C73),-3)</f>
        <v>0</v>
      </c>
      <c r="D73" s="20">
        <f>ROUND(('[5]Changes FY11'!D73),-3)</f>
        <v>0</v>
      </c>
      <c r="E73" s="20">
        <f>ROUND(('[5]Changes FY11'!E73),-3)</f>
        <v>0</v>
      </c>
      <c r="F73" s="20">
        <f>ROUND(('[5]Changes FY11'!F73),-3)</f>
        <v>0</v>
      </c>
      <c r="G73" s="20">
        <f>ROUND(('[5]Changes FY11'!G73),-3)</f>
        <v>0</v>
      </c>
      <c r="H73" s="20">
        <f>ROUND(('[5]Changes FY11'!H73),-3)</f>
        <v>0</v>
      </c>
      <c r="I73" s="28">
        <f t="shared" si="8"/>
        <v>0</v>
      </c>
      <c r="J73" s="28"/>
      <c r="K73" s="29">
        <f>ROUND(('[5]Changes FY11'!K73),-3)</f>
        <v>0</v>
      </c>
      <c r="L73" s="29">
        <f>ROUND(('[5]Changes FY11'!L73),-3)</f>
        <v>0</v>
      </c>
      <c r="M73" s="28">
        <f t="shared" si="9"/>
        <v>0</v>
      </c>
    </row>
    <row r="74" spans="1:13" s="2" customFormat="1" x14ac:dyDescent="0.35">
      <c r="A74" s="6" t="s">
        <v>3</v>
      </c>
      <c r="B74" s="20">
        <f>ROUND(('[5]Changes FY11'!B74),-3)</f>
        <v>0</v>
      </c>
      <c r="C74" s="20">
        <f>ROUND(('[5]Changes FY11'!C74),-3)</f>
        <v>0</v>
      </c>
      <c r="D74" s="20">
        <f>ROUND(('[5]Changes FY11'!D74),-3)</f>
        <v>0</v>
      </c>
      <c r="E74" s="20">
        <f>ROUND(('[5]Changes FY11'!E74),-3)-1000</f>
        <v>71794000</v>
      </c>
      <c r="F74" s="20">
        <f>ROUND(('[5]Changes FY11'!F74),-3)</f>
        <v>0</v>
      </c>
      <c r="G74" s="20">
        <f>ROUND(('[5]Changes FY11'!G74),-3)</f>
        <v>0</v>
      </c>
      <c r="H74" s="20">
        <f>ROUND(('[5]Changes FY11'!H74),-3)</f>
        <v>0</v>
      </c>
      <c r="I74" s="28">
        <f t="shared" si="8"/>
        <v>71794000</v>
      </c>
      <c r="J74" s="28"/>
      <c r="K74" s="29">
        <f>ROUND(('[5]Changes FY11'!K74),-3)</f>
        <v>0</v>
      </c>
      <c r="L74" s="29">
        <f>ROUND(('[5]Changes FY11'!L74),-3)</f>
        <v>0</v>
      </c>
      <c r="M74" s="28">
        <f t="shared" si="9"/>
        <v>71794000</v>
      </c>
    </row>
    <row r="75" spans="1:13" s="2" customFormat="1" x14ac:dyDescent="0.35">
      <c r="A75" s="6" t="s">
        <v>2</v>
      </c>
      <c r="B75" s="20">
        <f>ROUND(('[5]Changes FY11'!B75),-3)</f>
        <v>0</v>
      </c>
      <c r="C75" s="20">
        <f>ROUND(('[5]Changes FY11'!C75),-3)</f>
        <v>0</v>
      </c>
      <c r="D75" s="20">
        <f>ROUND(('[5]Changes FY11'!D75),-3)</f>
        <v>0</v>
      </c>
      <c r="E75" s="20">
        <f>ROUND(('[5]Changes FY11'!E75),-3)</f>
        <v>0</v>
      </c>
      <c r="F75" s="20">
        <f>ROUND(('[5]Changes FY11'!F75),-3)</f>
        <v>796158000</v>
      </c>
      <c r="G75" s="20">
        <f>ROUND(('[5]Changes FY11'!G75),-3)</f>
        <v>0</v>
      </c>
      <c r="H75" s="20">
        <f>ROUND(('[5]Changes FY11'!H75),-3)</f>
        <v>0</v>
      </c>
      <c r="I75" s="28">
        <f t="shared" si="8"/>
        <v>796158000</v>
      </c>
      <c r="J75" s="28"/>
      <c r="K75" s="29">
        <f>ROUND(('[5]Changes FY11'!K75),-3)</f>
        <v>0</v>
      </c>
      <c r="L75" s="29">
        <f>ROUND(('[5]Changes FY11'!L75),-3)</f>
        <v>0</v>
      </c>
      <c r="M75" s="28">
        <f t="shared" si="9"/>
        <v>796158000</v>
      </c>
    </row>
    <row r="76" spans="1:13" s="2" customFormat="1" ht="12" thickBot="1" x14ac:dyDescent="0.45">
      <c r="A76" s="27"/>
      <c r="B76" s="26">
        <f t="shared" ref="B76:I76" si="10">SUM(B60:B75)</f>
        <v>0</v>
      </c>
      <c r="C76" s="25">
        <f t="shared" si="10"/>
        <v>-131751000</v>
      </c>
      <c r="D76" s="25">
        <f t="shared" si="10"/>
        <v>749163000</v>
      </c>
      <c r="E76" s="25">
        <f t="shared" si="10"/>
        <v>173020000</v>
      </c>
      <c r="F76" s="25">
        <f t="shared" si="10"/>
        <v>796158000</v>
      </c>
      <c r="G76" s="25">
        <f t="shared" si="10"/>
        <v>1069307000</v>
      </c>
      <c r="H76" s="25">
        <f t="shared" si="10"/>
        <v>-11677000</v>
      </c>
      <c r="I76" s="23">
        <f t="shared" si="10"/>
        <v>2644220000</v>
      </c>
      <c r="J76" s="24"/>
      <c r="K76" s="23">
        <f>SUM(K60:K75)</f>
        <v>1449152000</v>
      </c>
      <c r="L76" s="23">
        <f>SUM(L60:L75)</f>
        <v>1635486000</v>
      </c>
      <c r="M76" s="23">
        <f>SUM(M60:M75)</f>
        <v>5728858000</v>
      </c>
    </row>
    <row r="77" spans="1:13" s="2" customFormat="1" ht="10.7" thickTop="1" x14ac:dyDescent="0.35">
      <c r="A77" s="21" t="s">
        <v>1</v>
      </c>
      <c r="B77" s="19"/>
      <c r="C77" s="19"/>
      <c r="D77" s="19"/>
      <c r="E77" s="19"/>
      <c r="F77" s="19"/>
      <c r="G77" s="19"/>
      <c r="H77" s="19"/>
      <c r="I77" s="19"/>
      <c r="J77" s="20"/>
      <c r="K77" s="19"/>
      <c r="L77" s="19"/>
      <c r="M77" s="19"/>
    </row>
    <row r="78" spans="1:13" s="2" customFormat="1" x14ac:dyDescent="0.35">
      <c r="A78" s="2" t="s">
        <v>0</v>
      </c>
      <c r="B78" s="18">
        <f t="shared" ref="B78:M78" si="11">B56-B76</f>
        <v>0</v>
      </c>
      <c r="C78" s="18">
        <f t="shared" si="11"/>
        <v>0</v>
      </c>
      <c r="D78" s="18">
        <f t="shared" si="11"/>
        <v>0</v>
      </c>
      <c r="E78" s="18">
        <f t="shared" si="11"/>
        <v>0</v>
      </c>
      <c r="F78" s="18">
        <f t="shared" si="11"/>
        <v>0</v>
      </c>
      <c r="G78" s="18">
        <f t="shared" si="11"/>
        <v>0</v>
      </c>
      <c r="H78" s="18">
        <f t="shared" si="11"/>
        <v>0</v>
      </c>
      <c r="I78" s="18">
        <f t="shared" si="11"/>
        <v>0</v>
      </c>
      <c r="J78" s="18">
        <f t="shared" si="11"/>
        <v>0</v>
      </c>
      <c r="K78" s="18">
        <f t="shared" si="11"/>
        <v>0</v>
      </c>
      <c r="L78" s="18">
        <f t="shared" si="11"/>
        <v>0</v>
      </c>
      <c r="M78" s="18">
        <f t="shared" si="11"/>
        <v>0</v>
      </c>
    </row>
    <row r="79" spans="1:13" s="2" customFormat="1" x14ac:dyDescent="0.35"/>
    <row r="80" spans="1:13" s="2" customFormat="1" x14ac:dyDescent="0.35">
      <c r="D80" s="17"/>
    </row>
    <row r="81" spans="1:13" s="2" customFormat="1" x14ac:dyDescent="0.35">
      <c r="G81" s="14"/>
      <c r="H81" s="14"/>
      <c r="I81" s="14"/>
      <c r="J81" s="14"/>
      <c r="K81" s="14"/>
    </row>
    <row r="82" spans="1:13" s="2" customFormat="1" x14ac:dyDescent="0.35">
      <c r="G82" s="14"/>
      <c r="H82" s="16"/>
      <c r="I82" s="16"/>
      <c r="J82" s="14"/>
      <c r="K82" s="14"/>
    </row>
    <row r="83" spans="1:13" ht="11.1" customHeight="1" x14ac:dyDescent="0.35">
      <c r="A83" s="2"/>
      <c r="B83" s="2"/>
      <c r="C83" s="2"/>
      <c r="D83" s="2"/>
      <c r="E83" s="2"/>
      <c r="G83" s="15"/>
      <c r="H83" s="15"/>
      <c r="I83" s="15"/>
      <c r="J83" s="14"/>
      <c r="K83" s="15"/>
      <c r="L83" s="2"/>
      <c r="M83" s="2"/>
    </row>
    <row r="84" spans="1:13" x14ac:dyDescent="0.35">
      <c r="A84" s="2"/>
      <c r="B84" s="2"/>
      <c r="C84" s="2"/>
      <c r="D84" s="2"/>
      <c r="E84" s="2"/>
      <c r="G84" s="15"/>
      <c r="H84" s="15"/>
      <c r="I84" s="15"/>
      <c r="J84" s="14"/>
      <c r="K84" s="14"/>
      <c r="L84" s="2"/>
      <c r="M84" s="2"/>
    </row>
    <row r="85" spans="1:13" x14ac:dyDescent="0.35">
      <c r="A85" s="2"/>
      <c r="B85" s="2"/>
      <c r="C85" s="2"/>
      <c r="D85" s="2"/>
      <c r="E85" s="2"/>
      <c r="G85" s="15"/>
      <c r="H85" s="15"/>
      <c r="I85" s="15"/>
      <c r="J85" s="14"/>
      <c r="K85" s="15"/>
      <c r="L85" s="2"/>
      <c r="M85" s="2"/>
    </row>
    <row r="86" spans="1:13" ht="11.1" customHeight="1" x14ac:dyDescent="0.35">
      <c r="A86" s="2"/>
      <c r="B86" s="2"/>
      <c r="C86" s="2"/>
      <c r="D86" s="2"/>
      <c r="E86" s="2"/>
      <c r="G86" s="15"/>
      <c r="H86" s="15"/>
      <c r="I86" s="15"/>
      <c r="J86" s="14"/>
      <c r="K86" s="14"/>
      <c r="L86" s="2"/>
      <c r="M86" s="2"/>
    </row>
    <row r="87" spans="1:13" x14ac:dyDescent="0.35">
      <c r="A87" s="2"/>
      <c r="B87" s="2"/>
      <c r="C87" s="2"/>
      <c r="D87" s="2"/>
      <c r="E87" s="2"/>
      <c r="G87" s="15"/>
      <c r="H87" s="15"/>
      <c r="I87" s="15"/>
      <c r="J87" s="14"/>
      <c r="K87" s="14"/>
      <c r="L87" s="2"/>
      <c r="M87" s="2"/>
    </row>
    <row r="88" spans="1:13" x14ac:dyDescent="0.35">
      <c r="A88" s="2"/>
      <c r="B88" s="2"/>
      <c r="C88" s="2"/>
      <c r="D88" s="2"/>
      <c r="E88" s="2"/>
      <c r="K88" s="2"/>
      <c r="L88" s="2"/>
      <c r="M88" s="2"/>
    </row>
    <row r="89" spans="1:13" x14ac:dyDescent="0.35">
      <c r="A89" s="2"/>
      <c r="B89" s="2"/>
      <c r="C89" s="2"/>
      <c r="D89" s="2"/>
      <c r="E89" s="2"/>
      <c r="K89" s="2"/>
      <c r="L89" s="2"/>
      <c r="M89" s="2"/>
    </row>
    <row r="90" spans="1:13" x14ac:dyDescent="0.35">
      <c r="A90" s="2"/>
      <c r="B90" s="2"/>
      <c r="C90" s="2"/>
      <c r="D90" s="2"/>
      <c r="E90" s="2"/>
      <c r="K90" s="2"/>
      <c r="L90" s="2"/>
      <c r="M90" s="2"/>
    </row>
    <row r="91" spans="1:13" x14ac:dyDescent="0.35">
      <c r="A91" s="2"/>
      <c r="B91" s="2"/>
      <c r="C91" s="2"/>
      <c r="D91" s="2"/>
      <c r="E91" s="2"/>
      <c r="K91" s="2"/>
      <c r="L91" s="2"/>
      <c r="M91" s="2"/>
    </row>
    <row r="92" spans="1:13" x14ac:dyDescent="0.35">
      <c r="A92" s="2"/>
      <c r="B92" s="2"/>
      <c r="C92" s="2"/>
      <c r="D92" s="2"/>
      <c r="E92" s="2"/>
      <c r="K92" s="2"/>
      <c r="L92" s="2"/>
      <c r="M92" s="2"/>
    </row>
    <row r="93" spans="1:13" x14ac:dyDescent="0.35">
      <c r="A93" s="2"/>
      <c r="B93" s="2"/>
      <c r="C93" s="2"/>
      <c r="D93" s="2"/>
      <c r="E93" s="2"/>
      <c r="K93" s="2"/>
      <c r="L93" s="2"/>
      <c r="M93" s="2"/>
    </row>
    <row r="94" spans="1:13" x14ac:dyDescent="0.35">
      <c r="A94" s="2"/>
      <c r="B94" s="2"/>
      <c r="C94" s="2"/>
      <c r="D94" s="2"/>
      <c r="E94" s="2"/>
      <c r="K94" s="2"/>
      <c r="L94" s="2"/>
      <c r="M94" s="2"/>
    </row>
    <row r="95" spans="1:13" x14ac:dyDescent="0.35">
      <c r="A95" s="2"/>
      <c r="B95" s="2"/>
      <c r="C95" s="2"/>
      <c r="D95" s="2"/>
      <c r="E95" s="2"/>
      <c r="K95" s="2"/>
      <c r="L95" s="2"/>
      <c r="M95" s="2"/>
    </row>
    <row r="96" spans="1:13" x14ac:dyDescent="0.35">
      <c r="A96" s="2"/>
      <c r="B96" s="2"/>
      <c r="C96" s="2"/>
      <c r="D96" s="2"/>
      <c r="E96" s="2"/>
      <c r="K96" s="2"/>
      <c r="L96" s="2"/>
      <c r="M96" s="2"/>
    </row>
    <row r="97" spans="1:13" x14ac:dyDescent="0.35">
      <c r="A97" s="2"/>
      <c r="B97" s="2"/>
      <c r="C97" s="2"/>
      <c r="D97" s="2"/>
      <c r="E97" s="2"/>
      <c r="K97" s="2"/>
      <c r="L97" s="2"/>
      <c r="M97" s="2"/>
    </row>
    <row r="98" spans="1:13" x14ac:dyDescent="0.35">
      <c r="A98" s="2"/>
      <c r="B98" s="2"/>
      <c r="C98" s="2"/>
      <c r="D98" s="2"/>
      <c r="E98" s="2"/>
      <c r="K98" s="2"/>
      <c r="L98" s="2"/>
      <c r="M98" s="2"/>
    </row>
    <row r="99" spans="1:13" x14ac:dyDescent="0.35">
      <c r="A99" s="2"/>
      <c r="B99" s="2"/>
      <c r="C99" s="2"/>
      <c r="D99" s="2"/>
      <c r="E99" s="2"/>
      <c r="K99" s="2"/>
      <c r="L99" s="2"/>
      <c r="M99" s="2"/>
    </row>
    <row r="100" spans="1:13" x14ac:dyDescent="0.35">
      <c r="A100" s="2"/>
      <c r="B100" s="2"/>
      <c r="C100" s="2"/>
      <c r="D100" s="2"/>
      <c r="E100" s="2"/>
      <c r="K100" s="2"/>
      <c r="L100" s="2"/>
      <c r="M100" s="2"/>
    </row>
    <row r="101" spans="1:13" x14ac:dyDescent="0.35">
      <c r="A101" s="2"/>
      <c r="B101" s="2"/>
      <c r="C101" s="2"/>
      <c r="D101" s="2"/>
      <c r="E101" s="2"/>
      <c r="F101" s="5"/>
      <c r="G101" s="5"/>
      <c r="H101" s="5"/>
      <c r="I101" s="5"/>
      <c r="K101" s="2"/>
      <c r="L101" s="2"/>
      <c r="M101" s="2"/>
    </row>
    <row r="102" spans="1:13" x14ac:dyDescent="0.35">
      <c r="A102" s="2"/>
      <c r="B102" s="2"/>
      <c r="C102" s="2"/>
      <c r="D102" s="2"/>
      <c r="E102" s="2"/>
      <c r="F102" s="5"/>
      <c r="G102" s="5"/>
      <c r="H102" s="5"/>
      <c r="I102" s="5"/>
      <c r="K102" s="2"/>
      <c r="L102" s="2"/>
      <c r="M102" s="2"/>
    </row>
    <row r="103" spans="1:13" x14ac:dyDescent="0.35">
      <c r="A103" s="2"/>
      <c r="B103" s="2"/>
      <c r="C103" s="2"/>
      <c r="D103" s="2"/>
      <c r="E103" s="2"/>
      <c r="F103" s="2"/>
      <c r="G103" s="2"/>
      <c r="H103" s="2"/>
      <c r="I103" s="13"/>
      <c r="K103" s="2"/>
      <c r="L103" s="2"/>
      <c r="M103" s="2"/>
    </row>
    <row r="104" spans="1:13" x14ac:dyDescent="0.35">
      <c r="A104" s="2"/>
      <c r="B104" s="2"/>
      <c r="C104" s="2"/>
      <c r="D104" s="2"/>
      <c r="E104" s="2"/>
      <c r="F104" s="2"/>
      <c r="G104" s="2"/>
      <c r="H104" s="2"/>
      <c r="I104" s="13"/>
      <c r="K104" s="2"/>
      <c r="L104" s="2"/>
      <c r="M104" s="2"/>
    </row>
    <row r="105" spans="1:13" x14ac:dyDescent="0.35">
      <c r="A105" s="2"/>
      <c r="B105" s="2"/>
      <c r="C105" s="2"/>
      <c r="D105" s="2"/>
      <c r="E105" s="2"/>
      <c r="F105" s="2"/>
      <c r="G105" s="2"/>
      <c r="H105" s="2"/>
      <c r="K105" s="2"/>
      <c r="L105" s="2"/>
      <c r="M105" s="2"/>
    </row>
    <row r="106" spans="1:13" x14ac:dyDescent="0.35">
      <c r="A106" s="2"/>
      <c r="B106" s="2"/>
      <c r="C106" s="2"/>
      <c r="D106" s="2"/>
      <c r="E106" s="2"/>
      <c r="F106" s="2"/>
      <c r="G106" s="2"/>
      <c r="H106" s="2"/>
      <c r="I106" s="12"/>
      <c r="K106" s="2"/>
      <c r="L106" s="2"/>
      <c r="M106" s="2"/>
    </row>
    <row r="107" spans="1:13" x14ac:dyDescent="0.35">
      <c r="A107" s="2"/>
      <c r="B107" s="2"/>
      <c r="C107" s="2"/>
      <c r="D107" s="2"/>
      <c r="E107" s="2"/>
      <c r="F107" s="2"/>
      <c r="G107" s="2"/>
      <c r="H107" s="2"/>
      <c r="I107" s="12"/>
      <c r="K107" s="2"/>
      <c r="L107" s="2"/>
      <c r="M107" s="2"/>
    </row>
    <row r="108" spans="1:13" x14ac:dyDescent="0.35">
      <c r="A108" s="2"/>
      <c r="B108" s="2"/>
      <c r="C108" s="2"/>
      <c r="D108" s="2"/>
      <c r="E108" s="2"/>
      <c r="F108" s="2"/>
      <c r="G108" s="2"/>
      <c r="H108" s="2"/>
      <c r="I108" s="12"/>
      <c r="K108" s="2"/>
      <c r="L108" s="2"/>
      <c r="M108" s="2"/>
    </row>
    <row r="109" spans="1:13" x14ac:dyDescent="0.35">
      <c r="A109" s="2"/>
      <c r="B109" s="2"/>
      <c r="C109" s="2"/>
      <c r="D109" s="2"/>
      <c r="E109" s="2"/>
      <c r="F109" s="2"/>
      <c r="G109" s="2"/>
      <c r="H109" s="2"/>
      <c r="I109" s="12"/>
      <c r="K109" s="2"/>
      <c r="L109" s="2"/>
      <c r="M109" s="2"/>
    </row>
    <row r="110" spans="1:13" ht="11.1" customHeight="1" x14ac:dyDescent="0.35">
      <c r="A110" s="2"/>
      <c r="B110" s="2"/>
      <c r="C110" s="2"/>
      <c r="D110" s="2"/>
      <c r="E110" s="2"/>
      <c r="F110" s="2"/>
      <c r="G110" s="2"/>
      <c r="H110" s="2"/>
      <c r="I110" s="12"/>
      <c r="K110" s="2"/>
      <c r="L110" s="2"/>
      <c r="M110" s="2"/>
    </row>
    <row r="111" spans="1:13" ht="11.1" customHeight="1" x14ac:dyDescent="0.35">
      <c r="A111" s="2"/>
      <c r="B111" s="2"/>
      <c r="C111" s="2"/>
      <c r="D111" s="2"/>
      <c r="E111" s="2"/>
      <c r="F111" s="2"/>
      <c r="G111" s="2"/>
      <c r="H111" s="2"/>
      <c r="I111" s="12"/>
      <c r="K111" s="2"/>
      <c r="L111" s="2"/>
      <c r="M111" s="2"/>
    </row>
    <row r="112" spans="1:13" ht="11.1" customHeight="1" x14ac:dyDescent="0.35">
      <c r="A112" s="2"/>
      <c r="B112" s="2"/>
      <c r="C112" s="2"/>
      <c r="D112" s="2"/>
      <c r="E112" s="2"/>
      <c r="F112" s="2"/>
      <c r="G112" s="2"/>
      <c r="H112" s="2"/>
      <c r="I112" s="12"/>
      <c r="K112" s="2"/>
      <c r="L112" s="2"/>
      <c r="M112" s="2"/>
    </row>
    <row r="113" spans="1:13" ht="11.1" customHeight="1" x14ac:dyDescent="0.35">
      <c r="A113" s="2"/>
      <c r="B113" s="2"/>
      <c r="C113" s="2"/>
      <c r="D113" s="2"/>
      <c r="E113" s="2"/>
      <c r="F113" s="2"/>
      <c r="G113" s="2"/>
      <c r="H113" s="2"/>
      <c r="I113" s="12"/>
      <c r="K113" s="2"/>
      <c r="L113" s="2"/>
      <c r="M113" s="2"/>
    </row>
    <row r="114" spans="1:13" ht="2.1" customHeight="1" x14ac:dyDescent="0.35">
      <c r="A114" s="2"/>
      <c r="B114" s="2"/>
      <c r="C114" s="2"/>
      <c r="D114" s="2"/>
      <c r="E114" s="2"/>
      <c r="F114" s="2"/>
      <c r="G114" s="2"/>
      <c r="H114" s="2"/>
      <c r="I114" s="12"/>
      <c r="K114" s="2"/>
      <c r="L114" s="2"/>
      <c r="M114" s="2"/>
    </row>
    <row r="115" spans="1:13" x14ac:dyDescent="0.35">
      <c r="A115" s="2"/>
      <c r="B115" s="2"/>
      <c r="C115" s="2"/>
      <c r="D115" s="2"/>
      <c r="E115" s="2"/>
      <c r="F115" s="2"/>
      <c r="G115" s="2"/>
      <c r="H115" s="2"/>
      <c r="I115" s="12"/>
      <c r="K115" s="2"/>
      <c r="L115" s="2"/>
      <c r="M115" s="2"/>
    </row>
    <row r="116" spans="1:13" x14ac:dyDescent="0.35">
      <c r="A116" s="2"/>
      <c r="B116" s="2"/>
      <c r="C116" s="2"/>
      <c r="D116" s="2"/>
      <c r="E116" s="2"/>
      <c r="F116" s="2"/>
      <c r="G116" s="2"/>
      <c r="H116" s="2"/>
      <c r="I116" s="2"/>
      <c r="K116" s="2"/>
      <c r="L116" s="2"/>
      <c r="M116" s="2"/>
    </row>
    <row r="117" spans="1:13" x14ac:dyDescent="0.35">
      <c r="A117" s="2"/>
      <c r="B117" s="2"/>
      <c r="C117" s="2"/>
      <c r="D117" s="2"/>
      <c r="E117" s="2"/>
      <c r="F117" s="2"/>
      <c r="G117" s="2"/>
      <c r="H117" s="2"/>
      <c r="I117" s="2"/>
      <c r="K117" s="2"/>
      <c r="L117" s="2"/>
      <c r="M117" s="2"/>
    </row>
    <row r="118" spans="1:13" x14ac:dyDescent="0.35">
      <c r="A118" s="2"/>
      <c r="B118" s="2"/>
      <c r="C118" s="2"/>
      <c r="D118" s="2"/>
      <c r="E118" s="2"/>
      <c r="F118" s="2"/>
      <c r="G118" s="2"/>
      <c r="H118" s="2"/>
      <c r="I118" s="2"/>
      <c r="K118" s="2"/>
      <c r="L118" s="2"/>
      <c r="M118" s="2"/>
    </row>
    <row r="119" spans="1:13" x14ac:dyDescent="0.35">
      <c r="A119" s="2"/>
      <c r="B119" s="2"/>
      <c r="C119" s="2"/>
      <c r="D119" s="2"/>
      <c r="E119" s="2"/>
      <c r="F119" s="2"/>
      <c r="G119" s="2"/>
      <c r="H119" s="2"/>
      <c r="I119" s="2"/>
      <c r="K119" s="2"/>
      <c r="L119" s="2"/>
      <c r="M119" s="2"/>
    </row>
    <row r="120" spans="1:13" x14ac:dyDescent="0.35">
      <c r="A120" s="2"/>
      <c r="B120" s="2"/>
      <c r="C120" s="2"/>
      <c r="D120" s="2"/>
      <c r="E120" s="2"/>
      <c r="F120" s="2"/>
      <c r="G120" s="2"/>
      <c r="H120" s="2"/>
      <c r="I120" s="2"/>
      <c r="K120" s="2"/>
      <c r="L120" s="2"/>
      <c r="M120" s="2"/>
    </row>
    <row r="121" spans="1:13" x14ac:dyDescent="0.35">
      <c r="A121" s="2"/>
      <c r="B121" s="2"/>
      <c r="C121" s="2"/>
      <c r="D121" s="2"/>
      <c r="E121" s="2"/>
      <c r="F121" s="2"/>
      <c r="G121" s="2"/>
      <c r="H121" s="2"/>
      <c r="I121" s="2"/>
      <c r="K121" s="2"/>
      <c r="L121" s="2"/>
      <c r="M121" s="2"/>
    </row>
    <row r="122" spans="1:13" x14ac:dyDescent="0.35">
      <c r="A122" s="2"/>
      <c r="B122" s="2"/>
      <c r="C122" s="2"/>
      <c r="D122" s="2"/>
      <c r="E122" s="2"/>
      <c r="F122" s="2"/>
      <c r="G122" s="2"/>
      <c r="H122" s="2"/>
      <c r="I122" s="2"/>
      <c r="K122" s="2"/>
      <c r="L122" s="2"/>
      <c r="M122" s="2"/>
    </row>
    <row r="123" spans="1:13" x14ac:dyDescent="0.35">
      <c r="A123" s="2"/>
      <c r="B123" s="2"/>
      <c r="C123" s="2"/>
      <c r="D123" s="2"/>
      <c r="E123" s="2"/>
      <c r="F123" s="2"/>
      <c r="G123" s="2"/>
      <c r="H123" s="2"/>
      <c r="I123" s="2"/>
      <c r="K123" s="2"/>
      <c r="L123" s="2"/>
      <c r="M123" s="2"/>
    </row>
    <row r="124" spans="1:13" x14ac:dyDescent="0.35">
      <c r="A124" s="2"/>
      <c r="B124" s="2"/>
      <c r="C124" s="2"/>
      <c r="D124" s="2"/>
      <c r="E124" s="2"/>
      <c r="F124" s="2"/>
      <c r="G124" s="2"/>
      <c r="H124" s="2"/>
      <c r="I124" s="2"/>
      <c r="K124" s="2"/>
      <c r="L124" s="2"/>
      <c r="M124" s="2"/>
    </row>
    <row r="125" spans="1:13" x14ac:dyDescent="0.35">
      <c r="A125" s="2"/>
      <c r="B125" s="2"/>
      <c r="C125" s="2"/>
      <c r="D125" s="2"/>
      <c r="E125" s="2"/>
      <c r="F125" s="2"/>
      <c r="G125" s="2"/>
      <c r="H125" s="2"/>
      <c r="I125" s="2"/>
      <c r="K125" s="2"/>
      <c r="L125" s="2"/>
      <c r="M125" s="2"/>
    </row>
    <row r="126" spans="1:13" x14ac:dyDescent="0.35">
      <c r="A126" s="2"/>
      <c r="B126" s="2"/>
      <c r="C126" s="2"/>
      <c r="D126" s="2"/>
      <c r="E126" s="2"/>
      <c r="F126" s="2"/>
      <c r="G126" s="2"/>
      <c r="H126" s="2"/>
      <c r="I126" s="2"/>
      <c r="K126" s="2"/>
      <c r="L126" s="2"/>
      <c r="M126" s="2"/>
    </row>
    <row r="127" spans="1:13" x14ac:dyDescent="0.35">
      <c r="A127" s="2"/>
      <c r="B127" s="2"/>
      <c r="C127" s="2"/>
      <c r="D127" s="2"/>
      <c r="E127" s="2"/>
      <c r="F127" s="2"/>
      <c r="G127" s="2"/>
      <c r="H127" s="2"/>
      <c r="I127" s="2"/>
      <c r="K127" s="2"/>
      <c r="L127" s="2"/>
      <c r="M127" s="2"/>
    </row>
    <row r="128" spans="1:13" x14ac:dyDescent="0.35">
      <c r="A128" s="2"/>
      <c r="B128" s="2"/>
      <c r="C128" s="2"/>
      <c r="D128" s="2"/>
      <c r="E128" s="2"/>
      <c r="F128" s="2"/>
      <c r="G128" s="2"/>
      <c r="H128" s="2"/>
      <c r="I128" s="2"/>
      <c r="K128" s="2"/>
      <c r="L128" s="2"/>
      <c r="M128" s="2"/>
    </row>
    <row r="129" spans="1:225" x14ac:dyDescent="0.35">
      <c r="A129" s="2"/>
      <c r="B129" s="2"/>
      <c r="C129" s="2"/>
      <c r="D129" s="2"/>
      <c r="E129" s="2"/>
      <c r="F129" s="2"/>
      <c r="G129" s="2"/>
      <c r="H129" s="2"/>
      <c r="I129" s="2"/>
      <c r="K129" s="2"/>
      <c r="L129" s="2"/>
      <c r="M129" s="2"/>
    </row>
    <row r="130" spans="1:225" x14ac:dyDescent="0.35">
      <c r="A130" s="2"/>
      <c r="B130" s="2"/>
      <c r="C130" s="2"/>
      <c r="D130" s="2"/>
      <c r="E130" s="2"/>
      <c r="F130" s="2"/>
      <c r="G130" s="2"/>
      <c r="H130" s="2"/>
      <c r="I130" s="2"/>
      <c r="K130" s="2"/>
      <c r="L130" s="2"/>
      <c r="M130" s="2"/>
    </row>
    <row r="131" spans="1:225" x14ac:dyDescent="0.35">
      <c r="A131" s="2"/>
      <c r="B131" s="2"/>
      <c r="C131" s="2"/>
      <c r="D131" s="2"/>
      <c r="E131" s="2"/>
      <c r="F131" s="2"/>
      <c r="G131" s="2"/>
      <c r="H131" s="2"/>
      <c r="I131" s="2"/>
      <c r="K131" s="2"/>
      <c r="L131" s="2"/>
      <c r="M131" s="2"/>
    </row>
    <row r="132" spans="1:225" x14ac:dyDescent="0.35">
      <c r="A132" s="2"/>
      <c r="B132" s="2"/>
      <c r="C132" s="2"/>
      <c r="D132" s="2"/>
      <c r="E132" s="2"/>
      <c r="F132" s="2"/>
      <c r="G132" s="2"/>
      <c r="H132" s="2"/>
      <c r="I132" s="2"/>
      <c r="K132" s="2"/>
      <c r="L132" s="2"/>
      <c r="M132" s="2"/>
    </row>
    <row r="133" spans="1:225" x14ac:dyDescent="0.35">
      <c r="A133" s="2"/>
      <c r="B133" s="2"/>
      <c r="C133" s="2"/>
      <c r="D133" s="2"/>
      <c r="E133" s="2"/>
      <c r="F133" s="2"/>
      <c r="G133" s="2"/>
      <c r="H133" s="2"/>
      <c r="I133" s="2"/>
      <c r="K133" s="2"/>
      <c r="L133" s="2"/>
      <c r="M133" s="2"/>
    </row>
    <row r="134" spans="1:225" x14ac:dyDescent="0.35">
      <c r="A134" s="2"/>
      <c r="B134" s="2"/>
      <c r="C134" s="2"/>
      <c r="D134" s="2"/>
      <c r="E134" s="2"/>
      <c r="F134" s="2"/>
      <c r="G134" s="2"/>
      <c r="H134" s="2"/>
      <c r="I134" s="2"/>
      <c r="K134" s="2"/>
      <c r="L134" s="2"/>
      <c r="M134" s="2"/>
    </row>
    <row r="135" spans="1:225" x14ac:dyDescent="0.35">
      <c r="A135" s="2"/>
      <c r="B135" s="2"/>
      <c r="C135" s="2"/>
      <c r="D135" s="2"/>
      <c r="E135" s="2"/>
      <c r="F135" s="2"/>
      <c r="G135" s="2"/>
      <c r="H135" s="2"/>
      <c r="I135" s="2"/>
      <c r="K135" s="2"/>
      <c r="L135" s="2"/>
      <c r="M135" s="2"/>
    </row>
    <row r="136" spans="1:225" x14ac:dyDescent="0.35">
      <c r="A136" s="2"/>
      <c r="B136" s="2"/>
      <c r="C136" s="2"/>
      <c r="D136" s="2"/>
      <c r="E136" s="2"/>
      <c r="F136" s="2"/>
      <c r="G136" s="2"/>
      <c r="H136" s="2"/>
      <c r="I136" s="2"/>
      <c r="K136" s="2"/>
      <c r="L136" s="2"/>
      <c r="M136" s="2"/>
    </row>
    <row r="137" spans="1:225" x14ac:dyDescent="0.35">
      <c r="A137" s="2"/>
      <c r="B137" s="2"/>
      <c r="C137" s="2"/>
      <c r="D137" s="2"/>
      <c r="E137" s="2"/>
      <c r="F137" s="2"/>
      <c r="G137" s="2"/>
      <c r="H137" s="2"/>
      <c r="I137" s="2"/>
      <c r="K137" s="2"/>
      <c r="L137" s="2"/>
      <c r="M137" s="2"/>
    </row>
    <row r="138" spans="1:225" x14ac:dyDescent="0.35">
      <c r="A138" s="2"/>
      <c r="B138" s="2"/>
      <c r="C138" s="2"/>
      <c r="D138" s="2"/>
      <c r="E138" s="2"/>
      <c r="F138" s="2"/>
      <c r="G138" s="2"/>
      <c r="H138" s="2"/>
      <c r="I138" s="2"/>
      <c r="K138" s="2"/>
      <c r="L138" s="2"/>
      <c r="M138" s="2"/>
    </row>
    <row r="139" spans="1:225" x14ac:dyDescent="0.35">
      <c r="A139" s="2"/>
      <c r="B139" s="2"/>
      <c r="C139" s="2"/>
      <c r="D139" s="2"/>
      <c r="E139" s="2"/>
      <c r="F139" s="2"/>
      <c r="G139" s="2"/>
      <c r="H139" s="2"/>
      <c r="I139" s="2"/>
      <c r="K139" s="2"/>
      <c r="L139" s="2"/>
      <c r="M139" s="2"/>
    </row>
    <row r="140" spans="1:225" x14ac:dyDescent="0.35">
      <c r="A140" s="2"/>
      <c r="B140" s="2"/>
      <c r="C140" s="2"/>
      <c r="D140" s="2"/>
      <c r="E140" s="2"/>
      <c r="F140" s="2"/>
      <c r="G140" s="2"/>
      <c r="H140" s="2"/>
      <c r="I140" s="2"/>
      <c r="K140" s="2"/>
      <c r="L140" s="2"/>
      <c r="M140" s="2"/>
    </row>
    <row r="141" spans="1:225" x14ac:dyDescent="0.35">
      <c r="A141" s="2"/>
      <c r="B141" s="2"/>
      <c r="C141" s="2"/>
      <c r="D141" s="2"/>
      <c r="E141" s="2"/>
      <c r="F141" s="2"/>
      <c r="G141" s="2"/>
      <c r="H141" s="2"/>
      <c r="I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</row>
    <row r="142" spans="1:225" x14ac:dyDescent="0.35">
      <c r="A142" s="2"/>
      <c r="B142" s="2"/>
      <c r="C142" s="2"/>
      <c r="D142" s="2"/>
      <c r="E142" s="2"/>
      <c r="F142" s="2"/>
      <c r="G142" s="2"/>
      <c r="H142" s="2"/>
      <c r="I142" s="2"/>
      <c r="K142" s="2"/>
      <c r="L142" s="2"/>
      <c r="M142" s="2"/>
    </row>
    <row r="143" spans="1:225" x14ac:dyDescent="0.35">
      <c r="A143" s="2"/>
      <c r="B143" s="2"/>
      <c r="C143" s="2"/>
      <c r="D143" s="2"/>
      <c r="E143" s="2"/>
      <c r="F143" s="2"/>
      <c r="G143" s="2"/>
      <c r="H143" s="2"/>
      <c r="I143" s="2"/>
      <c r="K143" s="2"/>
      <c r="L143" s="2"/>
      <c r="M143" s="2"/>
    </row>
    <row r="144" spans="1:225" x14ac:dyDescent="0.35">
      <c r="A144" s="2"/>
      <c r="B144" s="2"/>
      <c r="C144" s="2"/>
      <c r="D144" s="2"/>
      <c r="E144" s="2"/>
      <c r="F144" s="2"/>
      <c r="G144" s="2"/>
      <c r="H144" s="2"/>
      <c r="I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</row>
    <row r="145" spans="1:225" x14ac:dyDescent="0.35">
      <c r="A145" s="2"/>
      <c r="B145" s="2"/>
      <c r="C145" s="2"/>
      <c r="D145" s="2"/>
      <c r="E145" s="2"/>
      <c r="F145" s="2"/>
      <c r="G145" s="2"/>
      <c r="H145" s="2"/>
      <c r="I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</row>
    <row r="146" spans="1:225" x14ac:dyDescent="0.35">
      <c r="A146" s="2"/>
      <c r="B146" s="2"/>
      <c r="C146" s="2"/>
      <c r="D146" s="2"/>
      <c r="E146" s="2"/>
      <c r="F146" s="2"/>
      <c r="G146" s="2"/>
      <c r="H146" s="2"/>
      <c r="I146" s="2"/>
      <c r="K146" s="2"/>
      <c r="L146" s="2"/>
      <c r="M146" s="2"/>
    </row>
    <row r="147" spans="1:225" x14ac:dyDescent="0.35">
      <c r="A147" s="2"/>
      <c r="B147" s="2"/>
      <c r="C147" s="2"/>
      <c r="D147" s="2"/>
      <c r="E147" s="2"/>
      <c r="F147" s="2"/>
      <c r="G147" s="2"/>
      <c r="H147" s="2"/>
      <c r="I147" s="2"/>
      <c r="K147" s="2"/>
      <c r="L147" s="2"/>
      <c r="M147" s="2"/>
    </row>
    <row r="148" spans="1:225" x14ac:dyDescent="0.35">
      <c r="A148" s="2"/>
      <c r="B148" s="2"/>
      <c r="C148" s="2"/>
      <c r="D148" s="2"/>
      <c r="E148" s="2"/>
      <c r="F148" s="2"/>
      <c r="G148" s="2"/>
      <c r="H148" s="2"/>
      <c r="I148" s="2"/>
      <c r="K148" s="2"/>
      <c r="L148" s="2"/>
      <c r="M148" s="2"/>
    </row>
    <row r="149" spans="1:225" x14ac:dyDescent="0.35">
      <c r="A149" s="2"/>
      <c r="B149" s="2"/>
      <c r="C149" s="2"/>
      <c r="D149" s="2"/>
      <c r="E149" s="2"/>
      <c r="F149" s="2"/>
      <c r="G149" s="2"/>
      <c r="H149" s="2"/>
      <c r="I149" s="2"/>
      <c r="K149" s="2"/>
      <c r="L149" s="2"/>
      <c r="M149" s="2"/>
    </row>
    <row r="150" spans="1:225" x14ac:dyDescent="0.35">
      <c r="A150" s="2"/>
      <c r="B150" s="2"/>
      <c r="C150" s="2"/>
      <c r="D150" s="2"/>
      <c r="E150" s="2"/>
      <c r="F150" s="2"/>
      <c r="G150" s="2"/>
      <c r="H150" s="2"/>
      <c r="I150" s="2"/>
      <c r="K150" s="2"/>
      <c r="L150" s="2"/>
      <c r="M150" s="2"/>
    </row>
    <row r="151" spans="1:225" x14ac:dyDescent="0.35">
      <c r="A151" s="2"/>
      <c r="B151" s="2"/>
      <c r="C151" s="2"/>
      <c r="D151" s="2"/>
      <c r="E151" s="2"/>
      <c r="F151" s="2"/>
      <c r="G151" s="2"/>
      <c r="H151" s="2"/>
      <c r="I151" s="2"/>
      <c r="K151" s="2"/>
      <c r="L151" s="2"/>
      <c r="M151" s="2"/>
    </row>
    <row r="152" spans="1:225" x14ac:dyDescent="0.35">
      <c r="A152" s="2"/>
      <c r="B152" s="2"/>
      <c r="C152" s="2"/>
      <c r="D152" s="2"/>
      <c r="E152" s="2"/>
      <c r="F152" s="2"/>
      <c r="G152" s="2"/>
      <c r="H152" s="2"/>
      <c r="I152" s="2"/>
      <c r="K152" s="2"/>
      <c r="L152" s="2"/>
      <c r="M152" s="2"/>
    </row>
    <row r="153" spans="1:225" x14ac:dyDescent="0.35">
      <c r="A153" s="2"/>
      <c r="B153" s="2"/>
      <c r="C153" s="2"/>
      <c r="D153" s="2"/>
      <c r="E153" s="2"/>
      <c r="F153" s="2"/>
      <c r="G153" s="2"/>
      <c r="H153" s="2"/>
      <c r="I153" s="2"/>
      <c r="K153" s="2"/>
      <c r="L153" s="2"/>
      <c r="M153" s="2"/>
    </row>
    <row r="154" spans="1:225" x14ac:dyDescent="0.35">
      <c r="A154" s="2"/>
      <c r="B154" s="2"/>
      <c r="C154" s="2"/>
      <c r="D154" s="2"/>
      <c r="E154" s="2"/>
      <c r="F154" s="2"/>
      <c r="G154" s="2"/>
      <c r="H154" s="2"/>
      <c r="I154" s="2"/>
      <c r="K154" s="2"/>
      <c r="L154" s="2"/>
      <c r="M154" s="2"/>
    </row>
    <row r="155" spans="1:225" x14ac:dyDescent="0.35">
      <c r="A155" s="2"/>
      <c r="B155" s="2"/>
      <c r="C155" s="2"/>
      <c r="D155" s="2"/>
      <c r="E155" s="2"/>
      <c r="F155" s="2"/>
      <c r="G155" s="2"/>
      <c r="H155" s="2"/>
      <c r="I155" s="2"/>
      <c r="K155" s="2"/>
      <c r="L155" s="2"/>
      <c r="M155" s="2"/>
    </row>
    <row r="156" spans="1:225" x14ac:dyDescent="0.35">
      <c r="A156" s="2"/>
      <c r="B156" s="2"/>
      <c r="C156" s="2"/>
      <c r="D156" s="2"/>
      <c r="E156" s="2"/>
      <c r="F156" s="2"/>
      <c r="G156" s="2"/>
      <c r="H156" s="2"/>
      <c r="I156" s="2"/>
      <c r="K156" s="2"/>
      <c r="L156" s="2"/>
      <c r="M156" s="2"/>
    </row>
    <row r="157" spans="1:225" x14ac:dyDescent="0.35">
      <c r="A157" s="2"/>
      <c r="B157" s="2"/>
      <c r="C157" s="2"/>
      <c r="D157" s="2"/>
      <c r="E157" s="2"/>
      <c r="F157" s="2"/>
      <c r="G157" s="2"/>
      <c r="H157" s="2"/>
      <c r="I157" s="2"/>
      <c r="K157" s="2"/>
      <c r="L157" s="2"/>
      <c r="M157" s="2"/>
    </row>
    <row r="158" spans="1:225" x14ac:dyDescent="0.35">
      <c r="A158" s="2"/>
      <c r="B158" s="2"/>
      <c r="C158" s="2"/>
      <c r="D158" s="2"/>
      <c r="E158" s="2"/>
      <c r="F158" s="2"/>
      <c r="G158" s="2"/>
      <c r="H158" s="2"/>
      <c r="I158" s="2"/>
      <c r="K158" s="2"/>
      <c r="L158" s="2"/>
      <c r="M158" s="2"/>
    </row>
    <row r="159" spans="1:225" x14ac:dyDescent="0.35">
      <c r="A159" s="2"/>
      <c r="B159" s="2"/>
      <c r="C159" s="2"/>
      <c r="D159" s="2"/>
      <c r="E159" s="2"/>
      <c r="F159" s="2"/>
      <c r="G159" s="2"/>
      <c r="H159" s="2"/>
      <c r="I159" s="2"/>
      <c r="K159" s="2"/>
      <c r="L159" s="2"/>
      <c r="M159" s="2"/>
    </row>
    <row r="160" spans="1:225" x14ac:dyDescent="0.35">
      <c r="A160" s="2"/>
      <c r="B160" s="2"/>
      <c r="C160" s="2"/>
      <c r="D160" s="2"/>
      <c r="E160" s="2"/>
      <c r="F160" s="2"/>
      <c r="G160" s="2"/>
      <c r="H160" s="2"/>
      <c r="I160" s="2"/>
      <c r="K160" s="2"/>
      <c r="L160" s="2"/>
      <c r="M160" s="2"/>
    </row>
    <row r="161" spans="1:13" x14ac:dyDescent="0.35">
      <c r="A161" s="2"/>
      <c r="B161" s="2"/>
      <c r="C161" s="2"/>
      <c r="D161" s="2"/>
      <c r="E161" s="2"/>
      <c r="F161" s="2"/>
      <c r="G161" s="2"/>
      <c r="H161" s="2"/>
      <c r="I161" s="2"/>
      <c r="K161" s="2"/>
      <c r="L161" s="2"/>
      <c r="M161" s="2"/>
    </row>
    <row r="162" spans="1:13" x14ac:dyDescent="0.35">
      <c r="A162" s="2"/>
      <c r="B162" s="2"/>
      <c r="C162" s="2"/>
      <c r="D162" s="2"/>
      <c r="E162" s="2"/>
      <c r="F162" s="2"/>
      <c r="G162" s="2"/>
      <c r="H162" s="2"/>
      <c r="I162" s="2"/>
      <c r="K162" s="2"/>
      <c r="L162" s="2"/>
      <c r="M162" s="2"/>
    </row>
    <row r="163" spans="1:13" x14ac:dyDescent="0.35">
      <c r="A163" s="2"/>
      <c r="B163" s="2"/>
      <c r="C163" s="2"/>
      <c r="D163" s="2"/>
      <c r="E163" s="2"/>
      <c r="F163" s="2"/>
      <c r="G163" s="2"/>
      <c r="H163" s="2"/>
      <c r="I163" s="2"/>
      <c r="K163" s="2"/>
      <c r="L163" s="2"/>
      <c r="M163" s="2"/>
    </row>
    <row r="164" spans="1:13" x14ac:dyDescent="0.35">
      <c r="A164" s="2"/>
      <c r="B164" s="2"/>
      <c r="C164" s="2"/>
      <c r="D164" s="2"/>
      <c r="E164" s="2"/>
      <c r="F164" s="2"/>
      <c r="G164" s="2"/>
      <c r="H164" s="2"/>
      <c r="I164" s="2"/>
      <c r="K164" s="2"/>
      <c r="L164" s="2"/>
      <c r="M164" s="2"/>
    </row>
    <row r="165" spans="1:13" x14ac:dyDescent="0.35">
      <c r="A165" s="2"/>
      <c r="B165" s="2"/>
      <c r="C165" s="2"/>
      <c r="D165" s="2"/>
      <c r="E165" s="2"/>
      <c r="F165" s="2"/>
      <c r="G165" s="2"/>
      <c r="H165" s="2"/>
      <c r="I165" s="2"/>
      <c r="K165" s="2"/>
      <c r="L165" s="2"/>
      <c r="M165" s="2"/>
    </row>
    <row r="166" spans="1:13" x14ac:dyDescent="0.35">
      <c r="A166" s="2"/>
      <c r="B166" s="2"/>
      <c r="C166" s="2"/>
      <c r="D166" s="2"/>
      <c r="E166" s="2"/>
      <c r="F166" s="2"/>
      <c r="G166" s="2"/>
      <c r="H166" s="2"/>
      <c r="I166" s="2"/>
      <c r="K166" s="2"/>
      <c r="L166" s="2"/>
      <c r="M166" s="2"/>
    </row>
    <row r="167" spans="1:13" x14ac:dyDescent="0.35">
      <c r="A167" s="2"/>
      <c r="B167" s="2"/>
      <c r="C167" s="2"/>
      <c r="D167" s="2"/>
      <c r="E167" s="2"/>
      <c r="F167" s="2"/>
      <c r="G167" s="2"/>
      <c r="H167" s="2"/>
      <c r="I167" s="2"/>
      <c r="K167" s="2"/>
      <c r="L167" s="2"/>
      <c r="M167" s="2"/>
    </row>
    <row r="168" spans="1:13" x14ac:dyDescent="0.35">
      <c r="A168" s="2"/>
      <c r="B168" s="2"/>
      <c r="C168" s="2"/>
      <c r="D168" s="2"/>
      <c r="E168" s="2"/>
      <c r="F168" s="2"/>
      <c r="G168" s="2"/>
      <c r="H168" s="2"/>
      <c r="I168" s="2"/>
      <c r="K168" s="2"/>
      <c r="L168" s="2"/>
      <c r="M168" s="2"/>
    </row>
    <row r="169" spans="1:13" x14ac:dyDescent="0.35">
      <c r="A169" s="2"/>
      <c r="B169" s="2"/>
      <c r="C169" s="2"/>
      <c r="D169" s="2"/>
      <c r="E169" s="2"/>
      <c r="F169" s="2"/>
      <c r="G169" s="2"/>
      <c r="H169" s="2"/>
      <c r="I169" s="2"/>
      <c r="K169" s="2"/>
      <c r="L169" s="2"/>
      <c r="M169" s="2"/>
    </row>
    <row r="170" spans="1:13" x14ac:dyDescent="0.35">
      <c r="A170" s="2"/>
      <c r="B170" s="2"/>
      <c r="C170" s="2"/>
      <c r="D170" s="2"/>
      <c r="E170" s="2"/>
      <c r="F170" s="2"/>
      <c r="G170" s="2"/>
      <c r="H170" s="2"/>
      <c r="I170" s="2"/>
      <c r="K170" s="2"/>
      <c r="L170" s="2"/>
      <c r="M170" s="2"/>
    </row>
    <row r="171" spans="1:13" x14ac:dyDescent="0.35">
      <c r="A171" s="2"/>
      <c r="B171" s="2"/>
      <c r="C171" s="2"/>
      <c r="D171" s="2"/>
      <c r="E171" s="2"/>
      <c r="F171" s="2"/>
      <c r="G171" s="2"/>
      <c r="H171" s="2"/>
      <c r="I171" s="2"/>
      <c r="K171" s="2"/>
      <c r="L171" s="2"/>
      <c r="M171" s="2"/>
    </row>
    <row r="172" spans="1:13" x14ac:dyDescent="0.35">
      <c r="A172" s="2"/>
      <c r="B172" s="2"/>
      <c r="C172" s="2"/>
      <c r="D172" s="2"/>
      <c r="E172" s="2"/>
      <c r="F172" s="2"/>
      <c r="G172" s="2"/>
      <c r="H172" s="2"/>
      <c r="I172" s="2"/>
      <c r="K172" s="2"/>
      <c r="L172" s="2"/>
      <c r="M172" s="2"/>
    </row>
    <row r="173" spans="1:13" x14ac:dyDescent="0.35">
      <c r="A173" s="2"/>
      <c r="B173" s="2"/>
      <c r="C173" s="2"/>
      <c r="D173" s="2"/>
      <c r="E173" s="2"/>
      <c r="F173" s="2"/>
      <c r="G173" s="2"/>
      <c r="H173" s="2"/>
      <c r="I173" s="2"/>
      <c r="K173" s="2"/>
      <c r="L173" s="2"/>
      <c r="M173" s="2"/>
    </row>
    <row r="174" spans="1:13" x14ac:dyDescent="0.35">
      <c r="A174" s="2"/>
      <c r="B174" s="2"/>
      <c r="C174" s="2"/>
      <c r="D174" s="2"/>
      <c r="E174" s="2"/>
      <c r="F174" s="2"/>
      <c r="G174" s="2"/>
      <c r="H174" s="2"/>
      <c r="I174" s="2"/>
      <c r="K174" s="2"/>
      <c r="L174" s="2"/>
      <c r="M174" s="2"/>
    </row>
    <row r="175" spans="1:13" x14ac:dyDescent="0.35">
      <c r="A175" s="2"/>
      <c r="B175" s="2"/>
      <c r="C175" s="2"/>
      <c r="D175" s="2"/>
      <c r="E175" s="2"/>
      <c r="F175" s="2"/>
      <c r="G175" s="2"/>
      <c r="H175" s="2"/>
      <c r="I175" s="2"/>
      <c r="K175" s="2"/>
      <c r="L175" s="2"/>
      <c r="M175" s="2"/>
    </row>
    <row r="176" spans="1:13" x14ac:dyDescent="0.35">
      <c r="A176" s="2"/>
      <c r="B176" s="2"/>
      <c r="C176" s="2"/>
      <c r="D176" s="2"/>
      <c r="E176" s="2"/>
      <c r="F176" s="2"/>
      <c r="G176" s="2"/>
      <c r="H176" s="2"/>
      <c r="I176" s="2"/>
      <c r="K176" s="2"/>
      <c r="L176" s="2"/>
      <c r="M176" s="2"/>
    </row>
    <row r="177" spans="1:13" x14ac:dyDescent="0.35">
      <c r="A177" s="2"/>
      <c r="B177" s="2"/>
      <c r="C177" s="2"/>
      <c r="D177" s="2"/>
      <c r="E177" s="2"/>
      <c r="F177" s="2"/>
      <c r="G177" s="2"/>
      <c r="H177" s="2"/>
      <c r="I177" s="2"/>
      <c r="K177" s="2"/>
      <c r="L177" s="2"/>
      <c r="M177" s="2"/>
    </row>
    <row r="178" spans="1:13" x14ac:dyDescent="0.35">
      <c r="A178" s="2"/>
      <c r="B178" s="2"/>
      <c r="C178" s="2"/>
      <c r="D178" s="2"/>
      <c r="E178" s="2"/>
      <c r="F178" s="2"/>
      <c r="G178" s="2"/>
      <c r="H178" s="2"/>
      <c r="I178" s="2"/>
      <c r="K178" s="2"/>
      <c r="L178" s="2"/>
      <c r="M178" s="2"/>
    </row>
    <row r="179" spans="1:13" x14ac:dyDescent="0.35">
      <c r="A179" s="2"/>
      <c r="B179" s="2"/>
      <c r="C179" s="2"/>
      <c r="D179" s="2"/>
      <c r="E179" s="2"/>
      <c r="F179" s="2"/>
      <c r="G179" s="2"/>
      <c r="H179" s="2"/>
      <c r="I179" s="2"/>
      <c r="K179" s="2"/>
      <c r="L179" s="2"/>
      <c r="M179" s="2"/>
    </row>
    <row r="180" spans="1:13" x14ac:dyDescent="0.35">
      <c r="A180" s="2"/>
      <c r="B180" s="2"/>
      <c r="C180" s="2"/>
      <c r="D180" s="2"/>
      <c r="E180" s="2"/>
      <c r="F180" s="2"/>
      <c r="G180" s="2"/>
      <c r="H180" s="2"/>
      <c r="I180" s="2"/>
      <c r="K180" s="2"/>
      <c r="L180" s="2"/>
      <c r="M180" s="2"/>
    </row>
    <row r="181" spans="1:13" x14ac:dyDescent="0.35">
      <c r="A181" s="2"/>
      <c r="B181" s="2"/>
      <c r="C181" s="2"/>
      <c r="D181" s="2"/>
      <c r="E181" s="2"/>
      <c r="F181" s="2"/>
      <c r="G181" s="2"/>
      <c r="H181" s="2"/>
      <c r="I181" s="2"/>
      <c r="K181" s="2"/>
      <c r="L181" s="2"/>
      <c r="M181" s="2"/>
    </row>
    <row r="182" spans="1:13" x14ac:dyDescent="0.35">
      <c r="A182" s="2"/>
      <c r="B182" s="2"/>
      <c r="C182" s="2"/>
      <c r="D182" s="2"/>
      <c r="E182" s="2"/>
      <c r="F182" s="2"/>
      <c r="G182" s="2"/>
      <c r="H182" s="2"/>
      <c r="I182" s="2"/>
      <c r="K182" s="2"/>
      <c r="L182" s="2"/>
      <c r="M182" s="2"/>
    </row>
    <row r="183" spans="1:13" x14ac:dyDescent="0.35">
      <c r="A183" s="2"/>
      <c r="B183" s="2"/>
      <c r="C183" s="2"/>
      <c r="D183" s="2"/>
      <c r="E183" s="2"/>
      <c r="F183" s="2"/>
      <c r="G183" s="2"/>
      <c r="H183" s="2"/>
      <c r="I183" s="2"/>
      <c r="K183" s="2"/>
      <c r="L183" s="2"/>
      <c r="M183" s="2"/>
    </row>
    <row r="184" spans="1:13" x14ac:dyDescent="0.35">
      <c r="A184" s="2"/>
      <c r="B184" s="2"/>
      <c r="C184" s="2"/>
      <c r="D184" s="2"/>
      <c r="E184" s="2"/>
      <c r="F184" s="2"/>
      <c r="G184" s="2"/>
      <c r="H184" s="2"/>
      <c r="I184" s="2"/>
      <c r="K184" s="2"/>
      <c r="L184" s="2"/>
      <c r="M184" s="2"/>
    </row>
    <row r="185" spans="1:13" x14ac:dyDescent="0.35">
      <c r="A185" s="2"/>
      <c r="B185" s="2"/>
      <c r="C185" s="2"/>
      <c r="D185" s="2"/>
      <c r="E185" s="2"/>
      <c r="F185" s="2"/>
      <c r="G185" s="2"/>
      <c r="H185" s="2"/>
      <c r="I185" s="2"/>
      <c r="K185" s="2"/>
      <c r="L185" s="2"/>
      <c r="M185" s="2"/>
    </row>
    <row r="186" spans="1:13" x14ac:dyDescent="0.35">
      <c r="A186" s="2"/>
      <c r="B186" s="2"/>
      <c r="C186" s="2"/>
      <c r="D186" s="2"/>
      <c r="E186" s="2"/>
      <c r="F186" s="2"/>
      <c r="G186" s="2"/>
      <c r="H186" s="2"/>
      <c r="I186" s="2"/>
      <c r="K186" s="2"/>
      <c r="L186" s="2"/>
      <c r="M186" s="2"/>
    </row>
    <row r="187" spans="1:13" x14ac:dyDescent="0.35">
      <c r="A187" s="2"/>
      <c r="B187" s="2"/>
      <c r="C187" s="2"/>
      <c r="D187" s="2"/>
      <c r="E187" s="2"/>
      <c r="F187" s="2"/>
      <c r="G187" s="2"/>
      <c r="H187" s="2"/>
      <c r="I187" s="2"/>
      <c r="K187" s="2"/>
      <c r="L187" s="2"/>
      <c r="M187" s="2"/>
    </row>
    <row r="188" spans="1:13" x14ac:dyDescent="0.35">
      <c r="A188" s="2"/>
      <c r="B188" s="2"/>
      <c r="C188" s="2"/>
      <c r="D188" s="2"/>
      <c r="E188" s="2"/>
      <c r="F188" s="2"/>
      <c r="G188" s="2"/>
      <c r="H188" s="2"/>
      <c r="I188" s="2"/>
      <c r="K188" s="2"/>
      <c r="L188" s="2"/>
      <c r="M188" s="2"/>
    </row>
    <row r="189" spans="1:13" x14ac:dyDescent="0.35">
      <c r="A189" s="2"/>
      <c r="B189" s="2"/>
      <c r="C189" s="2"/>
      <c r="D189" s="2"/>
      <c r="E189" s="2"/>
      <c r="F189" s="2"/>
      <c r="G189" s="2"/>
      <c r="H189" s="2"/>
      <c r="I189" s="2"/>
      <c r="K189" s="2"/>
      <c r="L189" s="2"/>
      <c r="M189" s="2"/>
    </row>
    <row r="190" spans="1:13" x14ac:dyDescent="0.35">
      <c r="A190" s="2"/>
      <c r="B190" s="2"/>
      <c r="C190" s="2"/>
      <c r="D190" s="2"/>
      <c r="E190" s="2"/>
      <c r="F190" s="2"/>
      <c r="G190" s="2"/>
      <c r="H190" s="2"/>
      <c r="I190" s="2"/>
      <c r="K190" s="2"/>
      <c r="L190" s="2"/>
      <c r="M190" s="2"/>
    </row>
    <row r="191" spans="1:13" x14ac:dyDescent="0.35">
      <c r="A191" s="2"/>
      <c r="B191" s="2"/>
      <c r="C191" s="2"/>
      <c r="D191" s="2"/>
      <c r="E191" s="2"/>
      <c r="F191" s="2"/>
      <c r="G191" s="2"/>
      <c r="H191" s="2"/>
      <c r="I191" s="2"/>
      <c r="K191" s="2"/>
      <c r="L191" s="2"/>
      <c r="M191" s="2"/>
    </row>
    <row r="192" spans="1:13" x14ac:dyDescent="0.35">
      <c r="A192" s="2"/>
      <c r="B192" s="2"/>
      <c r="C192" s="2"/>
      <c r="D192" s="2"/>
      <c r="E192" s="2"/>
      <c r="F192" s="2"/>
      <c r="G192" s="2"/>
      <c r="H192" s="2"/>
      <c r="I192" s="2"/>
      <c r="K192" s="2"/>
      <c r="L192" s="2"/>
      <c r="M192" s="2"/>
    </row>
    <row r="193" spans="1:225" x14ac:dyDescent="0.35">
      <c r="A193" s="2"/>
      <c r="B193" s="2"/>
      <c r="C193" s="2"/>
      <c r="D193" s="2"/>
      <c r="E193" s="2"/>
      <c r="F193" s="2"/>
      <c r="G193" s="2"/>
      <c r="H193" s="2"/>
      <c r="I193" s="2"/>
      <c r="K193" s="2"/>
      <c r="L193" s="2"/>
      <c r="M193" s="2"/>
    </row>
    <row r="194" spans="1:225" x14ac:dyDescent="0.35">
      <c r="A194" s="2"/>
      <c r="B194" s="2"/>
      <c r="C194" s="2"/>
      <c r="D194" s="2"/>
      <c r="E194" s="2"/>
      <c r="F194" s="2"/>
      <c r="G194" s="2"/>
      <c r="H194" s="2"/>
      <c r="I194" s="2"/>
      <c r="K194" s="2"/>
      <c r="L194" s="2"/>
      <c r="M194" s="2"/>
    </row>
    <row r="195" spans="1:225" x14ac:dyDescent="0.35">
      <c r="A195" s="2"/>
      <c r="B195" s="2"/>
      <c r="C195" s="2"/>
      <c r="D195" s="2"/>
      <c r="E195" s="2"/>
      <c r="F195" s="2"/>
      <c r="G195" s="2"/>
      <c r="H195" s="2"/>
      <c r="I195" s="2"/>
      <c r="K195" s="2"/>
      <c r="L195" s="2"/>
      <c r="M195" s="2"/>
    </row>
    <row r="196" spans="1:225" x14ac:dyDescent="0.35">
      <c r="A196" s="2"/>
      <c r="B196" s="2"/>
      <c r="C196" s="2"/>
      <c r="D196" s="2"/>
      <c r="E196" s="2"/>
      <c r="F196" s="2"/>
      <c r="G196" s="2"/>
      <c r="H196" s="2"/>
      <c r="I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  <c r="GZ196" s="2"/>
      <c r="HA196" s="2"/>
      <c r="HB196" s="2"/>
      <c r="HC196" s="2"/>
      <c r="HD196" s="2"/>
      <c r="HE196" s="2"/>
      <c r="HF196" s="2"/>
      <c r="HG196" s="2"/>
      <c r="HH196" s="2"/>
      <c r="HI196" s="2"/>
      <c r="HJ196" s="2"/>
      <c r="HK196" s="2"/>
      <c r="HL196" s="2"/>
      <c r="HM196" s="2"/>
      <c r="HN196" s="2"/>
      <c r="HO196" s="2"/>
      <c r="HP196" s="2"/>
      <c r="HQ196" s="2"/>
    </row>
    <row r="197" spans="1:225" x14ac:dyDescent="0.35">
      <c r="A197" s="2"/>
      <c r="B197" s="2"/>
      <c r="C197" s="2"/>
      <c r="D197" s="2"/>
      <c r="E197" s="2"/>
      <c r="F197" s="2"/>
      <c r="G197" s="2"/>
      <c r="H197" s="2"/>
      <c r="I197" s="2"/>
      <c r="K197" s="2"/>
      <c r="L197" s="2"/>
      <c r="M197" s="2"/>
    </row>
    <row r="198" spans="1:225" x14ac:dyDescent="0.35">
      <c r="A198" s="2"/>
      <c r="B198" s="2"/>
      <c r="C198" s="2"/>
      <c r="D198" s="2"/>
      <c r="E198" s="2"/>
      <c r="F198" s="2"/>
      <c r="G198" s="2"/>
      <c r="H198" s="2"/>
      <c r="I198" s="2"/>
      <c r="K198" s="2"/>
      <c r="L198" s="2"/>
      <c r="M198" s="2"/>
    </row>
    <row r="199" spans="1:225" x14ac:dyDescent="0.35">
      <c r="A199" s="2"/>
      <c r="B199" s="2"/>
      <c r="C199" s="2"/>
      <c r="D199" s="2"/>
      <c r="E199" s="2"/>
      <c r="F199" s="2"/>
      <c r="G199" s="2"/>
      <c r="H199" s="2"/>
      <c r="I199" s="2"/>
      <c r="K199" s="2"/>
      <c r="L199" s="2"/>
      <c r="M199" s="2"/>
    </row>
    <row r="200" spans="1:225" x14ac:dyDescent="0.35">
      <c r="A200" s="2"/>
      <c r="B200" s="2"/>
      <c r="C200" s="2"/>
      <c r="D200" s="2"/>
      <c r="E200" s="2"/>
      <c r="F200" s="2"/>
      <c r="G200" s="2"/>
      <c r="H200" s="2"/>
      <c r="I200" s="2"/>
      <c r="K200" s="2"/>
      <c r="L200" s="2"/>
      <c r="M200" s="2"/>
    </row>
    <row r="201" spans="1:225" x14ac:dyDescent="0.35">
      <c r="A201" s="2"/>
      <c r="B201" s="2"/>
      <c r="C201" s="2"/>
      <c r="D201" s="2"/>
      <c r="E201" s="2"/>
      <c r="F201" s="2"/>
      <c r="G201" s="2"/>
      <c r="H201" s="2"/>
      <c r="I201" s="2"/>
      <c r="K201" s="2"/>
      <c r="L201" s="2"/>
      <c r="M201" s="2"/>
    </row>
    <row r="202" spans="1:225" x14ac:dyDescent="0.35">
      <c r="A202" s="2"/>
      <c r="B202" s="2"/>
      <c r="C202" s="2"/>
      <c r="D202" s="2"/>
      <c r="E202" s="2"/>
      <c r="F202" s="2"/>
      <c r="G202" s="2"/>
      <c r="H202" s="2"/>
      <c r="I202" s="2"/>
      <c r="K202" s="2"/>
      <c r="L202" s="2"/>
      <c r="M202" s="2"/>
    </row>
    <row r="203" spans="1:225" x14ac:dyDescent="0.35">
      <c r="A203" s="2"/>
      <c r="B203" s="2"/>
      <c r="C203" s="2"/>
      <c r="D203" s="2"/>
      <c r="E203" s="2"/>
      <c r="F203" s="2"/>
      <c r="G203" s="2"/>
      <c r="H203" s="2"/>
      <c r="I203" s="2"/>
      <c r="K203" s="2"/>
      <c r="L203" s="2"/>
      <c r="M203" s="2"/>
    </row>
    <row r="204" spans="1:225" x14ac:dyDescent="0.35">
      <c r="A204" s="2"/>
      <c r="B204" s="2"/>
      <c r="C204" s="2"/>
      <c r="D204" s="2"/>
      <c r="E204" s="2"/>
      <c r="F204" s="2"/>
      <c r="G204" s="2"/>
      <c r="H204" s="2"/>
      <c r="I204" s="2"/>
      <c r="K204" s="2"/>
      <c r="L204" s="2"/>
      <c r="M204" s="2"/>
    </row>
    <row r="205" spans="1:225" x14ac:dyDescent="0.35">
      <c r="A205" s="2"/>
      <c r="B205" s="2"/>
      <c r="C205" s="2"/>
      <c r="D205" s="2"/>
      <c r="E205" s="2"/>
      <c r="F205" s="2"/>
      <c r="G205" s="2"/>
      <c r="H205" s="2"/>
      <c r="I205" s="2"/>
      <c r="K205" s="2"/>
      <c r="L205" s="2"/>
      <c r="M205" s="2"/>
    </row>
    <row r="206" spans="1:225" x14ac:dyDescent="0.35">
      <c r="A206" s="2"/>
      <c r="B206" s="2"/>
      <c r="C206" s="2"/>
      <c r="D206" s="2"/>
      <c r="E206" s="2"/>
      <c r="F206" s="2"/>
      <c r="G206" s="2"/>
      <c r="H206" s="2"/>
      <c r="I206" s="2"/>
      <c r="K206" s="2"/>
      <c r="L206" s="2"/>
      <c r="M206" s="2"/>
    </row>
    <row r="207" spans="1:225" x14ac:dyDescent="0.35">
      <c r="A207" s="2"/>
      <c r="B207" s="2"/>
      <c r="C207" s="2"/>
      <c r="D207" s="2"/>
      <c r="E207" s="2"/>
      <c r="F207" s="2"/>
      <c r="G207" s="2"/>
      <c r="H207" s="2"/>
      <c r="I207" s="2"/>
      <c r="K207" s="2"/>
      <c r="L207" s="2"/>
      <c r="M207" s="2"/>
    </row>
    <row r="208" spans="1:225" x14ac:dyDescent="0.35">
      <c r="A208" s="2"/>
      <c r="B208" s="2"/>
      <c r="C208" s="2"/>
      <c r="D208" s="2"/>
      <c r="E208" s="2"/>
      <c r="F208" s="2"/>
      <c r="G208" s="2"/>
      <c r="H208" s="2"/>
      <c r="I208" s="2"/>
      <c r="K208" s="2"/>
      <c r="L208" s="2"/>
      <c r="M208" s="2"/>
    </row>
    <row r="209" spans="1:13" x14ac:dyDescent="0.35">
      <c r="A209" s="2"/>
      <c r="B209" s="2"/>
      <c r="C209" s="2"/>
      <c r="D209" s="2"/>
      <c r="E209" s="2"/>
      <c r="F209" s="2"/>
      <c r="G209" s="2"/>
      <c r="H209" s="2"/>
      <c r="I209" s="2"/>
      <c r="K209" s="2"/>
      <c r="L209" s="2"/>
      <c r="M209" s="2"/>
    </row>
    <row r="210" spans="1:13" x14ac:dyDescent="0.35">
      <c r="A210" s="2"/>
      <c r="B210" s="2"/>
      <c r="C210" s="2"/>
      <c r="D210" s="2"/>
      <c r="E210" s="2"/>
      <c r="F210" s="2"/>
      <c r="G210" s="2"/>
      <c r="H210" s="2"/>
      <c r="I210" s="2"/>
      <c r="K210" s="2"/>
      <c r="L210" s="2"/>
      <c r="M210" s="2"/>
    </row>
    <row r="211" spans="1:13" x14ac:dyDescent="0.35">
      <c r="A211" s="2"/>
      <c r="B211" s="2"/>
      <c r="C211" s="2"/>
      <c r="D211" s="2"/>
      <c r="E211" s="2"/>
      <c r="F211" s="2"/>
      <c r="G211" s="2"/>
      <c r="H211" s="2"/>
      <c r="I211" s="2"/>
      <c r="K211" s="2"/>
      <c r="L211" s="2"/>
      <c r="M211" s="2"/>
    </row>
    <row r="212" spans="1:13" x14ac:dyDescent="0.35">
      <c r="A212" s="2"/>
      <c r="B212" s="2"/>
      <c r="C212" s="2"/>
      <c r="D212" s="2"/>
      <c r="E212" s="2"/>
      <c r="F212" s="2"/>
      <c r="G212" s="2"/>
      <c r="H212" s="2"/>
      <c r="I212" s="2"/>
      <c r="K212" s="2"/>
      <c r="L212" s="2"/>
      <c r="M212" s="2"/>
    </row>
    <row r="213" spans="1:13" x14ac:dyDescent="0.35">
      <c r="A213" s="2"/>
      <c r="B213" s="2"/>
      <c r="C213" s="2"/>
      <c r="D213" s="2"/>
      <c r="E213" s="2"/>
      <c r="F213" s="2"/>
      <c r="G213" s="2"/>
      <c r="H213" s="2"/>
      <c r="I213" s="2"/>
      <c r="K213" s="2"/>
      <c r="L213" s="2"/>
      <c r="M213" s="2"/>
    </row>
    <row r="214" spans="1:13" x14ac:dyDescent="0.35">
      <c r="A214" s="2"/>
      <c r="B214" s="2"/>
      <c r="C214" s="2"/>
      <c r="D214" s="2"/>
      <c r="E214" s="2"/>
      <c r="F214" s="2"/>
      <c r="G214" s="2"/>
      <c r="H214" s="2"/>
      <c r="I214" s="2"/>
      <c r="K214" s="2"/>
      <c r="L214" s="2"/>
      <c r="M214" s="2"/>
    </row>
    <row r="215" spans="1:13" x14ac:dyDescent="0.35">
      <c r="A215" s="2"/>
      <c r="B215" s="2"/>
      <c r="C215" s="2"/>
      <c r="D215" s="2"/>
      <c r="E215" s="2"/>
      <c r="F215" s="2"/>
      <c r="G215" s="2"/>
      <c r="H215" s="2"/>
      <c r="I215" s="2"/>
      <c r="K215" s="2"/>
      <c r="L215" s="2"/>
      <c r="M215" s="2"/>
    </row>
    <row r="216" spans="1:13" x14ac:dyDescent="0.35">
      <c r="A216" s="2"/>
      <c r="B216" s="2"/>
      <c r="C216" s="2"/>
      <c r="D216" s="2"/>
      <c r="E216" s="2"/>
      <c r="F216" s="2"/>
      <c r="G216" s="2"/>
      <c r="H216" s="2"/>
      <c r="I216" s="2"/>
      <c r="K216" s="2"/>
      <c r="L216" s="2"/>
      <c r="M216" s="2"/>
    </row>
    <row r="217" spans="1:13" x14ac:dyDescent="0.35">
      <c r="A217" s="2"/>
      <c r="B217" s="2"/>
      <c r="C217" s="2"/>
      <c r="D217" s="2"/>
      <c r="E217" s="2"/>
      <c r="F217" s="2"/>
      <c r="G217" s="2"/>
      <c r="H217" s="2"/>
      <c r="I217" s="2"/>
      <c r="K217" s="2"/>
      <c r="L217" s="2"/>
      <c r="M217" s="2"/>
    </row>
    <row r="218" spans="1:13" x14ac:dyDescent="0.35">
      <c r="A218" s="2"/>
      <c r="B218" s="2"/>
      <c r="C218" s="2"/>
      <c r="D218" s="2"/>
      <c r="E218" s="2"/>
      <c r="F218" s="2"/>
      <c r="G218" s="2"/>
      <c r="H218" s="2"/>
      <c r="I218" s="2"/>
      <c r="K218" s="2"/>
      <c r="L218" s="2"/>
      <c r="M218" s="2"/>
    </row>
    <row r="219" spans="1:13" x14ac:dyDescent="0.35">
      <c r="A219" s="2"/>
      <c r="B219" s="2"/>
      <c r="C219" s="2"/>
      <c r="D219" s="2"/>
      <c r="E219" s="2"/>
      <c r="F219" s="2"/>
      <c r="G219" s="2"/>
      <c r="H219" s="2"/>
      <c r="I219" s="2"/>
      <c r="K219" s="2"/>
      <c r="L219" s="2"/>
      <c r="M219" s="2"/>
    </row>
    <row r="220" spans="1:13" x14ac:dyDescent="0.35">
      <c r="A220" s="2"/>
      <c r="B220" s="2"/>
      <c r="C220" s="2"/>
      <c r="D220" s="2"/>
      <c r="E220" s="2"/>
      <c r="F220" s="2"/>
      <c r="G220" s="2"/>
      <c r="H220" s="2"/>
      <c r="I220" s="2"/>
      <c r="K220" s="2"/>
      <c r="L220" s="2"/>
      <c r="M220" s="2"/>
    </row>
    <row r="221" spans="1:13" x14ac:dyDescent="0.35">
      <c r="A221" s="2"/>
      <c r="B221" s="2"/>
      <c r="C221" s="2"/>
      <c r="D221" s="2"/>
      <c r="E221" s="2"/>
      <c r="F221" s="2"/>
      <c r="G221" s="2"/>
      <c r="H221" s="2"/>
      <c r="I221" s="2"/>
      <c r="K221" s="2"/>
      <c r="L221" s="2"/>
      <c r="M221" s="2"/>
    </row>
    <row r="222" spans="1:13" x14ac:dyDescent="0.35">
      <c r="A222" s="2"/>
      <c r="B222" s="2"/>
      <c r="C222" s="2"/>
      <c r="D222" s="2"/>
      <c r="E222" s="2"/>
      <c r="F222" s="2"/>
      <c r="G222" s="2"/>
      <c r="H222" s="2"/>
      <c r="I222" s="2"/>
      <c r="K222" s="2"/>
      <c r="L222" s="2"/>
      <c r="M222" s="2"/>
    </row>
    <row r="223" spans="1:13" x14ac:dyDescent="0.35">
      <c r="A223" s="2"/>
      <c r="B223" s="2"/>
      <c r="C223" s="2"/>
      <c r="D223" s="2"/>
      <c r="E223" s="2"/>
      <c r="F223" s="2"/>
      <c r="G223" s="2"/>
      <c r="H223" s="2"/>
      <c r="I223" s="2"/>
      <c r="K223" s="2"/>
      <c r="L223" s="2"/>
      <c r="M223" s="2"/>
    </row>
    <row r="224" spans="1:13" x14ac:dyDescent="0.35">
      <c r="A224" s="2"/>
      <c r="B224" s="2"/>
      <c r="C224" s="2"/>
      <c r="D224" s="2"/>
      <c r="E224" s="2"/>
      <c r="F224" s="2"/>
      <c r="G224" s="2"/>
      <c r="H224" s="2"/>
      <c r="I224" s="2"/>
      <c r="K224" s="2"/>
      <c r="L224" s="2"/>
      <c r="M224" s="2"/>
    </row>
    <row r="225" spans="1:13" x14ac:dyDescent="0.35">
      <c r="A225" s="2"/>
      <c r="B225" s="2"/>
      <c r="C225" s="2"/>
      <c r="D225" s="2"/>
      <c r="E225" s="2"/>
      <c r="F225" s="2"/>
      <c r="G225" s="2"/>
      <c r="H225" s="2"/>
      <c r="I225" s="2"/>
      <c r="K225" s="2"/>
      <c r="L225" s="2"/>
      <c r="M225" s="2"/>
    </row>
    <row r="226" spans="1:13" x14ac:dyDescent="0.35">
      <c r="A226" s="2"/>
      <c r="B226" s="2"/>
      <c r="C226" s="2"/>
      <c r="D226" s="2"/>
      <c r="E226" s="2"/>
      <c r="F226" s="2"/>
      <c r="G226" s="2"/>
      <c r="H226" s="2"/>
      <c r="I226" s="2"/>
      <c r="K226" s="2"/>
      <c r="L226" s="2"/>
      <c r="M226" s="2"/>
    </row>
    <row r="227" spans="1:13" x14ac:dyDescent="0.35">
      <c r="A227" s="2"/>
      <c r="B227" s="2"/>
      <c r="C227" s="2"/>
      <c r="D227" s="2"/>
      <c r="E227" s="2"/>
      <c r="F227" s="2"/>
      <c r="G227" s="2"/>
      <c r="H227" s="2"/>
      <c r="I227" s="2"/>
      <c r="K227" s="2"/>
      <c r="L227" s="2"/>
      <c r="M227" s="2"/>
    </row>
    <row r="228" spans="1:13" x14ac:dyDescent="0.35">
      <c r="A228" s="2"/>
      <c r="B228" s="2"/>
      <c r="C228" s="2"/>
      <c r="D228" s="2"/>
      <c r="E228" s="2"/>
      <c r="F228" s="2"/>
      <c r="G228" s="2"/>
      <c r="H228" s="2"/>
      <c r="I228" s="2"/>
      <c r="K228" s="2"/>
      <c r="L228" s="2"/>
      <c r="M228" s="2"/>
    </row>
    <row r="229" spans="1:13" x14ac:dyDescent="0.35">
      <c r="A229" s="2"/>
      <c r="B229" s="2"/>
      <c r="C229" s="2"/>
      <c r="D229" s="2"/>
      <c r="E229" s="2"/>
      <c r="F229" s="2"/>
      <c r="G229" s="2"/>
      <c r="H229" s="2"/>
      <c r="I229" s="2"/>
      <c r="K229" s="2"/>
      <c r="L229" s="2"/>
      <c r="M229" s="2"/>
    </row>
    <row r="230" spans="1:13" x14ac:dyDescent="0.35">
      <c r="A230" s="2"/>
      <c r="B230" s="2"/>
      <c r="C230" s="2"/>
      <c r="D230" s="2"/>
      <c r="E230" s="2"/>
      <c r="F230" s="2"/>
      <c r="G230" s="2"/>
      <c r="H230" s="2"/>
      <c r="I230" s="2"/>
      <c r="K230" s="2"/>
      <c r="L230" s="2"/>
      <c r="M230" s="2"/>
    </row>
    <row r="231" spans="1:13" x14ac:dyDescent="0.35">
      <c r="A231" s="2"/>
      <c r="B231" s="2"/>
      <c r="C231" s="2"/>
      <c r="D231" s="2"/>
      <c r="E231" s="2"/>
      <c r="F231" s="2"/>
      <c r="G231" s="2"/>
      <c r="H231" s="2"/>
      <c r="I231" s="2"/>
      <c r="K231" s="2"/>
      <c r="L231" s="2"/>
      <c r="M231" s="2"/>
    </row>
    <row r="232" spans="1:13" x14ac:dyDescent="0.35">
      <c r="A232" s="2"/>
      <c r="B232" s="2"/>
      <c r="C232" s="2"/>
      <c r="D232" s="2"/>
      <c r="E232" s="2"/>
      <c r="F232" s="2"/>
      <c r="G232" s="2"/>
      <c r="H232" s="2"/>
      <c r="I232" s="2"/>
      <c r="K232" s="2"/>
      <c r="L232" s="2"/>
      <c r="M232" s="2"/>
    </row>
    <row r="233" spans="1:13" x14ac:dyDescent="0.35">
      <c r="A233" s="2"/>
      <c r="B233" s="2"/>
      <c r="C233" s="2"/>
      <c r="D233" s="2"/>
      <c r="E233" s="2"/>
      <c r="F233" s="2"/>
      <c r="G233" s="2"/>
      <c r="H233" s="2"/>
      <c r="I233" s="2"/>
      <c r="K233" s="2"/>
      <c r="L233" s="2"/>
      <c r="M233" s="2"/>
    </row>
    <row r="234" spans="1:13" x14ac:dyDescent="0.35">
      <c r="A234" s="2"/>
      <c r="B234" s="2"/>
      <c r="C234" s="2"/>
      <c r="D234" s="2"/>
      <c r="E234" s="2"/>
      <c r="F234" s="2"/>
      <c r="G234" s="2"/>
      <c r="H234" s="2"/>
      <c r="I234" s="2"/>
      <c r="K234" s="2"/>
      <c r="L234" s="2"/>
      <c r="M234" s="2"/>
    </row>
    <row r="235" spans="1:13" x14ac:dyDescent="0.35">
      <c r="A235" s="2"/>
      <c r="B235" s="2"/>
      <c r="C235" s="2"/>
      <c r="D235" s="2"/>
      <c r="E235" s="2"/>
      <c r="F235" s="2"/>
      <c r="G235" s="2"/>
      <c r="H235" s="2"/>
      <c r="I235" s="2"/>
      <c r="K235" s="2"/>
      <c r="L235" s="2"/>
      <c r="M235" s="2"/>
    </row>
    <row r="236" spans="1:13" x14ac:dyDescent="0.35">
      <c r="A236" s="2"/>
      <c r="B236" s="2"/>
      <c r="C236" s="2"/>
      <c r="D236" s="2"/>
      <c r="E236" s="2"/>
      <c r="F236" s="2"/>
      <c r="G236" s="2"/>
      <c r="H236" s="2"/>
      <c r="I236" s="2"/>
      <c r="K236" s="2"/>
      <c r="L236" s="2"/>
      <c r="M236" s="2"/>
    </row>
    <row r="237" spans="1:13" x14ac:dyDescent="0.35">
      <c r="A237" s="2"/>
      <c r="B237" s="2"/>
      <c r="C237" s="2"/>
      <c r="D237" s="2"/>
      <c r="E237" s="2"/>
      <c r="F237" s="2"/>
      <c r="G237" s="2"/>
      <c r="H237" s="2"/>
      <c r="I237" s="2"/>
      <c r="K237" s="2"/>
      <c r="L237" s="2"/>
      <c r="M237" s="2"/>
    </row>
    <row r="238" spans="1:13" x14ac:dyDescent="0.35">
      <c r="A238" s="2"/>
      <c r="B238" s="2"/>
      <c r="C238" s="2"/>
      <c r="D238" s="2"/>
      <c r="E238" s="2"/>
      <c r="F238" s="2"/>
      <c r="G238" s="2"/>
      <c r="H238" s="2"/>
      <c r="I238" s="2"/>
      <c r="K238" s="2"/>
      <c r="L238" s="2"/>
      <c r="M238" s="2"/>
    </row>
    <row r="239" spans="1:13" x14ac:dyDescent="0.35">
      <c r="A239" s="2"/>
      <c r="B239" s="2"/>
      <c r="C239" s="2"/>
      <c r="D239" s="2"/>
      <c r="E239" s="2"/>
      <c r="F239" s="2"/>
      <c r="G239" s="2"/>
      <c r="H239" s="2"/>
      <c r="I239" s="2"/>
      <c r="K239" s="2"/>
      <c r="L239" s="2"/>
      <c r="M239" s="2"/>
    </row>
    <row r="240" spans="1:13" x14ac:dyDescent="0.35">
      <c r="A240" s="2"/>
      <c r="B240" s="2"/>
      <c r="C240" s="2"/>
      <c r="D240" s="2"/>
      <c r="E240" s="2"/>
      <c r="F240" s="2"/>
      <c r="G240" s="2"/>
      <c r="H240" s="2"/>
      <c r="I240" s="2"/>
      <c r="K240" s="2"/>
      <c r="L240" s="2"/>
      <c r="M240" s="2"/>
    </row>
    <row r="241" spans="1:13" x14ac:dyDescent="0.35">
      <c r="A241" s="2"/>
      <c r="B241" s="2"/>
      <c r="C241" s="2"/>
      <c r="D241" s="2"/>
      <c r="E241" s="2"/>
      <c r="F241" s="2"/>
      <c r="G241" s="2"/>
      <c r="H241" s="2"/>
      <c r="I241" s="2"/>
      <c r="K241" s="2"/>
      <c r="L241" s="2"/>
      <c r="M241" s="2"/>
    </row>
    <row r="242" spans="1:13" x14ac:dyDescent="0.35">
      <c r="A242" s="2"/>
      <c r="B242" s="2"/>
      <c r="C242" s="2"/>
      <c r="D242" s="2"/>
      <c r="E242" s="2"/>
      <c r="F242" s="2"/>
      <c r="G242" s="2"/>
      <c r="H242" s="2"/>
      <c r="I242" s="2"/>
      <c r="K242" s="2"/>
      <c r="L242" s="2"/>
      <c r="M242" s="2"/>
    </row>
    <row r="243" spans="1:13" x14ac:dyDescent="0.35">
      <c r="A243" s="2"/>
      <c r="B243" s="2"/>
      <c r="C243" s="2"/>
      <c r="D243" s="2"/>
      <c r="E243" s="2"/>
      <c r="F243" s="2"/>
      <c r="G243" s="2"/>
      <c r="H243" s="2"/>
      <c r="I243" s="2"/>
      <c r="K243" s="2"/>
      <c r="L243" s="2"/>
      <c r="M243" s="2"/>
    </row>
    <row r="244" spans="1:13" x14ac:dyDescent="0.35">
      <c r="A244" s="2"/>
      <c r="B244" s="2"/>
      <c r="C244" s="2"/>
      <c r="D244" s="2"/>
      <c r="E244" s="2"/>
      <c r="F244" s="2"/>
      <c r="G244" s="2"/>
      <c r="H244" s="2"/>
      <c r="I244" s="2"/>
      <c r="K244" s="2"/>
      <c r="L244" s="2"/>
      <c r="M244" s="2"/>
    </row>
    <row r="245" spans="1:13" x14ac:dyDescent="0.35">
      <c r="A245" s="2"/>
      <c r="B245" s="2"/>
      <c r="C245" s="2"/>
      <c r="D245" s="2"/>
      <c r="E245" s="2"/>
      <c r="F245" s="2"/>
      <c r="G245" s="2"/>
      <c r="H245" s="2"/>
      <c r="I245" s="2"/>
      <c r="K245" s="2"/>
      <c r="L245" s="2"/>
      <c r="M245" s="2"/>
    </row>
    <row r="246" spans="1:13" x14ac:dyDescent="0.35">
      <c r="A246" s="2"/>
      <c r="B246" s="2"/>
      <c r="C246" s="2"/>
      <c r="D246" s="2"/>
      <c r="E246" s="2"/>
      <c r="F246" s="2"/>
      <c r="G246" s="2"/>
      <c r="H246" s="2"/>
      <c r="I246" s="2"/>
      <c r="K246" s="2"/>
      <c r="L246" s="2"/>
      <c r="M246" s="2"/>
    </row>
    <row r="247" spans="1:13" x14ac:dyDescent="0.35">
      <c r="A247" s="2"/>
      <c r="B247" s="2"/>
      <c r="C247" s="2"/>
      <c r="D247" s="2"/>
      <c r="E247" s="2"/>
      <c r="F247" s="2"/>
      <c r="G247" s="2"/>
      <c r="H247" s="2"/>
      <c r="I247" s="2"/>
      <c r="K247" s="2"/>
      <c r="L247" s="2"/>
      <c r="M247" s="2"/>
    </row>
    <row r="248" spans="1:13" x14ac:dyDescent="0.35">
      <c r="A248" s="2"/>
      <c r="B248" s="2"/>
      <c r="C248" s="2"/>
      <c r="D248" s="2"/>
      <c r="E248" s="2"/>
      <c r="F248" s="2"/>
      <c r="G248" s="2"/>
      <c r="H248" s="2"/>
      <c r="I248" s="2"/>
      <c r="K248" s="2"/>
      <c r="L248" s="2"/>
      <c r="M248" s="2"/>
    </row>
    <row r="249" spans="1:13" x14ac:dyDescent="0.35">
      <c r="A249" s="2"/>
      <c r="B249" s="2"/>
      <c r="C249" s="2"/>
      <c r="D249" s="2"/>
      <c r="E249" s="2"/>
      <c r="F249" s="2"/>
      <c r="G249" s="2"/>
      <c r="H249" s="2"/>
      <c r="I249" s="2"/>
      <c r="K249" s="2"/>
      <c r="L249" s="2"/>
      <c r="M249" s="2"/>
    </row>
    <row r="250" spans="1:13" x14ac:dyDescent="0.35">
      <c r="A250" s="2"/>
      <c r="B250" s="2"/>
      <c r="C250" s="2"/>
      <c r="D250" s="2"/>
      <c r="E250" s="2"/>
      <c r="F250" s="2"/>
      <c r="G250" s="2"/>
      <c r="H250" s="2"/>
      <c r="I250" s="2"/>
      <c r="K250" s="2"/>
      <c r="L250" s="2"/>
      <c r="M250" s="2"/>
    </row>
    <row r="251" spans="1:13" x14ac:dyDescent="0.35">
      <c r="A251" s="2"/>
      <c r="B251" s="2"/>
      <c r="C251" s="2"/>
      <c r="D251" s="2"/>
      <c r="E251" s="2"/>
      <c r="F251" s="2"/>
      <c r="G251" s="2"/>
      <c r="H251" s="2"/>
      <c r="I251" s="2"/>
      <c r="K251" s="2"/>
      <c r="L251" s="2"/>
      <c r="M251" s="2"/>
    </row>
    <row r="252" spans="1:13" x14ac:dyDescent="0.35">
      <c r="A252" s="2"/>
      <c r="B252" s="2"/>
      <c r="C252" s="2"/>
      <c r="D252" s="2"/>
      <c r="E252" s="2"/>
      <c r="F252" s="2"/>
      <c r="G252" s="2"/>
      <c r="H252" s="2"/>
      <c r="I252" s="2"/>
      <c r="K252" s="2"/>
      <c r="L252" s="2"/>
      <c r="M252" s="2"/>
    </row>
    <row r="253" spans="1:13" x14ac:dyDescent="0.35">
      <c r="A253" s="2"/>
      <c r="B253" s="2"/>
      <c r="C253" s="2"/>
      <c r="D253" s="2"/>
      <c r="E253" s="2"/>
      <c r="F253" s="2"/>
      <c r="G253" s="2"/>
      <c r="H253" s="2"/>
      <c r="I253" s="2"/>
      <c r="K253" s="2"/>
      <c r="L253" s="2"/>
      <c r="M253" s="2"/>
    </row>
    <row r="254" spans="1:13" x14ac:dyDescent="0.35">
      <c r="A254" s="2"/>
      <c r="B254" s="2"/>
      <c r="C254" s="2"/>
      <c r="D254" s="2"/>
      <c r="E254" s="2"/>
      <c r="F254" s="2"/>
      <c r="G254" s="2"/>
      <c r="H254" s="2"/>
      <c r="I254" s="2"/>
      <c r="K254" s="2"/>
      <c r="L254" s="2"/>
      <c r="M254" s="2"/>
    </row>
    <row r="255" spans="1:13" x14ac:dyDescent="0.35">
      <c r="A255" s="2"/>
      <c r="B255" s="2"/>
      <c r="C255" s="2"/>
      <c r="D255" s="2"/>
      <c r="E255" s="2"/>
      <c r="F255" s="2"/>
      <c r="G255" s="2"/>
      <c r="H255" s="2"/>
      <c r="I255" s="2"/>
      <c r="K255" s="2"/>
      <c r="L255" s="2"/>
      <c r="M255" s="2"/>
    </row>
    <row r="256" spans="1:13" x14ac:dyDescent="0.35">
      <c r="A256" s="2"/>
      <c r="B256" s="2"/>
      <c r="C256" s="2"/>
      <c r="D256" s="2"/>
      <c r="E256" s="2"/>
      <c r="F256" s="2"/>
      <c r="G256" s="2"/>
      <c r="H256" s="2"/>
      <c r="I256" s="2"/>
      <c r="K256" s="2"/>
      <c r="L256" s="2"/>
      <c r="M256" s="2"/>
    </row>
    <row r="257" spans="1:13" x14ac:dyDescent="0.35">
      <c r="A257" s="2"/>
      <c r="B257" s="2"/>
      <c r="C257" s="2"/>
      <c r="D257" s="2"/>
      <c r="E257" s="2"/>
      <c r="F257" s="2"/>
      <c r="G257" s="2"/>
      <c r="H257" s="2"/>
      <c r="I257" s="2"/>
      <c r="K257" s="2"/>
      <c r="L257" s="2"/>
      <c r="M257" s="2"/>
    </row>
    <row r="258" spans="1:13" x14ac:dyDescent="0.35">
      <c r="A258" s="2"/>
      <c r="B258" s="2"/>
      <c r="C258" s="2"/>
      <c r="D258" s="2"/>
      <c r="E258" s="2"/>
      <c r="F258" s="2"/>
      <c r="G258" s="2"/>
      <c r="H258" s="2"/>
      <c r="I258" s="2"/>
      <c r="K258" s="2"/>
      <c r="L258" s="2"/>
      <c r="M258" s="2"/>
    </row>
    <row r="259" spans="1:13" x14ac:dyDescent="0.35">
      <c r="A259" s="2"/>
      <c r="B259" s="2"/>
      <c r="C259" s="2"/>
      <c r="D259" s="2"/>
      <c r="E259" s="2"/>
      <c r="F259" s="2"/>
      <c r="G259" s="2"/>
      <c r="H259" s="2"/>
      <c r="I259" s="2"/>
      <c r="K259" s="2"/>
      <c r="L259" s="2"/>
      <c r="M259" s="2"/>
    </row>
    <row r="260" spans="1:13" x14ac:dyDescent="0.35">
      <c r="A260" s="2"/>
      <c r="B260" s="2"/>
      <c r="C260" s="2"/>
      <c r="D260" s="2"/>
      <c r="E260" s="2"/>
      <c r="F260" s="2"/>
      <c r="G260" s="2"/>
      <c r="H260" s="2"/>
      <c r="I260" s="2"/>
      <c r="K260" s="2"/>
      <c r="L260" s="2"/>
      <c r="M260" s="2"/>
    </row>
    <row r="261" spans="1:13" x14ac:dyDescent="0.35">
      <c r="A261" s="2"/>
      <c r="B261" s="2"/>
      <c r="C261" s="2"/>
      <c r="D261" s="2"/>
      <c r="E261" s="2"/>
      <c r="F261" s="2"/>
      <c r="G261" s="2"/>
      <c r="H261" s="2"/>
      <c r="I261" s="2"/>
      <c r="K261" s="2"/>
      <c r="L261" s="2"/>
      <c r="M261" s="2"/>
    </row>
    <row r="262" spans="1:13" x14ac:dyDescent="0.35">
      <c r="A262" s="2"/>
      <c r="B262" s="2"/>
      <c r="C262" s="2"/>
      <c r="D262" s="2"/>
      <c r="E262" s="2"/>
      <c r="F262" s="2"/>
      <c r="G262" s="2"/>
      <c r="H262" s="2"/>
      <c r="I262" s="2"/>
      <c r="K262" s="2"/>
      <c r="L262" s="2"/>
      <c r="M262" s="2"/>
    </row>
    <row r="263" spans="1:13" x14ac:dyDescent="0.35">
      <c r="A263" s="2"/>
      <c r="B263" s="2"/>
      <c r="C263" s="2"/>
      <c r="D263" s="2"/>
      <c r="E263" s="2"/>
      <c r="F263" s="2"/>
      <c r="G263" s="2"/>
      <c r="H263" s="2"/>
      <c r="I263" s="2"/>
      <c r="K263" s="2"/>
      <c r="L263" s="2"/>
      <c r="M263" s="2"/>
    </row>
    <row r="264" spans="1:13" x14ac:dyDescent="0.35">
      <c r="A264" s="2"/>
      <c r="B264" s="2"/>
      <c r="C264" s="2"/>
      <c r="D264" s="2"/>
      <c r="E264" s="2"/>
      <c r="F264" s="2"/>
      <c r="G264" s="2"/>
      <c r="H264" s="2"/>
      <c r="I264" s="2"/>
      <c r="K264" s="2"/>
      <c r="L264" s="2"/>
      <c r="M264" s="2"/>
    </row>
    <row r="265" spans="1:13" x14ac:dyDescent="0.35">
      <c r="A265" s="2"/>
      <c r="B265" s="2"/>
      <c r="C265" s="2"/>
      <c r="D265" s="2"/>
      <c r="E265" s="2"/>
      <c r="F265" s="2"/>
      <c r="G265" s="2"/>
      <c r="H265" s="2"/>
      <c r="I265" s="2"/>
      <c r="K265" s="2"/>
      <c r="L265" s="2"/>
      <c r="M265" s="2"/>
    </row>
    <row r="266" spans="1:13" x14ac:dyDescent="0.35">
      <c r="A266" s="2"/>
      <c r="B266" s="2"/>
      <c r="C266" s="2"/>
      <c r="D266" s="2"/>
      <c r="E266" s="2"/>
      <c r="F266" s="2"/>
      <c r="G266" s="2"/>
      <c r="H266" s="2"/>
      <c r="I266" s="2"/>
      <c r="K266" s="2"/>
      <c r="L266" s="2"/>
      <c r="M266" s="2"/>
    </row>
    <row r="267" spans="1:13" x14ac:dyDescent="0.35">
      <c r="A267" s="2"/>
      <c r="B267" s="2"/>
      <c r="C267" s="2"/>
      <c r="D267" s="2"/>
      <c r="E267" s="2"/>
      <c r="F267" s="2"/>
      <c r="G267" s="2"/>
      <c r="H267" s="2"/>
      <c r="I267" s="2"/>
      <c r="K267" s="2"/>
      <c r="L267" s="2"/>
      <c r="M267" s="2"/>
    </row>
    <row r="268" spans="1:13" x14ac:dyDescent="0.35">
      <c r="A268" s="2"/>
      <c r="B268" s="2"/>
      <c r="C268" s="2"/>
      <c r="D268" s="2"/>
      <c r="E268" s="2"/>
      <c r="F268" s="2"/>
      <c r="G268" s="2"/>
      <c r="H268" s="2"/>
      <c r="I268" s="2"/>
      <c r="K268" s="2"/>
      <c r="L268" s="2"/>
      <c r="M268" s="2"/>
    </row>
    <row r="269" spans="1:13" x14ac:dyDescent="0.35">
      <c r="A269" s="2"/>
      <c r="B269" s="2"/>
      <c r="C269" s="2"/>
      <c r="D269" s="2"/>
      <c r="E269" s="2"/>
      <c r="F269" s="2"/>
      <c r="G269" s="2"/>
      <c r="H269" s="2"/>
      <c r="I269" s="2"/>
      <c r="K269" s="2"/>
      <c r="L269" s="2"/>
      <c r="M269" s="2"/>
    </row>
    <row r="270" spans="1:13" x14ac:dyDescent="0.35">
      <c r="A270" s="2"/>
      <c r="B270" s="2"/>
      <c r="C270" s="2"/>
      <c r="D270" s="2"/>
      <c r="E270" s="2"/>
      <c r="F270" s="2"/>
      <c r="G270" s="2"/>
      <c r="H270" s="2"/>
      <c r="I270" s="2"/>
      <c r="K270" s="2"/>
      <c r="L270" s="2"/>
      <c r="M270" s="2"/>
    </row>
    <row r="271" spans="1:13" x14ac:dyDescent="0.35">
      <c r="A271" s="2"/>
      <c r="B271" s="2"/>
      <c r="C271" s="2"/>
      <c r="D271" s="2"/>
      <c r="E271" s="2"/>
      <c r="F271" s="2"/>
      <c r="G271" s="2"/>
      <c r="H271" s="2"/>
      <c r="I271" s="2"/>
      <c r="K271" s="2"/>
      <c r="L271" s="2"/>
      <c r="M271" s="2"/>
    </row>
    <row r="272" spans="1:13" x14ac:dyDescent="0.35">
      <c r="A272" s="2"/>
      <c r="B272" s="2"/>
      <c r="C272" s="2"/>
      <c r="D272" s="2"/>
      <c r="E272" s="2"/>
      <c r="F272" s="2"/>
      <c r="G272" s="2"/>
      <c r="H272" s="2"/>
      <c r="I272" s="2"/>
      <c r="K272" s="2"/>
      <c r="L272" s="2"/>
      <c r="M272" s="2"/>
    </row>
    <row r="273" spans="1:13" x14ac:dyDescent="0.35">
      <c r="A273" s="2"/>
      <c r="B273" s="2"/>
      <c r="C273" s="2"/>
      <c r="D273" s="2"/>
      <c r="E273" s="2"/>
      <c r="F273" s="2"/>
      <c r="G273" s="2"/>
      <c r="H273" s="2"/>
      <c r="I273" s="2"/>
      <c r="K273" s="2"/>
      <c r="L273" s="2"/>
      <c r="M273" s="2"/>
    </row>
    <row r="274" spans="1:13" x14ac:dyDescent="0.35">
      <c r="A274" s="2"/>
      <c r="B274" s="2"/>
      <c r="C274" s="2"/>
      <c r="D274" s="2"/>
      <c r="E274" s="2"/>
      <c r="F274" s="2"/>
      <c r="G274" s="2"/>
      <c r="H274" s="2"/>
      <c r="I274" s="2"/>
      <c r="K274" s="2"/>
      <c r="L274" s="2"/>
      <c r="M274" s="2"/>
    </row>
  </sheetData>
  <printOptions horizontalCentered="1"/>
  <pageMargins left="0" right="0.15" top="0.63" bottom="0.36" header="0.22" footer="0.17"/>
  <pageSetup scale="66" orientation="landscape" r:id="rId1"/>
  <headerFooter alignWithMargins="0">
    <oddHeader xml:space="preserve">&amp;L&amp;"Times New Roman,Bold"&amp;12REVISED AS OF &amp;D&amp;C&amp;"Times New Roman,Bold"UNIVERSITY of SOUTHERN CALIFORNIA
Statement of Activities
USC, Norris, REDC,  USC Care, AMI-USC, ICT Productions and APF
Restated for Publication &amp;R
</oddHeader>
    <oddFooter>&amp;Cpage &amp;P+1&amp;R&amp;Z&amp;F\&amp;A : &amp;D</oddFooter>
  </headerFooter>
  <colBreaks count="1" manualBreakCount="1">
    <brk id="6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Q274"/>
  <sheetViews>
    <sheetView showZeros="0" topLeftCell="A8" zoomScaleNormal="100" workbookViewId="0">
      <pane xSplit="1" ySplit="6" topLeftCell="B14" activePane="bottomRight" state="frozen"/>
      <selection activeCell="A8" sqref="A8"/>
      <selection pane="topRight" activeCell="B8" sqref="B8"/>
      <selection pane="bottomLeft" activeCell="A14" sqref="A14"/>
      <selection pane="bottomRight" activeCell="M8" sqref="M1:M1048576"/>
    </sheetView>
  </sheetViews>
  <sheetFormatPr defaultColWidth="9.1171875" defaultRowHeight="10.35" x14ac:dyDescent="0.35"/>
  <cols>
    <col min="1" max="1" width="35.87890625" style="1" customWidth="1"/>
    <col min="2" max="9" width="15.29296875" style="1" customWidth="1"/>
    <col min="10" max="10" width="2.41015625" style="2" customWidth="1"/>
    <col min="11" max="12" width="14.41015625" style="1" customWidth="1"/>
    <col min="13" max="13" width="16.1171875" style="1" customWidth="1"/>
    <col min="14" max="16384" width="9.1171875" style="1"/>
  </cols>
  <sheetData>
    <row r="1" spans="1:13" x14ac:dyDescent="0.35">
      <c r="A1" s="2"/>
    </row>
    <row r="3" spans="1:13" x14ac:dyDescent="0.35">
      <c r="M3" s="2"/>
    </row>
    <row r="4" spans="1:13" x14ac:dyDescent="0.35">
      <c r="M4" s="2"/>
    </row>
    <row r="5" spans="1:13" x14ac:dyDescent="0.35">
      <c r="B5" s="2"/>
      <c r="I5" s="82"/>
      <c r="J5" s="81"/>
      <c r="K5" s="81"/>
      <c r="L5" s="81"/>
      <c r="M5" s="68" t="s">
        <v>87</v>
      </c>
    </row>
    <row r="6" spans="1:13" ht="9.75" customHeight="1" thickBot="1" x14ac:dyDescent="0.4">
      <c r="A6" s="2"/>
      <c r="B6" s="2"/>
      <c r="C6" s="70"/>
      <c r="D6" s="70"/>
      <c r="E6" s="71"/>
      <c r="F6" s="70"/>
      <c r="G6" s="70"/>
      <c r="H6" s="71"/>
      <c r="I6" s="80"/>
      <c r="J6" s="80"/>
      <c r="K6" s="80"/>
      <c r="L6" s="80"/>
      <c r="M6" s="79" t="s">
        <v>115</v>
      </c>
    </row>
    <row r="7" spans="1:13" ht="9.75" customHeight="1" x14ac:dyDescent="0.35">
      <c r="A7" s="2"/>
      <c r="B7" s="78"/>
      <c r="C7" s="70"/>
      <c r="D7" s="70"/>
      <c r="E7" s="71"/>
      <c r="F7" s="70"/>
      <c r="G7" s="70"/>
      <c r="H7" s="71"/>
      <c r="I7" s="63"/>
      <c r="J7" s="63"/>
      <c r="K7" s="63"/>
      <c r="L7" s="63"/>
      <c r="M7" s="77"/>
    </row>
    <row r="8" spans="1:13" ht="9.75" customHeight="1" x14ac:dyDescent="0.35">
      <c r="A8" s="2"/>
      <c r="B8" s="78" t="s">
        <v>73</v>
      </c>
      <c r="C8" s="70"/>
      <c r="D8" s="70"/>
      <c r="E8" s="71"/>
      <c r="F8" s="70"/>
      <c r="G8" s="70"/>
      <c r="H8" s="71"/>
      <c r="I8" s="63"/>
      <c r="J8" s="63"/>
      <c r="K8" s="63"/>
      <c r="L8" s="63"/>
      <c r="M8" s="77"/>
    </row>
    <row r="9" spans="1:13" ht="9.75" customHeight="1" x14ac:dyDescent="0.35">
      <c r="A9" s="2"/>
      <c r="B9" s="76" t="s">
        <v>62</v>
      </c>
      <c r="C9" s="70"/>
      <c r="D9" s="70"/>
      <c r="E9" s="71"/>
      <c r="F9" s="70"/>
      <c r="G9" s="70"/>
      <c r="H9" s="71"/>
      <c r="I9" s="63"/>
      <c r="J9" s="63"/>
      <c r="K9" s="63"/>
      <c r="L9" s="63"/>
      <c r="M9" s="63"/>
    </row>
    <row r="10" spans="1:13" ht="9.75" customHeight="1" x14ac:dyDescent="0.35">
      <c r="A10" s="2"/>
      <c r="B10" s="11"/>
      <c r="C10" s="11"/>
      <c r="D10" s="75" t="s">
        <v>85</v>
      </c>
      <c r="E10" s="74"/>
      <c r="F10" s="11"/>
      <c r="G10" s="11"/>
      <c r="H10" s="74"/>
      <c r="I10" s="73"/>
      <c r="J10" s="63"/>
      <c r="K10" s="63"/>
      <c r="L10" s="63"/>
      <c r="M10" s="63"/>
    </row>
    <row r="11" spans="1:13" ht="9.75" customHeight="1" x14ac:dyDescent="0.35">
      <c r="A11" s="2"/>
      <c r="B11" s="13"/>
      <c r="C11" s="13"/>
      <c r="D11" s="72" t="s">
        <v>84</v>
      </c>
      <c r="E11" s="67" t="s">
        <v>83</v>
      </c>
      <c r="F11" s="13"/>
      <c r="G11" s="2"/>
      <c r="H11" s="71"/>
      <c r="I11" s="68" t="s">
        <v>71</v>
      </c>
      <c r="J11" s="63"/>
      <c r="K11" s="68" t="s">
        <v>82</v>
      </c>
      <c r="L11" s="69" t="s">
        <v>81</v>
      </c>
      <c r="M11" s="63"/>
    </row>
    <row r="12" spans="1:13" ht="9.75" customHeight="1" x14ac:dyDescent="0.35">
      <c r="A12" s="2"/>
      <c r="B12" s="13" t="s">
        <v>79</v>
      </c>
      <c r="C12" s="13" t="s">
        <v>78</v>
      </c>
      <c r="D12" s="67" t="s">
        <v>77</v>
      </c>
      <c r="E12" s="67" t="s">
        <v>77</v>
      </c>
      <c r="F12" s="13" t="s">
        <v>76</v>
      </c>
      <c r="G12" s="13" t="s">
        <v>75</v>
      </c>
      <c r="H12" s="13" t="s">
        <v>74</v>
      </c>
      <c r="I12" s="69" t="s">
        <v>73</v>
      </c>
      <c r="J12" s="63"/>
      <c r="K12" s="68" t="s">
        <v>72</v>
      </c>
      <c r="L12" s="68" t="s">
        <v>72</v>
      </c>
      <c r="M12" s="68" t="s">
        <v>71</v>
      </c>
    </row>
    <row r="13" spans="1:13" ht="9.75" customHeight="1" x14ac:dyDescent="0.35">
      <c r="A13" s="2"/>
      <c r="B13" s="66" t="s">
        <v>69</v>
      </c>
      <c r="C13" s="66" t="s">
        <v>68</v>
      </c>
      <c r="D13" s="67" t="s">
        <v>67</v>
      </c>
      <c r="E13" s="66" t="s">
        <v>66</v>
      </c>
      <c r="F13" s="66" t="s">
        <v>65</v>
      </c>
      <c r="G13" s="66" t="s">
        <v>64</v>
      </c>
      <c r="H13" s="66" t="s">
        <v>63</v>
      </c>
      <c r="I13" s="65" t="s">
        <v>62</v>
      </c>
      <c r="J13" s="63"/>
      <c r="K13" s="65" t="s">
        <v>62</v>
      </c>
      <c r="L13" s="65" t="s">
        <v>62</v>
      </c>
      <c r="M13" s="65" t="s">
        <v>62</v>
      </c>
    </row>
    <row r="14" spans="1:13" ht="9.75" customHeight="1" x14ac:dyDescent="0.35">
      <c r="A14" s="33" t="s">
        <v>60</v>
      </c>
      <c r="D14" s="9"/>
      <c r="I14" s="64"/>
      <c r="J14" s="63"/>
      <c r="K14" s="62"/>
      <c r="L14" s="62"/>
      <c r="M14" s="62"/>
    </row>
    <row r="15" spans="1:13" ht="9.75" customHeight="1" x14ac:dyDescent="0.35">
      <c r="A15" s="6" t="s">
        <v>59</v>
      </c>
      <c r="B15" s="30">
        <f>ROUND(('[6]Changes FY12'!B15),-3)</f>
        <v>1365963000</v>
      </c>
      <c r="C15" s="20">
        <f>ROUND(('[6]Changes FY12'!C15),-3)</f>
        <v>0</v>
      </c>
      <c r="D15" s="20">
        <f>ROUND(('[6]Changes FY12'!D15),-3)</f>
        <v>0</v>
      </c>
      <c r="E15" s="20">
        <f>ROUND(('[6]Changes FY12'!E15),-3)</f>
        <v>0</v>
      </c>
      <c r="F15" s="20">
        <f>ROUND(('[6]Changes FY12'!F15),-3)</f>
        <v>0</v>
      </c>
      <c r="G15" s="20">
        <f>ROUND(('[6]Changes FY12'!G15),-3)</f>
        <v>0</v>
      </c>
      <c r="H15" s="20">
        <f>ROUND(('[6]Changes FY12'!H15),-3)</f>
        <v>0</v>
      </c>
      <c r="I15" s="32">
        <f t="shared" ref="I15:I30" si="0">SUM(B15:H15)</f>
        <v>1365963000</v>
      </c>
      <c r="J15" s="28"/>
      <c r="K15" s="29">
        <f>ROUND(('[6]Changes FY12'!K15),-3)</f>
        <v>0</v>
      </c>
      <c r="L15" s="29">
        <f>ROUND(('[6]Changes FY12'!L15),-3)</f>
        <v>0</v>
      </c>
      <c r="M15" s="32">
        <f t="shared" ref="M15:M32" si="1">SUM(I15:L15)</f>
        <v>1365963000</v>
      </c>
    </row>
    <row r="16" spans="1:13" ht="9.75" customHeight="1" x14ac:dyDescent="0.35">
      <c r="A16" s="6" t="s">
        <v>58</v>
      </c>
      <c r="B16" s="20">
        <f>ROUND(('[6]Changes FY12'!B16),-3)</f>
        <v>-388803000</v>
      </c>
      <c r="C16" s="20">
        <f>ROUND(('[6]Changes FY12'!C16),-3)</f>
        <v>0</v>
      </c>
      <c r="D16" s="20">
        <f>ROUND(('[6]Changes FY12'!D16),-3)</f>
        <v>0</v>
      </c>
      <c r="E16" s="20">
        <f>ROUND(('[6]Changes FY12'!E16),-3)</f>
        <v>0</v>
      </c>
      <c r="F16" s="20">
        <f>ROUND(('[6]Changes FY12'!F16),-3)</f>
        <v>0</v>
      </c>
      <c r="G16" s="20">
        <f>ROUND(('[6]Changes FY12'!G16),-3)</f>
        <v>0</v>
      </c>
      <c r="H16" s="20">
        <f>ROUND(('[6]Changes FY12'!H16),-3)</f>
        <v>0</v>
      </c>
      <c r="I16" s="28">
        <f t="shared" si="0"/>
        <v>-388803000</v>
      </c>
      <c r="J16" s="28"/>
      <c r="K16" s="29">
        <f>ROUND(('[6]Changes FY12'!K16),-3)</f>
        <v>0</v>
      </c>
      <c r="L16" s="29">
        <f>ROUND(('[6]Changes FY12'!L16),-3)</f>
        <v>0</v>
      </c>
      <c r="M16" s="28">
        <f t="shared" si="1"/>
        <v>-388803000</v>
      </c>
    </row>
    <row r="17" spans="1:13" ht="9.75" customHeight="1" x14ac:dyDescent="0.35">
      <c r="A17" s="61" t="s">
        <v>57</v>
      </c>
      <c r="B17" s="60">
        <f>B16+B15</f>
        <v>977160000</v>
      </c>
      <c r="C17" s="20">
        <f>ROUND(('[6]Changes FY12'!C17),-3)</f>
        <v>0</v>
      </c>
      <c r="D17" s="20">
        <f>ROUND(('[6]Changes FY12'!D17),-3)</f>
        <v>0</v>
      </c>
      <c r="E17" s="20">
        <f>ROUND(('[6]Changes FY12'!E17),-3)</f>
        <v>0</v>
      </c>
      <c r="F17" s="20">
        <f>ROUND(('[6]Changes FY12'!F17),-3)</f>
        <v>0</v>
      </c>
      <c r="G17" s="20">
        <f>ROUND(('[6]Changes FY12'!G17),-3)</f>
        <v>0</v>
      </c>
      <c r="H17" s="20">
        <f>ROUND(('[6]Changes FY12'!H17),-3)</f>
        <v>0</v>
      </c>
      <c r="I17" s="87">
        <f t="shared" si="0"/>
        <v>977160000</v>
      </c>
      <c r="J17" s="88"/>
      <c r="K17" s="29">
        <f>ROUND(('[6]Changes FY12'!K17),-3)</f>
        <v>0</v>
      </c>
      <c r="L17" s="29">
        <f>ROUND(('[6]Changes FY12'!L17),-3)</f>
        <v>0</v>
      </c>
      <c r="M17" s="87">
        <f t="shared" si="1"/>
        <v>977160000</v>
      </c>
    </row>
    <row r="18" spans="1:13" ht="9.75" customHeight="1" x14ac:dyDescent="0.35">
      <c r="A18" s="6" t="s">
        <v>56</v>
      </c>
      <c r="B18" s="20">
        <f>ROUND(('[6]Changes FY12'!B18),-3)</f>
        <v>31223000</v>
      </c>
      <c r="C18" s="20">
        <f>ROUND(('[6]Changes FY12'!C18),-3)</f>
        <v>0</v>
      </c>
      <c r="D18" s="30">
        <f>ROUND(('[6]Changes FY12'!D18),-3)</f>
        <v>24918000</v>
      </c>
      <c r="E18" s="20">
        <f>ROUND(('[6]Changes FY12'!E18),-3)</f>
        <v>0</v>
      </c>
      <c r="F18" s="20">
        <f>ROUND(('[6]Changes FY12'!F18),-3)</f>
        <v>0</v>
      </c>
      <c r="G18" s="20">
        <f>ROUND(('[6]Changes FY12'!G18),-3)</f>
        <v>0</v>
      </c>
      <c r="H18" s="20">
        <f>ROUND(('[6]Changes FY12'!H18),-3)</f>
        <v>0</v>
      </c>
      <c r="I18" s="28">
        <f t="shared" si="0"/>
        <v>56141000</v>
      </c>
      <c r="J18" s="28"/>
      <c r="K18" s="29">
        <f>ROUND(('[6]Changes FY12'!K18),-3)</f>
        <v>0</v>
      </c>
      <c r="L18" s="31">
        <f>ROUND(('[6]Changes FY12'!L18),-3)</f>
        <v>441000</v>
      </c>
      <c r="M18" s="28">
        <f t="shared" si="1"/>
        <v>56582000</v>
      </c>
    </row>
    <row r="19" spans="1:13" ht="9.75" customHeight="1" x14ac:dyDescent="0.35">
      <c r="A19" s="6" t="s">
        <v>55</v>
      </c>
      <c r="B19" s="20">
        <f>ROUND(('[6]Changes FY12'!B19),-3)</f>
        <v>3359000</v>
      </c>
      <c r="C19" s="20">
        <f>ROUND(('[6]Changes FY12'!C19),-3)</f>
        <v>0</v>
      </c>
      <c r="D19" s="20">
        <f>ROUND(('[6]Changes FY12'!D19),-3)</f>
        <v>2450000</v>
      </c>
      <c r="E19" s="30">
        <f>ROUND(('[6]Changes FY12'!E19),-3)</f>
        <v>6767000</v>
      </c>
      <c r="F19" s="20">
        <f>ROUND(('[6]Changes FY12'!F19),-3)</f>
        <v>0</v>
      </c>
      <c r="G19" s="20">
        <f>ROUND(('[6]Changes FY12'!G19),-3)</f>
        <v>0</v>
      </c>
      <c r="H19" s="20">
        <f>ROUND(('[6]Changes FY12'!H19),-3)</f>
        <v>-715000</v>
      </c>
      <c r="I19" s="28">
        <f t="shared" si="0"/>
        <v>11861000</v>
      </c>
      <c r="J19" s="28"/>
      <c r="K19" s="31">
        <f>ROUND(('[6]Changes FY12'!K19),-3)</f>
        <v>2000</v>
      </c>
      <c r="L19" s="29">
        <f>ROUND(('[6]Changes FY12'!L19),-3)-1000</f>
        <v>167000</v>
      </c>
      <c r="M19" s="28">
        <f t="shared" si="1"/>
        <v>12030000</v>
      </c>
    </row>
    <row r="20" spans="1:13" ht="9.75" customHeight="1" x14ac:dyDescent="0.35">
      <c r="A20" s="6" t="s">
        <v>54</v>
      </c>
      <c r="B20" s="20">
        <f>ROUND(('[6]Changes FY12'!B20),-3)</f>
        <v>0</v>
      </c>
      <c r="C20" s="20">
        <f>ROUND(('[6]Changes FY12'!C20),-3)</f>
        <v>0</v>
      </c>
      <c r="D20" s="20">
        <f>ROUND(('[6]Changes FY12'!D20),-3)</f>
        <v>-1554000</v>
      </c>
      <c r="E20" s="20">
        <f>ROUND(('[6]Changes FY12'!E20),-3)</f>
        <v>1600000</v>
      </c>
      <c r="F20" s="20">
        <f>ROUND(('[6]Changes FY12'!F20),-3)</f>
        <v>0</v>
      </c>
      <c r="G20" s="30">
        <f>ROUND(('[6]Changes FY12'!G20),-3)</f>
        <v>-27065000</v>
      </c>
      <c r="H20" s="20">
        <f>ROUND(('[6]Changes FY12'!H20),-3)</f>
        <v>0</v>
      </c>
      <c r="I20" s="28">
        <f t="shared" si="0"/>
        <v>-27019000</v>
      </c>
      <c r="J20" s="28"/>
      <c r="K20" s="29">
        <f>ROUND(('[6]Changes FY12'!K20),-3)</f>
        <v>-29592000</v>
      </c>
      <c r="L20" s="29">
        <f>ROUND(('[6]Changes FY12'!L20),-3)</f>
        <v>-3785000</v>
      </c>
      <c r="M20" s="28">
        <f t="shared" si="1"/>
        <v>-60396000</v>
      </c>
    </row>
    <row r="21" spans="1:13" ht="9.75" customHeight="1" x14ac:dyDescent="0.35">
      <c r="A21" s="6" t="s">
        <v>53</v>
      </c>
      <c r="B21" s="20">
        <f>ROUND(('[6]Changes FY12'!B21),-3)</f>
        <v>0</v>
      </c>
      <c r="C21" s="20">
        <f>ROUND(('[6]Changes FY12'!C21),-3)</f>
        <v>0</v>
      </c>
      <c r="D21" s="20">
        <f>ROUND(('[6]Changes FY12'!D21),-3)</f>
        <v>323789000</v>
      </c>
      <c r="E21" s="20">
        <f>ROUND(('[6]Changes FY12'!E21),-3)</f>
        <v>0</v>
      </c>
      <c r="F21" s="20">
        <f>ROUND(('[6]Changes FY12'!F21),-3)</f>
        <v>0</v>
      </c>
      <c r="G21" s="20">
        <f>ROUND(('[6]Changes FY12'!G21),-3)</f>
        <v>0</v>
      </c>
      <c r="H21" s="20">
        <f>ROUND(('[6]Changes FY12'!H21),-3)</f>
        <v>0</v>
      </c>
      <c r="I21" s="28">
        <f t="shared" si="0"/>
        <v>323789000</v>
      </c>
      <c r="J21" s="28"/>
      <c r="K21" s="29">
        <f>ROUND(('[6]Changes FY12'!K21),-3)</f>
        <v>0</v>
      </c>
      <c r="L21" s="29">
        <f>ROUND(('[6]Changes FY12'!L21),-3)</f>
        <v>0</v>
      </c>
      <c r="M21" s="28">
        <f t="shared" si="1"/>
        <v>323789000</v>
      </c>
    </row>
    <row r="22" spans="1:13" ht="9.75" customHeight="1" x14ac:dyDescent="0.35">
      <c r="A22" s="6" t="s">
        <v>52</v>
      </c>
      <c r="B22" s="20">
        <f>ROUND(('[6]Changes FY12'!B22),-3)</f>
        <v>132012000</v>
      </c>
      <c r="C22" s="20">
        <f>ROUND(('[6]Changes FY12'!C22),-3)</f>
        <v>0</v>
      </c>
      <c r="D22" s="20">
        <f>ROUND(('[6]Changes FY12'!D22),-3)</f>
        <v>0</v>
      </c>
      <c r="E22" s="20">
        <f>ROUND(('[6]Changes FY12'!E22),-3)</f>
        <v>0</v>
      </c>
      <c r="F22" s="20">
        <f>ROUND(('[6]Changes FY12'!F22),-3)</f>
        <v>0</v>
      </c>
      <c r="G22" s="20">
        <f>ROUND(('[6]Changes FY12'!G22),-3)</f>
        <v>0</v>
      </c>
      <c r="H22" s="20">
        <f>ROUND(('[6]Changes FY12'!H22),-3)</f>
        <v>0</v>
      </c>
      <c r="I22" s="28">
        <f t="shared" si="0"/>
        <v>132012000</v>
      </c>
      <c r="J22" s="28"/>
      <c r="K22" s="29">
        <f>ROUND(('[6]Changes FY12'!K22),-3)</f>
        <v>0</v>
      </c>
      <c r="L22" s="29">
        <f>ROUND(('[6]Changes FY12'!L22),-3)</f>
        <v>0</v>
      </c>
      <c r="M22" s="28">
        <f t="shared" si="1"/>
        <v>132012000</v>
      </c>
    </row>
    <row r="23" spans="1:13" ht="9.75" customHeight="1" x14ac:dyDescent="0.35">
      <c r="A23" s="6" t="s">
        <v>51</v>
      </c>
      <c r="B23" s="20">
        <f>ROUND(('[6]Changes FY12'!B23),-3)-1000</f>
        <v>37787000</v>
      </c>
      <c r="C23" s="20">
        <f>ROUND(('[6]Changes FY12'!C23),-3)</f>
        <v>0</v>
      </c>
      <c r="D23" s="20">
        <f>ROUND(('[6]Changes FY12'!D23),-3)</f>
        <v>238454000</v>
      </c>
      <c r="E23" s="20">
        <f>ROUND(('[6]Changes FY12'!E23),-3)</f>
        <v>19256000</v>
      </c>
      <c r="F23" s="30">
        <f>ROUND(('[6]Changes FY12'!F23),-3)</f>
        <v>41000</v>
      </c>
      <c r="G23" s="20">
        <f>ROUND(('[6]Changes FY12'!G23),-3)</f>
        <v>0</v>
      </c>
      <c r="H23" s="20">
        <f>ROUND(('[6]Changes FY12'!H23),-3)</f>
        <v>0</v>
      </c>
      <c r="I23" s="28">
        <f t="shared" si="0"/>
        <v>295538000</v>
      </c>
      <c r="J23" s="28"/>
      <c r="K23" s="29">
        <f>ROUND(('[6]Changes FY12'!K23),-3)</f>
        <v>93873000</v>
      </c>
      <c r="L23" s="29">
        <f>ROUND(('[6]Changes FY12'!L23),-3)</f>
        <v>138499000</v>
      </c>
      <c r="M23" s="28">
        <f t="shared" si="1"/>
        <v>527910000</v>
      </c>
    </row>
    <row r="24" spans="1:13" ht="9.75" customHeight="1" x14ac:dyDescent="0.35">
      <c r="A24" s="6" t="s">
        <v>50</v>
      </c>
      <c r="B24" s="20">
        <f>ROUND(('[6]Changes FY12'!B24),-3)</f>
        <v>28902000</v>
      </c>
      <c r="C24" s="20">
        <f>ROUND(('[6]Changes FY12'!C24),-3)</f>
        <v>0</v>
      </c>
      <c r="D24" s="20">
        <f>ROUND(('[6]Changes FY12'!D24),-3)</f>
        <v>0</v>
      </c>
      <c r="E24" s="20">
        <f>ROUND(('[6]Changes FY12'!E24),-3)</f>
        <v>0</v>
      </c>
      <c r="F24" s="20">
        <f>ROUND(('[6]Changes FY12'!F24),-3)</f>
        <v>0</v>
      </c>
      <c r="G24" s="20">
        <f>ROUND(('[6]Changes FY12'!G24),-3)</f>
        <v>0</v>
      </c>
      <c r="H24" s="20">
        <f>ROUND(('[6]Changes FY12'!H24),-3)</f>
        <v>0</v>
      </c>
      <c r="I24" s="28">
        <f t="shared" si="0"/>
        <v>28902000</v>
      </c>
      <c r="J24" s="28"/>
      <c r="K24" s="29">
        <f>ROUND(('[6]Changes FY12'!K24),-3)</f>
        <v>0</v>
      </c>
      <c r="L24" s="29">
        <f>ROUND(('[6]Changes FY12'!L24),-3)</f>
        <v>0</v>
      </c>
      <c r="M24" s="28">
        <f t="shared" si="1"/>
        <v>28902000</v>
      </c>
    </row>
    <row r="25" spans="1:13" ht="9.75" customHeight="1" x14ac:dyDescent="0.35">
      <c r="A25" s="6" t="s">
        <v>49</v>
      </c>
      <c r="B25" s="20">
        <f>ROUND(('[6]Changes FY12'!B25),-3)</f>
        <v>254857000</v>
      </c>
      <c r="C25" s="20">
        <f>ROUND(('[6]Changes FY12'!C25),-3)</f>
        <v>0</v>
      </c>
      <c r="D25" s="20">
        <f>ROUND(('[6]Changes FY12'!D25),-3)</f>
        <v>0</v>
      </c>
      <c r="E25" s="20">
        <f>ROUND(('[6]Changes FY12'!E25),-3)</f>
        <v>0</v>
      </c>
      <c r="F25" s="20">
        <f>ROUND(('[6]Changes FY12'!F25),-3)</f>
        <v>0</v>
      </c>
      <c r="G25" s="20">
        <f>ROUND(('[6]Changes FY12'!G25),-3)</f>
        <v>0</v>
      </c>
      <c r="H25" s="20">
        <f>ROUND(('[6]Changes FY12'!H25),-3)</f>
        <v>0</v>
      </c>
      <c r="I25" s="28">
        <f t="shared" si="0"/>
        <v>254857000</v>
      </c>
      <c r="J25" s="28"/>
      <c r="K25" s="29">
        <f>ROUND(('[6]Changes FY12'!K25),-3)</f>
        <v>0</v>
      </c>
      <c r="L25" s="29">
        <f>ROUND(('[6]Changes FY12'!L25),-3)</f>
        <v>0</v>
      </c>
      <c r="M25" s="28">
        <f t="shared" si="1"/>
        <v>254857000</v>
      </c>
    </row>
    <row r="26" spans="1:13" ht="9.75" customHeight="1" x14ac:dyDescent="0.35">
      <c r="A26" s="6" t="s">
        <v>92</v>
      </c>
      <c r="B26" s="20"/>
      <c r="C26" s="30">
        <f>ROUND(('[6]Changes FY12'!C26),-3)</f>
        <v>750120000</v>
      </c>
      <c r="D26" s="20"/>
      <c r="E26" s="20"/>
      <c r="F26" s="20"/>
      <c r="G26" s="20"/>
      <c r="H26" s="20"/>
      <c r="I26" s="28">
        <f t="shared" si="0"/>
        <v>750120000</v>
      </c>
      <c r="J26" s="28"/>
      <c r="K26" s="29"/>
      <c r="L26" s="29"/>
      <c r="M26" s="28">
        <f t="shared" si="1"/>
        <v>750120000</v>
      </c>
    </row>
    <row r="27" spans="1:13" ht="9.75" customHeight="1" x14ac:dyDescent="0.35">
      <c r="A27" s="6" t="s">
        <v>48</v>
      </c>
      <c r="B27" s="20">
        <f>ROUND(('[6]Changes FY12'!B27),-3)</f>
        <v>0</v>
      </c>
      <c r="C27" s="20">
        <f>ROUND(('[6]Changes FY12'!C27),-3)</f>
        <v>119501000</v>
      </c>
      <c r="D27" s="20">
        <f>ROUND(('[6]Changes FY12'!D27),-3)</f>
        <v>0</v>
      </c>
      <c r="E27" s="20">
        <f>ROUND(('[6]Changes FY12'!E27),-3)</f>
        <v>0</v>
      </c>
      <c r="F27" s="20">
        <f>ROUND(('[6]Changes FY12'!F27),-3)</f>
        <v>0</v>
      </c>
      <c r="G27" s="20">
        <f>ROUND(('[6]Changes FY12'!G27),-3)</f>
        <v>0</v>
      </c>
      <c r="H27" s="20">
        <f>ROUND(('[6]Changes FY12'!H27),-3)</f>
        <v>0</v>
      </c>
      <c r="I27" s="28">
        <f t="shared" si="0"/>
        <v>119501000</v>
      </c>
      <c r="J27" s="28"/>
      <c r="K27" s="29">
        <f>ROUND(('[6]Changes FY12'!K27),-3)</f>
        <v>0</v>
      </c>
      <c r="L27" s="29">
        <f>ROUND(('[6]Changes FY12'!L27),-3)</f>
        <v>0</v>
      </c>
      <c r="M27" s="28">
        <f t="shared" si="1"/>
        <v>119501000</v>
      </c>
    </row>
    <row r="28" spans="1:13" ht="9.75" customHeight="1" x14ac:dyDescent="0.35">
      <c r="A28" s="6" t="s">
        <v>47</v>
      </c>
      <c r="B28" s="20">
        <f>ROUND(('[6]Changes FY12'!B28),-3)</f>
        <v>0</v>
      </c>
      <c r="C28" s="20">
        <f>ROUND(('[6]Changes FY12'!C28),-3)</f>
        <v>12512000</v>
      </c>
      <c r="D28" s="20">
        <f>ROUND(('[6]Changes FY12'!D28),-3)</f>
        <v>0</v>
      </c>
      <c r="E28" s="20">
        <f>ROUND(('[6]Changes FY12'!E28),-3)</f>
        <v>0</v>
      </c>
      <c r="F28" s="20">
        <f>ROUND(('[6]Changes FY12'!F28),-3)</f>
        <v>0</v>
      </c>
      <c r="G28" s="20">
        <f>ROUND(('[6]Changes FY12'!G28),-3)</f>
        <v>0</v>
      </c>
      <c r="H28" s="20">
        <f>ROUND(('[6]Changes FY12'!H28),-3)</f>
        <v>0</v>
      </c>
      <c r="I28" s="28">
        <f t="shared" si="0"/>
        <v>12512000</v>
      </c>
      <c r="J28" s="28"/>
      <c r="K28" s="29">
        <f>ROUND(('[6]Changes FY12'!K28),-3)</f>
        <v>0</v>
      </c>
      <c r="L28" s="29">
        <f>ROUND(('[6]Changes FY12'!L28),-3)</f>
        <v>0</v>
      </c>
      <c r="M28" s="28">
        <f t="shared" si="1"/>
        <v>12512000</v>
      </c>
    </row>
    <row r="29" spans="1:13" s="2" customFormat="1" ht="10.5" customHeight="1" x14ac:dyDescent="0.35">
      <c r="A29" s="2" t="s">
        <v>46</v>
      </c>
      <c r="B29" s="20">
        <f>ROUND(('[6]Changes FY12'!B29),-3)</f>
        <v>0</v>
      </c>
      <c r="C29" s="20">
        <f>ROUND(('[6]Changes FY12'!C29),-3)</f>
        <v>0</v>
      </c>
      <c r="D29" s="20">
        <f>ROUND(('[6]Changes FY12'!D29),-3)</f>
        <v>0</v>
      </c>
      <c r="E29" s="20">
        <f>ROUND(('[6]Changes FY12'!E29),-3)</f>
        <v>0</v>
      </c>
      <c r="F29" s="20">
        <f>ROUND(('[6]Changes FY12'!F29),-3)</f>
        <v>0</v>
      </c>
      <c r="G29" s="20">
        <f>ROUND(('[6]Changes FY12'!G29),-3)</f>
        <v>0</v>
      </c>
      <c r="H29" s="20">
        <f>ROUND(('[6]Changes FY12'!H29),-3)</f>
        <v>0</v>
      </c>
      <c r="I29" s="28">
        <f t="shared" si="0"/>
        <v>0</v>
      </c>
      <c r="J29" s="28"/>
      <c r="K29" s="29">
        <f>ROUND(('[6]Changes FY12'!K29),-3)</f>
        <v>0</v>
      </c>
      <c r="L29" s="29">
        <f>ROUND(('[6]Changes FY12'!L29),-3)</f>
        <v>0</v>
      </c>
      <c r="M29" s="28">
        <f t="shared" si="1"/>
        <v>0</v>
      </c>
    </row>
    <row r="30" spans="1:13" ht="9.75" customHeight="1" x14ac:dyDescent="0.35">
      <c r="A30" s="6" t="s">
        <v>45</v>
      </c>
      <c r="B30" s="20">
        <f>ROUND(('[6]Changes FY12'!B30),-3)</f>
        <v>89087000</v>
      </c>
      <c r="C30" s="20">
        <f>ROUND(('[6]Changes FY12'!C30),-3)</f>
        <v>0</v>
      </c>
      <c r="D30" s="20">
        <f>ROUND(('[6]Changes FY12'!D30),-3)</f>
        <v>14294000</v>
      </c>
      <c r="E30" s="20">
        <f>ROUND(('[6]Changes FY12'!E30),-3)</f>
        <v>0</v>
      </c>
      <c r="F30" s="20">
        <f>ROUND(('[6]Changes FY12'!F30),-3)</f>
        <v>-2101000</v>
      </c>
      <c r="G30" s="20">
        <f>ROUND(('[6]Changes FY12'!G30),-3)</f>
        <v>0</v>
      </c>
      <c r="H30" s="20">
        <f>ROUND(('[6]Changes FY12'!H30),-3)</f>
        <v>0</v>
      </c>
      <c r="I30" s="28">
        <f t="shared" si="0"/>
        <v>101280000</v>
      </c>
      <c r="J30" s="28"/>
      <c r="K30" s="29">
        <f>ROUND(('[6]Changes FY12'!K30),-3)</f>
        <v>0</v>
      </c>
      <c r="L30" s="29">
        <f>ROUND(('[6]Changes FY12'!L30),-3)</f>
        <v>0</v>
      </c>
      <c r="M30" s="28">
        <f t="shared" si="1"/>
        <v>101280000</v>
      </c>
    </row>
    <row r="31" spans="1:13" ht="9.75" customHeight="1" x14ac:dyDescent="0.35">
      <c r="A31" s="6" t="s">
        <v>44</v>
      </c>
      <c r="B31" s="20">
        <f>ROUND(('[6]Changes FY12'!B31),-3)</f>
        <v>0</v>
      </c>
      <c r="C31" s="20">
        <f>ROUND(('[6]Changes FY12'!C31),-3)</f>
        <v>0</v>
      </c>
      <c r="D31" s="20">
        <f>ROUND(('[6]Changes FY12'!D31),-3)</f>
        <v>0</v>
      </c>
      <c r="E31" s="20">
        <f>ROUND(('[6]Changes FY12'!E31),-3)</f>
        <v>0</v>
      </c>
      <c r="F31" s="20">
        <f>ROUND(('[6]Changes FY12'!F31),-3)</f>
        <v>0</v>
      </c>
      <c r="G31" s="20">
        <f>ROUND(('[6]Changes FY12'!G31),-3)</f>
        <v>0</v>
      </c>
      <c r="H31" s="20">
        <f>ROUND(('[6]Changes FY12'!H31),-3)</f>
        <v>0</v>
      </c>
      <c r="I31" s="28"/>
      <c r="J31" s="28"/>
      <c r="K31" s="29">
        <f>ROUND(('[6]Changes FY12'!K31),-3)-1000</f>
        <v>518000</v>
      </c>
      <c r="L31" s="29">
        <f>ROUND(('[6]Changes FY12'!L31),-3)</f>
        <v>-3063000</v>
      </c>
      <c r="M31" s="28">
        <f t="shared" si="1"/>
        <v>-2545000</v>
      </c>
    </row>
    <row r="32" spans="1:13" ht="9.75" customHeight="1" x14ac:dyDescent="0.35">
      <c r="A32" s="6" t="s">
        <v>43</v>
      </c>
      <c r="B32" s="20">
        <f>ROUND(('[6]Changes FY12'!B32),-3)</f>
        <v>7000</v>
      </c>
      <c r="C32" s="20">
        <f>ROUND(('[6]Changes FY12'!C32),-3)</f>
        <v>0</v>
      </c>
      <c r="D32" s="20">
        <f>ROUND(('[6]Changes FY12'!D32),-3)</f>
        <v>47781000</v>
      </c>
      <c r="E32" s="20">
        <f>ROUND(('[6]Changes FY12'!E32),-3)</f>
        <v>1206000</v>
      </c>
      <c r="F32" s="20">
        <f>ROUND(('[6]Changes FY12'!F32),-3)</f>
        <v>0</v>
      </c>
      <c r="G32" s="20">
        <f>ROUND(('[6]Changes FY12'!G32),-3)</f>
        <v>72125000</v>
      </c>
      <c r="H32" s="20">
        <f>ROUND(('[6]Changes FY12'!H32),-3)</f>
        <v>0</v>
      </c>
      <c r="I32" s="28">
        <f>SUM(B32:H32)</f>
        <v>121119000</v>
      </c>
      <c r="J32" s="28"/>
      <c r="K32" s="29">
        <f>ROUND(('[6]Changes FY12'!K32),-3)</f>
        <v>-127135000</v>
      </c>
      <c r="L32" s="29">
        <f>ROUND(('[6]Changes FY12'!L32),-3)</f>
        <v>6016000</v>
      </c>
      <c r="M32" s="28">
        <f t="shared" si="1"/>
        <v>0</v>
      </c>
    </row>
    <row r="33" spans="1:13" ht="12.95" customHeight="1" x14ac:dyDescent="0.35">
      <c r="A33" s="37" t="s">
        <v>42</v>
      </c>
      <c r="B33" s="57">
        <f t="shared" ref="B33:M33" si="2">SUM(B17:B32)</f>
        <v>1554394000</v>
      </c>
      <c r="C33" s="57">
        <f t="shared" si="2"/>
        <v>882133000</v>
      </c>
      <c r="D33" s="57">
        <f t="shared" si="2"/>
        <v>650132000</v>
      </c>
      <c r="E33" s="57">
        <f t="shared" si="2"/>
        <v>28829000</v>
      </c>
      <c r="F33" s="57">
        <f t="shared" si="2"/>
        <v>-2060000</v>
      </c>
      <c r="G33" s="57">
        <f t="shared" si="2"/>
        <v>45060000</v>
      </c>
      <c r="H33" s="57">
        <f t="shared" si="2"/>
        <v>-715000</v>
      </c>
      <c r="I33" s="56">
        <f t="shared" si="2"/>
        <v>3157773000</v>
      </c>
      <c r="J33" s="56">
        <f t="shared" si="2"/>
        <v>0</v>
      </c>
      <c r="K33" s="56">
        <f t="shared" si="2"/>
        <v>-62334000</v>
      </c>
      <c r="L33" s="56">
        <f t="shared" si="2"/>
        <v>138275000</v>
      </c>
      <c r="M33" s="56">
        <f t="shared" si="2"/>
        <v>3233714000</v>
      </c>
    </row>
    <row r="34" spans="1:13" ht="12.95" customHeight="1" x14ac:dyDescent="0.35">
      <c r="A34" s="54"/>
      <c r="B34" s="53"/>
      <c r="C34" s="53"/>
      <c r="D34" s="53"/>
      <c r="E34" s="53"/>
      <c r="F34" s="53"/>
      <c r="G34" s="53"/>
      <c r="H34" s="53"/>
      <c r="I34" s="43"/>
      <c r="J34" s="28"/>
      <c r="K34" s="43"/>
      <c r="L34" s="43"/>
      <c r="M34" s="43"/>
    </row>
    <row r="35" spans="1:13" ht="9.75" customHeight="1" x14ac:dyDescent="0.35">
      <c r="A35" s="33" t="s">
        <v>41</v>
      </c>
      <c r="B35" s="20"/>
      <c r="C35" s="20"/>
      <c r="D35" s="20"/>
      <c r="E35" s="20"/>
      <c r="F35" s="20"/>
      <c r="G35" s="20"/>
      <c r="H35" s="20"/>
      <c r="I35" s="28"/>
      <c r="J35" s="28"/>
      <c r="K35" s="28"/>
      <c r="L35" s="28"/>
      <c r="M35" s="28"/>
    </row>
    <row r="36" spans="1:13" s="2" customFormat="1" ht="9.75" customHeight="1" x14ac:dyDescent="0.35">
      <c r="A36" s="6" t="s">
        <v>40</v>
      </c>
      <c r="B36" s="20">
        <f>ROUND(('[6]Changes FY12'!B36),-3)-1000</f>
        <v>1471086000</v>
      </c>
      <c r="C36" s="20">
        <f>ROUND(('[6]Changes FY12'!C36),-3)</f>
        <v>0</v>
      </c>
      <c r="D36" s="20">
        <f>ROUND(('[6]Changes FY12'!D36),-3)</f>
        <v>607762000</v>
      </c>
      <c r="E36" s="20">
        <f>ROUND(('[6]Changes FY12'!E36),-3)</f>
        <v>0</v>
      </c>
      <c r="F36" s="20">
        <f>ROUND(('[6]Changes FY12'!F36),-3)</f>
        <v>0</v>
      </c>
      <c r="G36" s="20">
        <f>ROUND(('[6]Changes FY12'!G36),-3)</f>
        <v>0</v>
      </c>
      <c r="H36" s="20">
        <f>ROUND(('[6]Changes FY12'!H36),-3)</f>
        <v>0</v>
      </c>
      <c r="I36" s="28">
        <f>SUM(B36:H36)</f>
        <v>2078848000</v>
      </c>
      <c r="J36" s="28"/>
      <c r="K36" s="29">
        <f>ROUND(('[6]Changes FY12'!K36),-3)</f>
        <v>0</v>
      </c>
      <c r="L36" s="29">
        <f>ROUND(('[6]Changes FY12'!L36),-3)</f>
        <v>0</v>
      </c>
      <c r="M36" s="28">
        <f>SUM(I36:L36)</f>
        <v>2078848000</v>
      </c>
    </row>
    <row r="37" spans="1:13" s="2" customFormat="1" ht="9.75" customHeight="1" x14ac:dyDescent="0.35">
      <c r="A37" s="2" t="s">
        <v>39</v>
      </c>
      <c r="B37" s="20">
        <f>ROUND(('[6]Changes FY12'!B37),-3)</f>
        <v>0</v>
      </c>
      <c r="C37" s="20">
        <f>ROUND(('[6]Changes FY12'!C37),-3)+1000</f>
        <v>864536000</v>
      </c>
      <c r="D37" s="20">
        <f>ROUND(('[6]Changes FY12'!D37),-3)</f>
        <v>0</v>
      </c>
      <c r="E37" s="20">
        <f>ROUND(('[6]Changes FY12'!E37),-3)</f>
        <v>0</v>
      </c>
      <c r="F37" s="20">
        <f>ROUND(('[6]Changes FY12'!F37),-3)</f>
        <v>0</v>
      </c>
      <c r="G37" s="20">
        <f>ROUND(('[6]Changes FY12'!G37),-3)</f>
        <v>0</v>
      </c>
      <c r="H37" s="20">
        <f>ROUND(('[6]Changes FY12'!H37),-3)</f>
        <v>0</v>
      </c>
      <c r="I37" s="28">
        <f>SUM(B37:H37)</f>
        <v>864536000</v>
      </c>
      <c r="J37" s="28"/>
      <c r="K37" s="29">
        <f>ROUND(('[6]Changes FY12'!K37),-3)</f>
        <v>0</v>
      </c>
      <c r="L37" s="29">
        <f>ROUND(('[6]Changes FY12'!L37),-3)</f>
        <v>0</v>
      </c>
      <c r="M37" s="28">
        <f>SUM(I37:L37)</f>
        <v>864536000</v>
      </c>
    </row>
    <row r="38" spans="1:13" ht="9.75" customHeight="1" x14ac:dyDescent="0.35">
      <c r="A38" s="6" t="s">
        <v>38</v>
      </c>
      <c r="B38" s="20">
        <f>ROUND(('[6]Changes FY12'!B38),-3)</f>
        <v>0</v>
      </c>
      <c r="C38" s="20">
        <f>ROUND(('[6]Changes FY12'!C38),-3)</f>
        <v>28664000</v>
      </c>
      <c r="D38" s="20">
        <f>ROUND(('[6]Changes FY12'!D38),-3)</f>
        <v>0</v>
      </c>
      <c r="E38" s="20">
        <f>ROUND(('[6]Changes FY12'!E38),-3)</f>
        <v>0</v>
      </c>
      <c r="F38" s="20">
        <f>ROUND(('[6]Changes FY12'!F38),-3)</f>
        <v>130574000</v>
      </c>
      <c r="G38" s="20">
        <f>ROUND(('[6]Changes FY12'!G38),-3)</f>
        <v>0</v>
      </c>
      <c r="H38" s="20">
        <f>ROUND(('[6]Changes FY12'!H38),-3)</f>
        <v>0</v>
      </c>
      <c r="I38" s="28">
        <f>SUM(B38:H38)</f>
        <v>159238000</v>
      </c>
      <c r="J38" s="28"/>
      <c r="K38" s="29">
        <f>ROUND(('[6]Changes FY12'!K38),-3)</f>
        <v>0</v>
      </c>
      <c r="L38" s="29">
        <f>ROUND(('[6]Changes FY12'!L38),-3)</f>
        <v>0</v>
      </c>
      <c r="M38" s="28">
        <f>SUM(I38:L38)</f>
        <v>159238000</v>
      </c>
    </row>
    <row r="39" spans="1:13" ht="9.75" customHeight="1" x14ac:dyDescent="0.35">
      <c r="A39" s="6" t="s">
        <v>37</v>
      </c>
      <c r="B39" s="20">
        <f>ROUND(('[6]Changes FY12'!B39),-3)</f>
        <v>0</v>
      </c>
      <c r="C39" s="20">
        <f>ROUND(('[6]Changes FY12'!C39),-3)</f>
        <v>0</v>
      </c>
      <c r="D39" s="20">
        <f>ROUND(('[6]Changes FY12'!D39),-3)</f>
        <v>0</v>
      </c>
      <c r="E39" s="20">
        <f>ROUND(('[6]Changes FY12'!E39),-3)</f>
        <v>62774000</v>
      </c>
      <c r="F39" s="20">
        <f>ROUND(('[6]Changes FY12'!F39),-3)</f>
        <v>0</v>
      </c>
      <c r="G39" s="20">
        <f>ROUND(('[6]Changes FY12'!G39),-3)</f>
        <v>0</v>
      </c>
      <c r="H39" s="20">
        <f>ROUND(('[6]Changes FY12'!H39),-3)</f>
        <v>0</v>
      </c>
      <c r="I39" s="28">
        <f>SUM(B39:H39)</f>
        <v>62774000</v>
      </c>
      <c r="J39" s="28"/>
      <c r="K39" s="29">
        <f>ROUND(('[6]Changes FY12'!K39),-3)</f>
        <v>0</v>
      </c>
      <c r="L39" s="29">
        <f>ROUND(('[6]Changes FY12'!L39),-3)</f>
        <v>0</v>
      </c>
      <c r="M39" s="28">
        <f>SUM(I39:L39)</f>
        <v>62774000</v>
      </c>
    </row>
    <row r="40" spans="1:13" s="9" customFormat="1" ht="12" customHeight="1" x14ac:dyDescent="0.35">
      <c r="A40" s="37" t="s">
        <v>35</v>
      </c>
      <c r="B40" s="57">
        <f t="shared" ref="B40:M40" si="3">SUM(B36:B39)</f>
        <v>1471086000</v>
      </c>
      <c r="C40" s="57">
        <f t="shared" si="3"/>
        <v>893200000</v>
      </c>
      <c r="D40" s="57">
        <f t="shared" si="3"/>
        <v>607762000</v>
      </c>
      <c r="E40" s="57">
        <f t="shared" si="3"/>
        <v>62774000</v>
      </c>
      <c r="F40" s="57">
        <f t="shared" si="3"/>
        <v>130574000</v>
      </c>
      <c r="G40" s="57">
        <f t="shared" si="3"/>
        <v>0</v>
      </c>
      <c r="H40" s="57">
        <f t="shared" si="3"/>
        <v>0</v>
      </c>
      <c r="I40" s="56">
        <f t="shared" si="3"/>
        <v>3165396000</v>
      </c>
      <c r="J40" s="28">
        <f t="shared" si="3"/>
        <v>0</v>
      </c>
      <c r="K40" s="56">
        <f t="shared" si="3"/>
        <v>0</v>
      </c>
      <c r="L40" s="56">
        <f t="shared" si="3"/>
        <v>0</v>
      </c>
      <c r="M40" s="56">
        <f t="shared" si="3"/>
        <v>3165396000</v>
      </c>
    </row>
    <row r="41" spans="1:13" s="15" customFormat="1" ht="12" customHeight="1" x14ac:dyDescent="0.35">
      <c r="A41" s="55"/>
      <c r="B41" s="53"/>
      <c r="C41" s="53"/>
      <c r="D41" s="53"/>
      <c r="E41" s="53"/>
      <c r="F41" s="53"/>
      <c r="G41" s="53"/>
      <c r="H41" s="53"/>
      <c r="I41" s="43"/>
      <c r="J41" s="28"/>
      <c r="K41" s="43"/>
      <c r="L41" s="43"/>
      <c r="M41" s="43"/>
    </row>
    <row r="42" spans="1:13" s="15" customFormat="1" ht="9.75" customHeight="1" x14ac:dyDescent="0.35">
      <c r="A42" s="54" t="s">
        <v>34</v>
      </c>
      <c r="B42" s="53"/>
      <c r="C42" s="53"/>
      <c r="D42" s="53"/>
      <c r="E42" s="53"/>
      <c r="F42" s="53"/>
      <c r="G42" s="53"/>
      <c r="H42" s="53"/>
      <c r="I42" s="43"/>
      <c r="J42" s="28"/>
      <c r="K42" s="28"/>
      <c r="L42" s="28"/>
      <c r="M42" s="28"/>
    </row>
    <row r="43" spans="1:13" ht="12" customHeight="1" x14ac:dyDescent="0.35">
      <c r="A43" s="6" t="s">
        <v>33</v>
      </c>
      <c r="B43" s="20">
        <f>ROUND(('[6]Changes FY12'!B43),-3)</f>
        <v>-57229000</v>
      </c>
      <c r="C43" s="20">
        <f>ROUND(('[6]Changes FY12'!C43),-3)</f>
        <v>-1174000</v>
      </c>
      <c r="D43" s="20">
        <f>ROUND(('[6]Changes FY12'!D43),-3)</f>
        <v>0</v>
      </c>
      <c r="E43" s="20">
        <f>ROUND(('[6]Changes FY12'!E43),-3)</f>
        <v>58403000</v>
      </c>
      <c r="F43" s="20">
        <f>ROUND(('[6]Changes FY12'!F43),-3)</f>
        <v>0</v>
      </c>
      <c r="G43" s="20">
        <f>ROUND(('[6]Changes FY12'!G43),-3)</f>
        <v>0</v>
      </c>
      <c r="H43" s="20">
        <f>ROUND(('[6]Changes FY12'!H43),-3)</f>
        <v>0</v>
      </c>
      <c r="I43" s="28">
        <f t="shared" ref="I43:I51" si="4">SUM(B43:H43)</f>
        <v>0</v>
      </c>
      <c r="J43" s="28"/>
      <c r="K43" s="29">
        <f>ROUND(('[6]Changes FY12'!K43),-3)</f>
        <v>0</v>
      </c>
      <c r="L43" s="29">
        <f>ROUND(('[6]Changes FY12'!L43),-3)</f>
        <v>0</v>
      </c>
      <c r="M43" s="28">
        <f t="shared" ref="M43:M51" si="5">SUM(I43:L43)</f>
        <v>0</v>
      </c>
    </row>
    <row r="44" spans="1:13" ht="9.75" customHeight="1" x14ac:dyDescent="0.35">
      <c r="A44" s="6" t="s">
        <v>32</v>
      </c>
      <c r="B44" s="20">
        <f>ROUND(('[6]Changes FY12'!B44),-3)</f>
        <v>0</v>
      </c>
      <c r="C44" s="20">
        <f>ROUND(('[6]Changes FY12'!C44),-3)</f>
        <v>0</v>
      </c>
      <c r="D44" s="20">
        <f>ROUND(('[6]Changes FY12'!D44),-3)</f>
        <v>0</v>
      </c>
      <c r="E44" s="20">
        <f>ROUND(('[6]Changes FY12'!E44),-3)</f>
        <v>0</v>
      </c>
      <c r="F44" s="20">
        <f>ROUND(('[6]Changes FY12'!F44),-3)</f>
        <v>0</v>
      </c>
      <c r="G44" s="20">
        <f>ROUND(('[6]Changes FY12'!G44),-3)</f>
        <v>0</v>
      </c>
      <c r="H44" s="20">
        <f>ROUND(('[6]Changes FY12'!H44),-3)</f>
        <v>0</v>
      </c>
      <c r="I44" s="28">
        <f t="shared" si="4"/>
        <v>0</v>
      </c>
      <c r="J44" s="28"/>
      <c r="K44" s="29">
        <f>ROUND(('[6]Changes FY12'!K44),-3)</f>
        <v>0</v>
      </c>
      <c r="L44" s="29">
        <f>ROUND(('[6]Changes FY12'!L44),-3)</f>
        <v>0</v>
      </c>
      <c r="M44" s="28">
        <f t="shared" si="5"/>
        <v>0</v>
      </c>
    </row>
    <row r="45" spans="1:13" ht="9.75" customHeight="1" x14ac:dyDescent="0.35">
      <c r="A45" s="6" t="s">
        <v>31</v>
      </c>
      <c r="B45" s="20">
        <f>ROUND(('[6]Changes FY12'!B45),-3)</f>
        <v>-6328000</v>
      </c>
      <c r="C45" s="20">
        <f>ROUND(('[6]Changes FY12'!C45),-3)</f>
        <v>0</v>
      </c>
      <c r="D45" s="20">
        <f>ROUND(('[6]Changes FY12'!D45),-3)</f>
        <v>0</v>
      </c>
      <c r="E45" s="20">
        <f>ROUND(('[6]Changes FY12'!E45),-3)</f>
        <v>0</v>
      </c>
      <c r="F45" s="20">
        <f>ROUND(('[6]Changes FY12'!F45),-3)</f>
        <v>0</v>
      </c>
      <c r="G45" s="20">
        <f>ROUND(('[6]Changes FY12'!G45),-3)</f>
        <v>6328000</v>
      </c>
      <c r="H45" s="20">
        <f>ROUND(('[6]Changes FY12'!H45),-3)</f>
        <v>0</v>
      </c>
      <c r="I45" s="28">
        <f t="shared" si="4"/>
        <v>0</v>
      </c>
      <c r="J45" s="28"/>
      <c r="K45" s="29">
        <f>ROUND(('[6]Changes FY12'!K45),-3)</f>
        <v>0</v>
      </c>
      <c r="L45" s="29">
        <f>ROUND(('[6]Changes FY12'!L45),-3)</f>
        <v>0</v>
      </c>
      <c r="M45" s="28">
        <f t="shared" si="5"/>
        <v>0</v>
      </c>
    </row>
    <row r="46" spans="1:13" ht="9.75" customHeight="1" x14ac:dyDescent="0.35">
      <c r="A46" s="6" t="s">
        <v>30</v>
      </c>
      <c r="B46" s="20">
        <f>ROUND(('[6]Changes FY12'!B46),-3)</f>
        <v>-30747000</v>
      </c>
      <c r="C46" s="20">
        <f>ROUND(('[6]Changes FY12'!C46),-3)</f>
        <v>-1251000</v>
      </c>
      <c r="D46" s="20">
        <f>ROUND(('[6]Changes FY12'!D46),-3)</f>
        <v>-1118000</v>
      </c>
      <c r="E46" s="20">
        <f>ROUND(('[6]Changes FY12'!E46),-3)</f>
        <v>33116000</v>
      </c>
      <c r="F46" s="20">
        <f>ROUND(('[6]Changes FY12'!F46),-3)</f>
        <v>0</v>
      </c>
      <c r="G46" s="20">
        <f>ROUND(('[6]Changes FY12'!G46),-3)</f>
        <v>0</v>
      </c>
      <c r="H46" s="20">
        <f>ROUND(('[6]Changes FY12'!H46),-3)</f>
        <v>0</v>
      </c>
      <c r="I46" s="28">
        <f t="shared" si="4"/>
        <v>0</v>
      </c>
      <c r="J46" s="28"/>
      <c r="K46" s="29">
        <f>ROUND(('[6]Changes FY12'!K46),-3)</f>
        <v>0</v>
      </c>
      <c r="L46" s="29">
        <f>ROUND(('[6]Changes FY12'!L46),-3)</f>
        <v>0</v>
      </c>
      <c r="M46" s="28">
        <f t="shared" si="5"/>
        <v>0</v>
      </c>
    </row>
    <row r="47" spans="1:13" ht="9.75" customHeight="1" x14ac:dyDescent="0.35">
      <c r="A47" s="6" t="s">
        <v>29</v>
      </c>
      <c r="B47" s="20">
        <f>ROUND(('[6]Changes FY12'!B47),-3)</f>
        <v>43928000</v>
      </c>
      <c r="C47" s="20">
        <f>ROUND(('[6]Changes FY12'!C47),-3)</f>
        <v>0</v>
      </c>
      <c r="D47" s="20">
        <f>ROUND(('[6]Changes FY12'!D47),-3)</f>
        <v>58339000</v>
      </c>
      <c r="E47" s="20">
        <f>ROUND(('[6]Changes FY12'!E47),-3)</f>
        <v>0</v>
      </c>
      <c r="F47" s="20">
        <f>ROUND(('[6]Changes FY12'!F47),-3)</f>
        <v>0</v>
      </c>
      <c r="G47" s="20">
        <f>ROUND(('[6]Changes FY12'!G47),-3)</f>
        <v>-102267000</v>
      </c>
      <c r="H47" s="20">
        <f>ROUND(('[6]Changes FY12'!H47),-3)</f>
        <v>0</v>
      </c>
      <c r="I47" s="28">
        <f t="shared" si="4"/>
        <v>0</v>
      </c>
      <c r="J47" s="28"/>
      <c r="K47" s="29">
        <f>ROUND(('[6]Changes FY12'!K47),-3)</f>
        <v>0</v>
      </c>
      <c r="L47" s="29">
        <f>ROUND(('[6]Changes FY12'!L47),-3)</f>
        <v>0</v>
      </c>
      <c r="M47" s="28">
        <f t="shared" si="5"/>
        <v>0</v>
      </c>
    </row>
    <row r="48" spans="1:13" ht="9.75" customHeight="1" x14ac:dyDescent="0.35">
      <c r="A48" s="6" t="s">
        <v>28</v>
      </c>
      <c r="B48" s="20">
        <f>ROUND(('[6]Changes FY12'!B48),-3)-1000</f>
        <v>53120000</v>
      </c>
      <c r="C48" s="20">
        <f>ROUND(('[6]Changes FY12'!C48),-3)</f>
        <v>-23000</v>
      </c>
      <c r="D48" s="20">
        <f>ROUND(('[6]Changes FY12'!D48),-3)</f>
        <v>-53097000</v>
      </c>
      <c r="E48" s="20">
        <f>ROUND(('[6]Changes FY12'!E48),-3)</f>
        <v>0</v>
      </c>
      <c r="F48" s="20">
        <f>ROUND(('[6]Changes FY12'!F48),-3)</f>
        <v>0</v>
      </c>
      <c r="G48" s="20">
        <f>ROUND(('[6]Changes FY12'!G48),-3)</f>
        <v>0</v>
      </c>
      <c r="H48" s="20">
        <f>ROUND(('[6]Changes FY12'!H48),-3)</f>
        <v>0</v>
      </c>
      <c r="I48" s="28">
        <f t="shared" si="4"/>
        <v>0</v>
      </c>
      <c r="J48" s="28"/>
      <c r="K48" s="29">
        <f>ROUND(('[6]Changes FY12'!K48),-3)</f>
        <v>0</v>
      </c>
      <c r="L48" s="29">
        <f>ROUND(('[6]Changes FY12'!L48),-3)</f>
        <v>0</v>
      </c>
      <c r="M48" s="28">
        <f t="shared" si="5"/>
        <v>0</v>
      </c>
    </row>
    <row r="49" spans="1:13" ht="9.75" customHeight="1" x14ac:dyDescent="0.35">
      <c r="A49" s="52" t="s">
        <v>27</v>
      </c>
      <c r="B49" s="20">
        <f>ROUND(('[6]Changes FY12'!B49),-3)</f>
        <v>-62643000</v>
      </c>
      <c r="C49" s="20">
        <f>ROUND(('[6]Changes FY12'!C49),-3)-1000</f>
        <v>-38812000</v>
      </c>
      <c r="D49" s="20">
        <f>ROUND(('[6]Changes FY12'!D49),-3)</f>
        <v>-47343000</v>
      </c>
      <c r="E49" s="20">
        <f>ROUND(('[6]Changes FY12'!E49),-3)</f>
        <v>139380000</v>
      </c>
      <c r="F49" s="20">
        <f>ROUND(('[6]Changes FY12'!F49),-3)</f>
        <v>0</v>
      </c>
      <c r="G49" s="20">
        <f>ROUND(('[6]Changes FY12'!G49),-3)</f>
        <v>9418000</v>
      </c>
      <c r="H49" s="20">
        <f>ROUND(('[6]Changes FY12'!H49),-3)</f>
        <v>0</v>
      </c>
      <c r="I49" s="28">
        <f t="shared" si="4"/>
        <v>0</v>
      </c>
      <c r="J49" s="28"/>
      <c r="K49" s="29">
        <f>ROUND(('[6]Changes FY12'!K49),-3)</f>
        <v>0</v>
      </c>
      <c r="L49" s="29">
        <f>ROUND(('[6]Changes FY12'!L49),-3)</f>
        <v>0</v>
      </c>
      <c r="M49" s="28">
        <f t="shared" si="5"/>
        <v>0</v>
      </c>
    </row>
    <row r="50" spans="1:13" ht="9.75" customHeight="1" x14ac:dyDescent="0.35">
      <c r="A50" s="52" t="s">
        <v>26</v>
      </c>
      <c r="B50" s="20">
        <f>ROUND(('[6]Changes FY12'!B50),-3)</f>
        <v>0</v>
      </c>
      <c r="C50" s="20">
        <f>ROUND(('[6]Changes FY12'!C50),-3)</f>
        <v>0</v>
      </c>
      <c r="D50" s="20">
        <f>ROUND(('[6]Changes FY12'!D50),-3)</f>
        <v>0</v>
      </c>
      <c r="E50" s="20">
        <f>ROUND(('[6]Changes FY12'!E50),-3)</f>
        <v>0</v>
      </c>
      <c r="F50" s="20">
        <f>ROUND(('[6]Changes FY12'!F50),-3)</f>
        <v>0</v>
      </c>
      <c r="G50" s="20">
        <f>ROUND(('[6]Changes FY12'!G50),-3)</f>
        <v>0</v>
      </c>
      <c r="H50" s="20">
        <f>ROUND(('[6]Changes FY12'!H50),-3)</f>
        <v>0</v>
      </c>
      <c r="I50" s="28">
        <f t="shared" si="4"/>
        <v>0</v>
      </c>
      <c r="J50" s="28"/>
      <c r="K50" s="29"/>
      <c r="L50" s="29"/>
      <c r="M50" s="28">
        <f t="shared" si="5"/>
        <v>0</v>
      </c>
    </row>
    <row r="51" spans="1:13" ht="9.75" customHeight="1" x14ac:dyDescent="0.35">
      <c r="A51" s="6" t="s">
        <v>25</v>
      </c>
      <c r="B51" s="20">
        <f>ROUND(('[6]Changes FY12'!B51),-3)</f>
        <v>-23409000</v>
      </c>
      <c r="C51" s="20">
        <f>ROUND(('[6]Changes FY12'!C51),-3)</f>
        <v>-242000</v>
      </c>
      <c r="D51" s="20">
        <f>ROUND(('[6]Changes FY12'!D51),-3)-1000</f>
        <v>39077000</v>
      </c>
      <c r="E51" s="20">
        <f>ROUND(('[6]Changes FY12'!E51),-3)+1000</f>
        <v>-158743000</v>
      </c>
      <c r="F51" s="20">
        <f>ROUND(('[6]Changes FY12'!F51),-3)+1000</f>
        <v>143317000</v>
      </c>
      <c r="G51" s="20">
        <f>ROUND(('[6]Changes FY12'!G51),-3)</f>
        <v>0</v>
      </c>
      <c r="H51" s="20">
        <f>ROUND(('[6]Changes FY12'!H51),-3)</f>
        <v>0</v>
      </c>
      <c r="I51" s="28">
        <f t="shared" si="4"/>
        <v>0</v>
      </c>
      <c r="J51" s="28"/>
      <c r="K51" s="29">
        <f>ROUND(('[6]Changes FY12'!K51),-3)</f>
        <v>0</v>
      </c>
      <c r="L51" s="29">
        <f>ROUND(('[6]Changes FY12'!L51),-3)</f>
        <v>0</v>
      </c>
      <c r="M51" s="28">
        <f t="shared" si="5"/>
        <v>0</v>
      </c>
    </row>
    <row r="52" spans="1:13" s="15" customFormat="1" ht="11.7" x14ac:dyDescent="0.4">
      <c r="A52" s="49" t="s">
        <v>21</v>
      </c>
      <c r="B52" s="83">
        <f t="shared" ref="B52:I52" si="6">+B33-B40+SUM(B43:B51)</f>
        <v>0</v>
      </c>
      <c r="C52" s="83">
        <f t="shared" si="6"/>
        <v>-52569000</v>
      </c>
      <c r="D52" s="83">
        <f t="shared" si="6"/>
        <v>38228000</v>
      </c>
      <c r="E52" s="83">
        <f t="shared" si="6"/>
        <v>38211000</v>
      </c>
      <c r="F52" s="83">
        <f t="shared" si="6"/>
        <v>10683000</v>
      </c>
      <c r="G52" s="83">
        <f t="shared" si="6"/>
        <v>-41461000</v>
      </c>
      <c r="H52" s="83">
        <f t="shared" si="6"/>
        <v>-715000</v>
      </c>
      <c r="I52" s="56">
        <f t="shared" si="6"/>
        <v>-7623000</v>
      </c>
      <c r="J52" s="47"/>
      <c r="K52" s="56">
        <f>+K33-K40+SUM(K43:K51)</f>
        <v>-62334000</v>
      </c>
      <c r="L52" s="56">
        <f>+L33-L40+SUM(L43:L51)</f>
        <v>138275000</v>
      </c>
      <c r="M52" s="56">
        <f>+M33-M40+SUM(M43:M51)</f>
        <v>68318000</v>
      </c>
    </row>
    <row r="53" spans="1:13" s="15" customFormat="1" ht="11.7" x14ac:dyDescent="0.4">
      <c r="A53" s="49" t="s">
        <v>91</v>
      </c>
      <c r="B53" s="86"/>
      <c r="C53" s="86"/>
      <c r="D53" s="86"/>
      <c r="E53" s="86"/>
      <c r="F53" s="86"/>
      <c r="G53" s="20">
        <f>ROUND(('[6]Changes FY12'!G53),-3)</f>
        <v>0</v>
      </c>
      <c r="H53" s="86"/>
      <c r="I53" s="28">
        <f>SUM(B53:H53)</f>
        <v>0</v>
      </c>
      <c r="J53" s="47"/>
      <c r="K53" s="29">
        <f>ROUND(('[6]Changes FY12'!K53),-3)</f>
        <v>0</v>
      </c>
      <c r="L53" s="43"/>
      <c r="M53" s="28">
        <f>SUM(I53:L53)</f>
        <v>0</v>
      </c>
    </row>
    <row r="54" spans="1:13" s="15" customFormat="1" ht="11.35" x14ac:dyDescent="0.35">
      <c r="A54" s="45" t="s">
        <v>20</v>
      </c>
      <c r="B54" s="40">
        <f>ROUND(('[6]Changes FY12'!B54),-3)</f>
        <v>0</v>
      </c>
      <c r="C54" s="44">
        <f>ROUND(('[6]Changes FY12'!C54),-3)</f>
        <v>0</v>
      </c>
      <c r="D54" s="40">
        <f>ROUND(('[6]Changes FY12'!D54),-3)</f>
        <v>0</v>
      </c>
      <c r="E54" s="44">
        <f>ROUND(('[6]Changes FY12'!E54),-3)</f>
        <v>0</v>
      </c>
      <c r="F54" s="44">
        <f>ROUND(('[6]Changes FY12'!F54),-3)</f>
        <v>0</v>
      </c>
      <c r="G54" s="44">
        <f>ROUND(('[6]Changes FY12'!G54),-3)</f>
        <v>0</v>
      </c>
      <c r="H54" s="44">
        <f>ROUND(('[6]Changes FY12'!H54),-3)</f>
        <v>0</v>
      </c>
      <c r="I54" s="28">
        <f>SUM(B54:H54)</f>
        <v>0</v>
      </c>
      <c r="J54" s="28"/>
      <c r="K54" s="28"/>
      <c r="L54" s="43"/>
      <c r="M54" s="28">
        <f>SUM(I54:L54)</f>
        <v>0</v>
      </c>
    </row>
    <row r="55" spans="1:13" ht="12" customHeight="1" x14ac:dyDescent="0.35">
      <c r="A55" s="41" t="s">
        <v>19</v>
      </c>
      <c r="B55" s="40">
        <f>ROUND(('[6]Changes FY12'!B55),-3)</f>
        <v>0</v>
      </c>
      <c r="C55" s="40">
        <f>ROUND(('[6]Changes FY12'!C55),-3)</f>
        <v>-131751000</v>
      </c>
      <c r="D55" s="40">
        <f>ROUND(('[6]Changes FY12'!D55),-3)</f>
        <v>749163000</v>
      </c>
      <c r="E55" s="40">
        <f>ROUND(('[6]Changes FY12'!E55),-3)</f>
        <v>173020000</v>
      </c>
      <c r="F55" s="40">
        <f>ROUND(('[6]Changes FY12'!F55),-3)</f>
        <v>796158000</v>
      </c>
      <c r="G55" s="40">
        <f>ROUND(('[6]Changes FY12'!G55),-3)</f>
        <v>1069307000</v>
      </c>
      <c r="H55" s="40">
        <f>ROUND(('[6]Changes FY12'!H55),-3)</f>
        <v>-11677000</v>
      </c>
      <c r="I55" s="39">
        <f>SUM(B55:H55)</f>
        <v>2644220000</v>
      </c>
      <c r="J55" s="28"/>
      <c r="K55" s="38">
        <f>ROUND(('[6]Changes FY12'!K55),-3)</f>
        <v>1449152000</v>
      </c>
      <c r="L55" s="38">
        <f>ROUND(('[6]Changes FY12'!L55),-3)</f>
        <v>1635486000</v>
      </c>
      <c r="M55" s="38">
        <f>SUM(I55:L55)</f>
        <v>5728858000</v>
      </c>
    </row>
    <row r="56" spans="1:13" s="9" customFormat="1" ht="12" customHeight="1" x14ac:dyDescent="0.35">
      <c r="A56" s="37" t="s">
        <v>18</v>
      </c>
      <c r="B56" s="85">
        <f t="shared" ref="B56:M56" si="7">SUM(B52:B55)</f>
        <v>0</v>
      </c>
      <c r="C56" s="85">
        <f t="shared" si="7"/>
        <v>-184320000</v>
      </c>
      <c r="D56" s="85">
        <f t="shared" si="7"/>
        <v>787391000</v>
      </c>
      <c r="E56" s="85">
        <f t="shared" si="7"/>
        <v>211231000</v>
      </c>
      <c r="F56" s="85">
        <f t="shared" si="7"/>
        <v>806841000</v>
      </c>
      <c r="G56" s="85">
        <f t="shared" si="7"/>
        <v>1027846000</v>
      </c>
      <c r="H56" s="85">
        <f t="shared" si="7"/>
        <v>-12392000</v>
      </c>
      <c r="I56" s="23">
        <f t="shared" si="7"/>
        <v>2636597000</v>
      </c>
      <c r="J56" s="32">
        <f t="shared" si="7"/>
        <v>0</v>
      </c>
      <c r="K56" s="23">
        <f t="shared" si="7"/>
        <v>1386818000</v>
      </c>
      <c r="L56" s="23">
        <f t="shared" si="7"/>
        <v>1773761000</v>
      </c>
      <c r="M56" s="23">
        <f t="shared" si="7"/>
        <v>5797176000</v>
      </c>
    </row>
    <row r="57" spans="1:13" s="7" customFormat="1" ht="2.1" customHeight="1" x14ac:dyDescent="0.35">
      <c r="B57" s="35"/>
      <c r="C57" s="35"/>
      <c r="D57" s="35"/>
      <c r="E57" s="35"/>
      <c r="F57" s="35"/>
      <c r="G57" s="35"/>
      <c r="H57" s="35"/>
      <c r="I57" s="34"/>
      <c r="J57" s="28"/>
      <c r="K57" s="34"/>
      <c r="L57" s="34"/>
      <c r="M57" s="34"/>
    </row>
    <row r="58" spans="1:13" ht="9.9499999999999993" customHeight="1" x14ac:dyDescent="0.35">
      <c r="A58" s="2"/>
      <c r="B58" s="20"/>
      <c r="C58" s="20"/>
      <c r="D58" s="20"/>
      <c r="E58" s="20"/>
      <c r="F58" s="20"/>
      <c r="G58" s="20"/>
      <c r="H58" s="20"/>
      <c r="I58" s="28"/>
      <c r="J58" s="28"/>
      <c r="K58" s="28"/>
      <c r="L58" s="28"/>
      <c r="M58" s="28"/>
    </row>
    <row r="59" spans="1:13" ht="9.9499999999999993" customHeight="1" x14ac:dyDescent="0.35">
      <c r="A59" s="33" t="s">
        <v>17</v>
      </c>
      <c r="B59" s="20"/>
      <c r="C59" s="20"/>
      <c r="D59" s="20"/>
      <c r="E59" s="20"/>
      <c r="F59" s="20"/>
      <c r="G59" s="20"/>
      <c r="H59" s="20"/>
      <c r="I59" s="28"/>
      <c r="J59" s="28"/>
      <c r="K59" s="28"/>
      <c r="L59" s="28"/>
      <c r="M59" s="28"/>
    </row>
    <row r="60" spans="1:13" s="2" customFormat="1" ht="9.9499999999999993" customHeight="1" x14ac:dyDescent="0.35">
      <c r="A60" s="6" t="s">
        <v>16</v>
      </c>
      <c r="B60" s="20">
        <f>ROUND(('[6]Changes FY12'!B60),-3)</f>
        <v>0</v>
      </c>
      <c r="C60" s="30">
        <f>ROUND(('[6]Changes FY12'!C60),-3)</f>
        <v>-32259000</v>
      </c>
      <c r="D60" s="30">
        <f>ROUND(('[6]Changes FY12'!D60),-3)</f>
        <v>107729000</v>
      </c>
      <c r="E60" s="20">
        <f>ROUND(('[6]Changes FY12'!E60),-3)</f>
        <v>0</v>
      </c>
      <c r="F60" s="30">
        <f>ROUND(('[6]Changes FY12'!F60),-3)</f>
        <v>0</v>
      </c>
      <c r="G60" s="20">
        <f>ROUND(('[6]Changes FY12'!G60),-3)</f>
        <v>0</v>
      </c>
      <c r="H60" s="30">
        <f>ROUND(('[6]Changes FY12'!H60),-3)</f>
        <v>-17036000</v>
      </c>
      <c r="I60" s="32">
        <f t="shared" ref="I60:I75" si="8">SUM(B60:H60)</f>
        <v>58434000</v>
      </c>
      <c r="J60" s="28"/>
      <c r="K60" s="29">
        <f>ROUND(('[6]Changes FY12'!K60),-3)</f>
        <v>0</v>
      </c>
      <c r="L60" s="29">
        <f>ROUND(('[6]Changes FY12'!L60),-3)</f>
        <v>0</v>
      </c>
      <c r="M60" s="32">
        <f t="shared" ref="M60:M75" si="9">SUM(I60:L60)</f>
        <v>58434000</v>
      </c>
    </row>
    <row r="61" spans="1:13" s="2" customFormat="1" ht="9.9499999999999993" customHeight="1" x14ac:dyDescent="0.35">
      <c r="A61" s="6" t="s">
        <v>15</v>
      </c>
      <c r="B61" s="20">
        <f>ROUND(('[6]Changes FY12'!B61),-3)</f>
        <v>0</v>
      </c>
      <c r="C61" s="20">
        <f>ROUND(('[6]Changes FY12'!C61),-3)</f>
        <v>-152061000</v>
      </c>
      <c r="D61" s="20">
        <f>ROUND(('[6]Changes FY12'!D61),-3)</f>
        <v>487761000</v>
      </c>
      <c r="E61" s="30">
        <f>ROUND(('[6]Changes FY12'!E61),-3)</f>
        <v>136406000</v>
      </c>
      <c r="F61" s="20">
        <f>ROUND(('[6]Changes FY12'!F61),-3)</f>
        <v>0</v>
      </c>
      <c r="G61" s="20">
        <f>ROUND(('[6]Changes FY12'!G61),-3)</f>
        <v>0</v>
      </c>
      <c r="H61" s="20">
        <f>ROUND(('[6]Changes FY12'!H61),-3)</f>
        <v>4644000</v>
      </c>
      <c r="I61" s="28">
        <f t="shared" si="8"/>
        <v>476750000</v>
      </c>
      <c r="J61" s="28"/>
      <c r="K61" s="29">
        <f>ROUND(('[6]Changes FY12'!K61),-3)</f>
        <v>0</v>
      </c>
      <c r="L61" s="29">
        <f>ROUND(('[6]Changes FY12'!L61),-3)</f>
        <v>0</v>
      </c>
      <c r="M61" s="28">
        <f t="shared" si="9"/>
        <v>476750000</v>
      </c>
    </row>
    <row r="62" spans="1:13" s="2" customFormat="1" x14ac:dyDescent="0.35">
      <c r="A62" s="6" t="s">
        <v>14</v>
      </c>
      <c r="B62" s="20">
        <f>ROUND(('[6]Changes FY12'!B62),-3)</f>
        <v>0</v>
      </c>
      <c r="C62" s="20">
        <f>ROUND(('[6]Changes FY12'!C62),-3)</f>
        <v>0</v>
      </c>
      <c r="D62" s="20">
        <f>ROUND(('[6]Changes FY12'!D62),-3)</f>
        <v>0</v>
      </c>
      <c r="E62" s="20">
        <f>ROUND(('[6]Changes FY12'!E62),-3)</f>
        <v>0</v>
      </c>
      <c r="F62" s="20">
        <f>ROUND(('[6]Changes FY12'!F62),-3)</f>
        <v>0</v>
      </c>
      <c r="G62" s="20">
        <f>ROUND(('[6]Changes FY12'!G62),-3)</f>
        <v>0</v>
      </c>
      <c r="H62" s="20">
        <f>ROUND(('[6]Changes FY12'!H62),-3)</f>
        <v>0</v>
      </c>
      <c r="I62" s="28">
        <f t="shared" si="8"/>
        <v>0</v>
      </c>
      <c r="J62" s="28"/>
      <c r="K62" s="31">
        <f>ROUND(('[6]Changes FY12'!K62),-3)</f>
        <v>71739000</v>
      </c>
      <c r="L62" s="31">
        <f>ROUND(('[6]Changes FY12'!L62),-3)</f>
        <v>35120000</v>
      </c>
      <c r="M62" s="28">
        <f t="shared" si="9"/>
        <v>106859000</v>
      </c>
    </row>
    <row r="63" spans="1:13" s="2" customFormat="1" ht="9.9499999999999993" customHeight="1" x14ac:dyDescent="0.35">
      <c r="A63" s="6" t="s">
        <v>13</v>
      </c>
      <c r="B63" s="20">
        <f>ROUND(('[6]Changes FY12'!B63),-3)</f>
        <v>0</v>
      </c>
      <c r="C63" s="20">
        <f>ROUND(('[6]Changes FY12'!C63),-3)</f>
        <v>0</v>
      </c>
      <c r="D63" s="20">
        <f>ROUND(('[6]Changes FY12'!D63),-3)</f>
        <v>0</v>
      </c>
      <c r="E63" s="20">
        <f>ROUND(('[6]Changes FY12'!E63),-3)</f>
        <v>0</v>
      </c>
      <c r="F63" s="20">
        <f>ROUND(('[6]Changes FY12'!F63),-3)</f>
        <v>0</v>
      </c>
      <c r="G63" s="30">
        <f>ROUND(('[6]Changes FY12'!G63),-3)</f>
        <v>0</v>
      </c>
      <c r="H63" s="20">
        <f>ROUND(('[6]Changes FY12'!H63),-3)</f>
        <v>0</v>
      </c>
      <c r="I63" s="28">
        <f t="shared" si="8"/>
        <v>0</v>
      </c>
      <c r="J63" s="28"/>
      <c r="K63" s="29">
        <f>ROUND(('[6]Changes FY12'!K63),-3)</f>
        <v>231452000</v>
      </c>
      <c r="L63" s="29">
        <f>ROUND(('[6]Changes FY12'!L63),-3)</f>
        <v>242599000</v>
      </c>
      <c r="M63" s="28">
        <f t="shared" si="9"/>
        <v>474051000</v>
      </c>
    </row>
    <row r="64" spans="1:13" s="2" customFormat="1" ht="9.9499999999999993" customHeight="1" x14ac:dyDescent="0.35">
      <c r="A64" s="6" t="s">
        <v>90</v>
      </c>
      <c r="B64" s="20"/>
      <c r="C64" s="30">
        <f>ROUND(('[6]Changes FY12'!C64),-3)</f>
        <v>0</v>
      </c>
      <c r="D64" s="20"/>
      <c r="E64" s="20"/>
      <c r="F64" s="20"/>
      <c r="G64" s="30"/>
      <c r="H64" s="20"/>
      <c r="I64" s="28">
        <f t="shared" si="8"/>
        <v>0</v>
      </c>
      <c r="J64" s="28"/>
      <c r="K64" s="29"/>
      <c r="L64" s="29"/>
      <c r="M64" s="28">
        <f t="shared" si="9"/>
        <v>0</v>
      </c>
    </row>
    <row r="65" spans="1:13" s="2" customFormat="1" ht="9.9499999999999993" customHeight="1" x14ac:dyDescent="0.35">
      <c r="A65" s="6" t="s">
        <v>12</v>
      </c>
      <c r="B65" s="20">
        <f>ROUND(('[6]Changes FY12'!B65),-3)</f>
        <v>0</v>
      </c>
      <c r="C65" s="20">
        <f>ROUND(('[6]Changes FY12'!C65),-3)</f>
        <v>0</v>
      </c>
      <c r="D65" s="20">
        <f>ROUND(('[6]Changes FY12'!D65),-3)</f>
        <v>0</v>
      </c>
      <c r="E65" s="20">
        <f>ROUND(('[6]Changes FY12'!E65),-3)</f>
        <v>0</v>
      </c>
      <c r="F65" s="20">
        <f>ROUND(('[6]Changes FY12'!F65),-3)</f>
        <v>0</v>
      </c>
      <c r="G65" s="20">
        <f>ROUND(('[6]Changes FY12'!G65),-3)</f>
        <v>0</v>
      </c>
      <c r="H65" s="20">
        <f>ROUND(('[6]Changes FY12'!H65),-3)</f>
        <v>0</v>
      </c>
      <c r="I65" s="28">
        <f t="shared" si="8"/>
        <v>0</v>
      </c>
      <c r="J65" s="28"/>
      <c r="K65" s="29">
        <f>ROUND(('[6]Changes FY12'!K65),-3)</f>
        <v>0</v>
      </c>
      <c r="L65" s="29">
        <f>ROUND(('[6]Changes FY12'!L65),-3)</f>
        <v>0</v>
      </c>
      <c r="M65" s="28">
        <f t="shared" si="9"/>
        <v>0</v>
      </c>
    </row>
    <row r="66" spans="1:13" s="2" customFormat="1" ht="9.9499999999999993" customHeight="1" x14ac:dyDescent="0.35">
      <c r="A66" s="6" t="s">
        <v>11</v>
      </c>
      <c r="B66" s="20">
        <f>ROUND(('[6]Changes FY12'!B66),-3)</f>
        <v>0</v>
      </c>
      <c r="C66" s="20">
        <f>ROUND(('[6]Changes FY12'!C66),-3)</f>
        <v>0</v>
      </c>
      <c r="D66" s="20">
        <f>ROUND(('[6]Changes FY12'!D66),-3)</f>
        <v>191901000</v>
      </c>
      <c r="E66" s="20">
        <f>ROUND(('[6]Changes FY12'!E66),-3)</f>
        <v>0</v>
      </c>
      <c r="F66" s="20">
        <f>ROUND(('[6]Changes FY12'!F66),-3)</f>
        <v>0</v>
      </c>
      <c r="G66" s="20">
        <f>ROUND(('[6]Changes FY12'!G66),-3)</f>
        <v>0</v>
      </c>
      <c r="H66" s="20">
        <f>ROUND(('[6]Changes FY12'!H66),-3)</f>
        <v>0</v>
      </c>
      <c r="I66" s="28">
        <f t="shared" si="8"/>
        <v>191901000</v>
      </c>
      <c r="J66" s="28"/>
      <c r="K66" s="29">
        <f>ROUND(('[6]Changes FY12'!K66),-3)</f>
        <v>0</v>
      </c>
      <c r="L66" s="29">
        <f>ROUND(('[6]Changes FY12'!L66),-3)</f>
        <v>0</v>
      </c>
      <c r="M66" s="28">
        <f t="shared" si="9"/>
        <v>191901000</v>
      </c>
    </row>
    <row r="67" spans="1:13" s="2" customFormat="1" ht="9.9499999999999993" customHeight="1" x14ac:dyDescent="0.35">
      <c r="A67" s="6" t="s">
        <v>10</v>
      </c>
      <c r="B67" s="20">
        <f>ROUND(('[6]Changes FY12'!B67),-3)</f>
        <v>0</v>
      </c>
      <c r="C67" s="20">
        <f>ROUND(('[6]Changes FY12'!C67),-3)</f>
        <v>0</v>
      </c>
      <c r="D67" s="20">
        <f>ROUND(('[6]Changes FY12'!D67),-3)</f>
        <v>0</v>
      </c>
      <c r="E67" s="20">
        <f>ROUND(('[6]Changes FY12'!E67),-3)</f>
        <v>0</v>
      </c>
      <c r="F67" s="20">
        <f>ROUND(('[6]Changes FY12'!F67),-3)</f>
        <v>0</v>
      </c>
      <c r="G67" s="20">
        <f>ROUND(('[6]Changes FY12'!G67),-3)</f>
        <v>0</v>
      </c>
      <c r="H67" s="20">
        <f>ROUND(('[6]Changes FY12'!H67),-3)</f>
        <v>0</v>
      </c>
      <c r="I67" s="28">
        <f t="shared" si="8"/>
        <v>0</v>
      </c>
      <c r="J67" s="28"/>
      <c r="K67" s="29">
        <f>ROUND(('[6]Changes FY12'!K67),-3)</f>
        <v>45313000</v>
      </c>
      <c r="L67" s="29">
        <f>ROUND(('[6]Changes FY12'!L67),-3)</f>
        <v>73269000</v>
      </c>
      <c r="M67" s="28">
        <f t="shared" si="9"/>
        <v>118582000</v>
      </c>
    </row>
    <row r="68" spans="1:13" s="2" customFormat="1" ht="9.9499999999999993" customHeight="1" x14ac:dyDescent="0.35">
      <c r="A68" s="6" t="s">
        <v>9</v>
      </c>
      <c r="B68" s="20">
        <f>ROUND(('[6]Changes FY12'!B68),-3)</f>
        <v>0</v>
      </c>
      <c r="C68" s="20">
        <f>ROUND(('[6]Changes FY12'!C68),-3)</f>
        <v>0</v>
      </c>
      <c r="D68" s="20">
        <f>ROUND(('[6]Changes FY12'!D68),-3)</f>
        <v>0</v>
      </c>
      <c r="E68" s="20">
        <f>ROUND(('[6]Changes FY12'!E68),-3)</f>
        <v>0</v>
      </c>
      <c r="F68" s="20">
        <f>ROUND(('[6]Changes FY12'!F68),-3)</f>
        <v>0</v>
      </c>
      <c r="G68" s="20">
        <f>ROUND(('[6]Changes FY12'!G68),-3)</f>
        <v>0</v>
      </c>
      <c r="H68" s="20">
        <f>ROUND(('[6]Changes FY12'!H68),-3)</f>
        <v>0</v>
      </c>
      <c r="I68" s="28">
        <f t="shared" si="8"/>
        <v>0</v>
      </c>
      <c r="J68" s="28"/>
      <c r="K68" s="29">
        <f>ROUND(('[6]Changes FY12'!K68),-3)</f>
        <v>1038314000</v>
      </c>
      <c r="L68" s="29">
        <f>ROUND(('[6]Changes FY12'!L68),-3)</f>
        <v>1422773000</v>
      </c>
      <c r="M68" s="28">
        <f t="shared" si="9"/>
        <v>2461087000</v>
      </c>
    </row>
    <row r="69" spans="1:13" s="2" customFormat="1" x14ac:dyDescent="0.35">
      <c r="A69" s="6" t="s">
        <v>8</v>
      </c>
      <c r="B69" s="20">
        <f>ROUND(('[6]Changes FY12'!B69),-3)</f>
        <v>0</v>
      </c>
      <c r="C69" s="20">
        <f>ROUND(('[6]Changes FY12'!C69),-3)</f>
        <v>0</v>
      </c>
      <c r="D69" s="20">
        <f>ROUND(('[6]Changes FY12'!D69),-3)</f>
        <v>0</v>
      </c>
      <c r="E69" s="20">
        <f>ROUND(('[6]Changes FY12'!E69),-3)</f>
        <v>0</v>
      </c>
      <c r="F69" s="20">
        <f>ROUND(('[6]Changes FY12'!F69),-3)</f>
        <v>0</v>
      </c>
      <c r="G69" s="20">
        <f>ROUND(('[6]Changes FY12'!G69),-3)</f>
        <v>0</v>
      </c>
      <c r="H69" s="20">
        <f>ROUND(('[6]Changes FY12'!H69),-3)</f>
        <v>0</v>
      </c>
      <c r="I69" s="28">
        <f t="shared" si="8"/>
        <v>0</v>
      </c>
      <c r="J69" s="28"/>
      <c r="K69" s="29">
        <f>ROUND(('[6]Changes FY12'!K69),-3)</f>
        <v>0</v>
      </c>
      <c r="L69" s="29">
        <f>ROUND(('[6]Changes FY12'!L69),-3)</f>
        <v>0</v>
      </c>
      <c r="M69" s="28">
        <f t="shared" si="9"/>
        <v>0</v>
      </c>
    </row>
    <row r="70" spans="1:13" s="2" customFormat="1" x14ac:dyDescent="0.35">
      <c r="A70" s="6" t="s">
        <v>7</v>
      </c>
      <c r="B70" s="20">
        <f>ROUND(('[6]Changes FY12'!B70),-3)</f>
        <v>0</v>
      </c>
      <c r="C70" s="20">
        <f>ROUND(('[6]Changes FY12'!C70),-3)</f>
        <v>0</v>
      </c>
      <c r="D70" s="20">
        <f>ROUND(('[6]Changes FY12'!D70),-3)</f>
        <v>0</v>
      </c>
      <c r="E70" s="20">
        <f>ROUND(('[6]Changes FY12'!E70),-3)</f>
        <v>0</v>
      </c>
      <c r="F70" s="20">
        <f>ROUND(('[6]Changes FY12'!F70),-3)</f>
        <v>0</v>
      </c>
      <c r="G70" s="20">
        <f>ROUND(('[6]Changes FY12'!G70),-3)</f>
        <v>1027846000</v>
      </c>
      <c r="H70" s="20">
        <f>ROUND(('[6]Changes FY12'!H70),-3)</f>
        <v>0</v>
      </c>
      <c r="I70" s="28">
        <f t="shared" si="8"/>
        <v>1027846000</v>
      </c>
      <c r="J70" s="28"/>
      <c r="K70" s="29">
        <f>ROUND(('[6]Changes FY12'!K70),-3)</f>
        <v>0</v>
      </c>
      <c r="L70" s="29">
        <f>ROUND(('[6]Changes FY12'!L70),-3)</f>
        <v>0</v>
      </c>
      <c r="M70" s="28">
        <f t="shared" si="9"/>
        <v>1027846000</v>
      </c>
    </row>
    <row r="71" spans="1:13" s="2" customFormat="1" x14ac:dyDescent="0.35">
      <c r="A71" s="6" t="s">
        <v>6</v>
      </c>
      <c r="B71" s="20">
        <f>ROUND(('[6]Changes FY12'!B71),-3)</f>
        <v>0</v>
      </c>
      <c r="C71" s="20">
        <f>ROUND(('[6]Changes FY12'!C71),-3)</f>
        <v>0</v>
      </c>
      <c r="D71" s="20">
        <f>ROUND(('[6]Changes FY12'!D71),-3)</f>
        <v>0</v>
      </c>
      <c r="E71" s="20">
        <f>ROUND(('[6]Changes FY12'!E71),-3)</f>
        <v>0</v>
      </c>
      <c r="F71" s="20">
        <f>ROUND(('[6]Changes FY12'!F71),-3)</f>
        <v>0</v>
      </c>
      <c r="G71" s="20">
        <f>ROUND(('[6]Changes FY12'!G71),-3)</f>
        <v>0</v>
      </c>
      <c r="H71" s="20">
        <f>ROUND(('[6]Changes FY12'!H71),-3)</f>
        <v>0</v>
      </c>
      <c r="I71" s="28">
        <f t="shared" si="8"/>
        <v>0</v>
      </c>
      <c r="J71" s="28"/>
      <c r="K71" s="29">
        <f>ROUND(('[6]Changes FY12'!K71),-3)</f>
        <v>0</v>
      </c>
      <c r="L71" s="29">
        <f>ROUND(('[6]Changes FY12'!L71),-3)</f>
        <v>0</v>
      </c>
      <c r="M71" s="28">
        <f t="shared" si="9"/>
        <v>0</v>
      </c>
    </row>
    <row r="72" spans="1:13" s="2" customFormat="1" x14ac:dyDescent="0.35">
      <c r="A72" s="6" t="s">
        <v>5</v>
      </c>
      <c r="B72" s="20">
        <f>ROUND(('[6]Changes FY12'!B72),-3)</f>
        <v>0</v>
      </c>
      <c r="C72" s="20">
        <f>ROUND(('[6]Changes FY12'!C72),-3)</f>
        <v>0</v>
      </c>
      <c r="D72" s="20">
        <f>ROUND(('[6]Changes FY12'!D72),-3)</f>
        <v>0</v>
      </c>
      <c r="E72" s="20">
        <f>ROUND(('[6]Changes FY12'!E72),-3)</f>
        <v>0</v>
      </c>
      <c r="F72" s="20">
        <f>ROUND(('[6]Changes FY12'!F72),-3)</f>
        <v>0</v>
      </c>
      <c r="G72" s="20">
        <f>ROUND(('[6]Changes FY12'!G72),-3)</f>
        <v>0</v>
      </c>
      <c r="H72" s="20">
        <f>ROUND(('[6]Changes FY12'!H72),-3)</f>
        <v>0</v>
      </c>
      <c r="I72" s="28">
        <f t="shared" si="8"/>
        <v>0</v>
      </c>
      <c r="J72" s="28"/>
      <c r="K72" s="29">
        <f>ROUND(('[6]Changes FY12'!K72),-3)</f>
        <v>0</v>
      </c>
      <c r="L72" s="29">
        <f>ROUND(('[6]Changes FY12'!L72),-3)</f>
        <v>0</v>
      </c>
      <c r="M72" s="28">
        <f t="shared" si="9"/>
        <v>0</v>
      </c>
    </row>
    <row r="73" spans="1:13" s="2" customFormat="1" x14ac:dyDescent="0.35">
      <c r="A73" s="6" t="s">
        <v>4</v>
      </c>
      <c r="B73" s="20">
        <f>ROUND(('[6]Changes FY12'!B73),-3)</f>
        <v>0</v>
      </c>
      <c r="C73" s="20">
        <f>ROUND(('[6]Changes FY12'!C73),-3)</f>
        <v>0</v>
      </c>
      <c r="D73" s="20">
        <f>ROUND(('[6]Changes FY12'!D73),-3)</f>
        <v>0</v>
      </c>
      <c r="E73" s="20">
        <f>ROUND(('[6]Changes FY12'!E73),-3)</f>
        <v>0</v>
      </c>
      <c r="F73" s="20">
        <f>ROUND(('[6]Changes FY12'!F73),-3)</f>
        <v>0</v>
      </c>
      <c r="G73" s="20">
        <f>ROUND(('[6]Changes FY12'!G73),-3)</f>
        <v>0</v>
      </c>
      <c r="H73" s="20">
        <f>ROUND(('[6]Changes FY12'!H73),-3)</f>
        <v>0</v>
      </c>
      <c r="I73" s="28">
        <f t="shared" si="8"/>
        <v>0</v>
      </c>
      <c r="J73" s="28"/>
      <c r="K73" s="29">
        <f>ROUND(('[6]Changes FY12'!K73),-3)</f>
        <v>0</v>
      </c>
      <c r="L73" s="29">
        <f>ROUND(('[6]Changes FY12'!L73),-3)</f>
        <v>0</v>
      </c>
      <c r="M73" s="28">
        <f t="shared" si="9"/>
        <v>0</v>
      </c>
    </row>
    <row r="74" spans="1:13" s="2" customFormat="1" x14ac:dyDescent="0.35">
      <c r="A74" s="6" t="s">
        <v>3</v>
      </c>
      <c r="B74" s="20">
        <f>ROUND(('[6]Changes FY12'!B74),-3)</f>
        <v>0</v>
      </c>
      <c r="C74" s="20">
        <f>ROUND(('[6]Changes FY12'!C74),-3)</f>
        <v>0</v>
      </c>
      <c r="D74" s="20">
        <f>ROUND(('[6]Changes FY12'!D74),-3)</f>
        <v>0</v>
      </c>
      <c r="E74" s="20">
        <f>ROUND(('[6]Changes FY12'!E74),-3)+1000</f>
        <v>74825000</v>
      </c>
      <c r="F74" s="20">
        <f>ROUND(('[6]Changes FY12'!F74),-3)</f>
        <v>0</v>
      </c>
      <c r="G74" s="20">
        <f>ROUND(('[6]Changes FY12'!G74),-3)</f>
        <v>0</v>
      </c>
      <c r="H74" s="20">
        <f>ROUND(('[6]Changes FY12'!H74),-3)</f>
        <v>0</v>
      </c>
      <c r="I74" s="28">
        <f t="shared" si="8"/>
        <v>74825000</v>
      </c>
      <c r="J74" s="28"/>
      <c r="K74" s="29">
        <f>ROUND(('[6]Changes FY12'!K74),-3)</f>
        <v>0</v>
      </c>
      <c r="L74" s="29">
        <f>ROUND(('[6]Changes FY12'!L74),-3)</f>
        <v>0</v>
      </c>
      <c r="M74" s="28">
        <f t="shared" si="9"/>
        <v>74825000</v>
      </c>
    </row>
    <row r="75" spans="1:13" s="2" customFormat="1" x14ac:dyDescent="0.35">
      <c r="A75" s="6" t="s">
        <v>2</v>
      </c>
      <c r="B75" s="20">
        <f>ROUND(('[6]Changes FY12'!B75),-3)</f>
        <v>0</v>
      </c>
      <c r="C75" s="20">
        <f>ROUND(('[6]Changes FY12'!C75),-3)</f>
        <v>0</v>
      </c>
      <c r="D75" s="20">
        <f>ROUND(('[6]Changes FY12'!D75),-3)</f>
        <v>0</v>
      </c>
      <c r="E75" s="20">
        <f>ROUND(('[6]Changes FY12'!E75),-3)</f>
        <v>0</v>
      </c>
      <c r="F75" s="20">
        <f>ROUND(('[6]Changes FY12'!F75),-3)+1000</f>
        <v>806841000</v>
      </c>
      <c r="G75" s="20">
        <f>ROUND(('[6]Changes FY12'!G75),-3)</f>
        <v>0</v>
      </c>
      <c r="H75" s="20">
        <f>ROUND(('[6]Changes FY12'!H75),-3)</f>
        <v>0</v>
      </c>
      <c r="I75" s="28">
        <f t="shared" si="8"/>
        <v>806841000</v>
      </c>
      <c r="J75" s="28"/>
      <c r="K75" s="29">
        <f>ROUND(('[6]Changes FY12'!K75),-3)</f>
        <v>0</v>
      </c>
      <c r="L75" s="29">
        <f>ROUND(('[6]Changes FY12'!L75),-3)</f>
        <v>0</v>
      </c>
      <c r="M75" s="28">
        <f t="shared" si="9"/>
        <v>806841000</v>
      </c>
    </row>
    <row r="76" spans="1:13" s="2" customFormat="1" ht="12" thickBot="1" x14ac:dyDescent="0.45">
      <c r="A76" s="27"/>
      <c r="B76" s="26">
        <f t="shared" ref="B76:I76" si="10">SUM(B60:B75)</f>
        <v>0</v>
      </c>
      <c r="C76" s="25">
        <f t="shared" si="10"/>
        <v>-184320000</v>
      </c>
      <c r="D76" s="25">
        <f t="shared" si="10"/>
        <v>787391000</v>
      </c>
      <c r="E76" s="25">
        <f t="shared" si="10"/>
        <v>211231000</v>
      </c>
      <c r="F76" s="25">
        <f t="shared" si="10"/>
        <v>806841000</v>
      </c>
      <c r="G76" s="25">
        <f t="shared" si="10"/>
        <v>1027846000</v>
      </c>
      <c r="H76" s="25">
        <f t="shared" si="10"/>
        <v>-12392000</v>
      </c>
      <c r="I76" s="23">
        <f t="shared" si="10"/>
        <v>2636597000</v>
      </c>
      <c r="J76" s="24"/>
      <c r="K76" s="23">
        <f>SUM(K60:K75)</f>
        <v>1386818000</v>
      </c>
      <c r="L76" s="23">
        <f>SUM(L60:L75)</f>
        <v>1773761000</v>
      </c>
      <c r="M76" s="23">
        <f>SUM(M60:M75)</f>
        <v>5797176000</v>
      </c>
    </row>
    <row r="77" spans="1:13" s="2" customFormat="1" ht="10.7" thickTop="1" x14ac:dyDescent="0.35">
      <c r="A77" s="21" t="s">
        <v>1</v>
      </c>
      <c r="B77" s="19"/>
      <c r="C77" s="19"/>
      <c r="D77" s="19"/>
      <c r="E77" s="19"/>
      <c r="F77" s="19"/>
      <c r="G77" s="19"/>
      <c r="H77" s="19"/>
      <c r="I77" s="19"/>
      <c r="J77" s="20"/>
      <c r="K77" s="19"/>
      <c r="L77" s="19"/>
      <c r="M77" s="19"/>
    </row>
    <row r="78" spans="1:13" s="2" customFormat="1" x14ac:dyDescent="0.35">
      <c r="A78" s="2" t="s">
        <v>0</v>
      </c>
      <c r="B78" s="18">
        <f t="shared" ref="B78:M78" si="11">B56-B76</f>
        <v>0</v>
      </c>
      <c r="C78" s="18">
        <f t="shared" si="11"/>
        <v>0</v>
      </c>
      <c r="D78" s="18">
        <f t="shared" si="11"/>
        <v>0</v>
      </c>
      <c r="E78" s="18">
        <f t="shared" si="11"/>
        <v>0</v>
      </c>
      <c r="F78" s="18">
        <f t="shared" si="11"/>
        <v>0</v>
      </c>
      <c r="G78" s="18">
        <f t="shared" si="11"/>
        <v>0</v>
      </c>
      <c r="H78" s="18">
        <f t="shared" si="11"/>
        <v>0</v>
      </c>
      <c r="I78" s="18">
        <f t="shared" si="11"/>
        <v>0</v>
      </c>
      <c r="J78" s="18">
        <f t="shared" si="11"/>
        <v>0</v>
      </c>
      <c r="K78" s="18">
        <f t="shared" si="11"/>
        <v>0</v>
      </c>
      <c r="L78" s="18">
        <f t="shared" si="11"/>
        <v>0</v>
      </c>
      <c r="M78" s="18">
        <f t="shared" si="11"/>
        <v>0</v>
      </c>
    </row>
    <row r="79" spans="1:13" s="2" customFormat="1" x14ac:dyDescent="0.35"/>
    <row r="80" spans="1:13" s="2" customFormat="1" x14ac:dyDescent="0.35">
      <c r="D80" s="17"/>
    </row>
    <row r="81" spans="1:13" s="2" customFormat="1" x14ac:dyDescent="0.35">
      <c r="G81" s="14"/>
      <c r="H81" s="14"/>
      <c r="I81" s="14"/>
      <c r="J81" s="14"/>
      <c r="K81" s="14"/>
    </row>
    <row r="82" spans="1:13" s="2" customFormat="1" x14ac:dyDescent="0.35">
      <c r="G82" s="14"/>
      <c r="H82" s="16"/>
      <c r="I82" s="16"/>
      <c r="J82" s="14"/>
      <c r="K82" s="14"/>
    </row>
    <row r="83" spans="1:13" ht="11.1" customHeight="1" x14ac:dyDescent="0.35">
      <c r="A83" s="2"/>
      <c r="B83" s="2"/>
      <c r="C83" s="2"/>
      <c r="D83" s="2"/>
      <c r="E83" s="2"/>
      <c r="G83" s="15"/>
      <c r="H83" s="15"/>
      <c r="I83" s="15"/>
      <c r="J83" s="14"/>
      <c r="K83" s="15"/>
      <c r="L83" s="2"/>
      <c r="M83" s="2"/>
    </row>
    <row r="84" spans="1:13" x14ac:dyDescent="0.35">
      <c r="A84" s="2"/>
      <c r="B84" s="2"/>
      <c r="C84" s="2"/>
      <c r="D84" s="2"/>
      <c r="E84" s="2"/>
      <c r="G84" s="15"/>
      <c r="H84" s="15"/>
      <c r="I84" s="15"/>
      <c r="J84" s="14"/>
      <c r="K84" s="14"/>
      <c r="L84" s="2"/>
      <c r="M84" s="2"/>
    </row>
    <row r="85" spans="1:13" x14ac:dyDescent="0.35">
      <c r="A85" s="2"/>
      <c r="B85" s="2"/>
      <c r="C85" s="2"/>
      <c r="D85" s="2"/>
      <c r="E85" s="2"/>
      <c r="G85" s="15"/>
      <c r="H85" s="15"/>
      <c r="I85" s="15"/>
      <c r="J85" s="14"/>
      <c r="K85" s="15"/>
      <c r="L85" s="2"/>
      <c r="M85" s="2"/>
    </row>
    <row r="86" spans="1:13" ht="11.1" customHeight="1" x14ac:dyDescent="0.35">
      <c r="A86" s="2"/>
      <c r="B86" s="2"/>
      <c r="C86" s="2"/>
      <c r="D86" s="2"/>
      <c r="E86" s="2"/>
      <c r="G86" s="15"/>
      <c r="H86" s="15"/>
      <c r="I86" s="15"/>
      <c r="J86" s="14"/>
      <c r="K86" s="14"/>
      <c r="L86" s="2"/>
      <c r="M86" s="2"/>
    </row>
    <row r="87" spans="1:13" x14ac:dyDescent="0.35">
      <c r="A87" s="2"/>
      <c r="B87" s="2"/>
      <c r="C87" s="2"/>
      <c r="D87" s="2"/>
      <c r="E87" s="2"/>
      <c r="G87" s="15"/>
      <c r="H87" s="15"/>
      <c r="I87" s="15"/>
      <c r="J87" s="14"/>
      <c r="K87" s="14"/>
      <c r="L87" s="2"/>
      <c r="M87" s="2"/>
    </row>
    <row r="88" spans="1:13" x14ac:dyDescent="0.35">
      <c r="A88" s="2"/>
      <c r="B88" s="2"/>
      <c r="C88" s="2"/>
      <c r="D88" s="2"/>
      <c r="E88" s="2"/>
      <c r="K88" s="2"/>
      <c r="L88" s="2"/>
      <c r="M88" s="2"/>
    </row>
    <row r="89" spans="1:13" x14ac:dyDescent="0.35">
      <c r="A89" s="2"/>
      <c r="B89" s="2"/>
      <c r="C89" s="2"/>
      <c r="D89" s="2"/>
      <c r="E89" s="2"/>
      <c r="K89" s="2"/>
      <c r="L89" s="2"/>
      <c r="M89" s="2"/>
    </row>
    <row r="90" spans="1:13" x14ac:dyDescent="0.35">
      <c r="A90" s="2"/>
      <c r="B90" s="2"/>
      <c r="C90" s="2"/>
      <c r="D90" s="2"/>
      <c r="E90" s="2"/>
      <c r="K90" s="2"/>
      <c r="L90" s="2"/>
      <c r="M90" s="2"/>
    </row>
    <row r="91" spans="1:13" x14ac:dyDescent="0.35">
      <c r="A91" s="2"/>
      <c r="B91" s="2"/>
      <c r="C91" s="2"/>
      <c r="D91" s="2"/>
      <c r="E91" s="2"/>
      <c r="K91" s="2"/>
      <c r="L91" s="2"/>
      <c r="M91" s="2"/>
    </row>
    <row r="92" spans="1:13" x14ac:dyDescent="0.35">
      <c r="A92" s="2"/>
      <c r="B92" s="2"/>
      <c r="C92" s="2"/>
      <c r="D92" s="2"/>
      <c r="E92" s="2"/>
      <c r="K92" s="2"/>
      <c r="L92" s="2"/>
      <c r="M92" s="2"/>
    </row>
    <row r="93" spans="1:13" x14ac:dyDescent="0.35">
      <c r="A93" s="2"/>
      <c r="B93" s="2"/>
      <c r="C93" s="2"/>
      <c r="D93" s="2"/>
      <c r="E93" s="2"/>
      <c r="K93" s="2"/>
      <c r="L93" s="2"/>
      <c r="M93" s="2"/>
    </row>
    <row r="94" spans="1:13" x14ac:dyDescent="0.35">
      <c r="A94" s="2"/>
      <c r="B94" s="2"/>
      <c r="C94" s="2"/>
      <c r="D94" s="2"/>
      <c r="E94" s="2"/>
      <c r="K94" s="2"/>
      <c r="L94" s="2"/>
      <c r="M94" s="2"/>
    </row>
    <row r="95" spans="1:13" x14ac:dyDescent="0.35">
      <c r="A95" s="2"/>
      <c r="B95" s="2"/>
      <c r="C95" s="2"/>
      <c r="D95" s="2"/>
      <c r="E95" s="2"/>
      <c r="K95" s="2"/>
      <c r="L95" s="2"/>
      <c r="M95" s="2"/>
    </row>
    <row r="96" spans="1:13" x14ac:dyDescent="0.35">
      <c r="A96" s="2"/>
      <c r="B96" s="2"/>
      <c r="C96" s="2"/>
      <c r="D96" s="2"/>
      <c r="E96" s="2"/>
      <c r="K96" s="2"/>
      <c r="L96" s="2"/>
      <c r="M96" s="2"/>
    </row>
    <row r="97" spans="1:13" x14ac:dyDescent="0.35">
      <c r="A97" s="2"/>
      <c r="B97" s="2"/>
      <c r="C97" s="2"/>
      <c r="D97" s="2"/>
      <c r="E97" s="2"/>
      <c r="K97" s="2"/>
      <c r="L97" s="2"/>
      <c r="M97" s="2"/>
    </row>
    <row r="98" spans="1:13" x14ac:dyDescent="0.35">
      <c r="A98" s="2"/>
      <c r="B98" s="2"/>
      <c r="C98" s="2"/>
      <c r="D98" s="2"/>
      <c r="E98" s="2"/>
      <c r="K98" s="2"/>
      <c r="L98" s="2"/>
      <c r="M98" s="2"/>
    </row>
    <row r="99" spans="1:13" x14ac:dyDescent="0.35">
      <c r="A99" s="2"/>
      <c r="B99" s="2"/>
      <c r="C99" s="2"/>
      <c r="D99" s="2"/>
      <c r="E99" s="2"/>
      <c r="K99" s="2"/>
      <c r="L99" s="2"/>
      <c r="M99" s="2"/>
    </row>
    <row r="100" spans="1:13" x14ac:dyDescent="0.35">
      <c r="A100" s="2"/>
      <c r="B100" s="2"/>
      <c r="C100" s="2"/>
      <c r="D100" s="2"/>
      <c r="E100" s="2"/>
      <c r="K100" s="2"/>
      <c r="L100" s="2"/>
      <c r="M100" s="2"/>
    </row>
    <row r="101" spans="1:13" x14ac:dyDescent="0.35">
      <c r="A101" s="2"/>
      <c r="B101" s="2"/>
      <c r="C101" s="2"/>
      <c r="D101" s="2"/>
      <c r="E101" s="2"/>
      <c r="F101" s="5"/>
      <c r="G101" s="5"/>
      <c r="H101" s="5"/>
      <c r="I101" s="5"/>
      <c r="K101" s="2"/>
      <c r="L101" s="2"/>
      <c r="M101" s="2"/>
    </row>
    <row r="102" spans="1:13" x14ac:dyDescent="0.35">
      <c r="A102" s="2"/>
      <c r="B102" s="2"/>
      <c r="C102" s="2"/>
      <c r="D102" s="2"/>
      <c r="E102" s="2"/>
      <c r="F102" s="5"/>
      <c r="G102" s="5"/>
      <c r="H102" s="5"/>
      <c r="I102" s="5"/>
      <c r="K102" s="2"/>
      <c r="L102" s="2"/>
      <c r="M102" s="2"/>
    </row>
    <row r="103" spans="1:13" x14ac:dyDescent="0.35">
      <c r="A103" s="2"/>
      <c r="B103" s="2"/>
      <c r="C103" s="2"/>
      <c r="D103" s="2"/>
      <c r="E103" s="2"/>
      <c r="F103" s="2"/>
      <c r="G103" s="2"/>
      <c r="H103" s="2"/>
      <c r="I103" s="13"/>
      <c r="K103" s="2"/>
      <c r="L103" s="2"/>
      <c r="M103" s="2"/>
    </row>
    <row r="104" spans="1:13" x14ac:dyDescent="0.35">
      <c r="A104" s="2"/>
      <c r="B104" s="2"/>
      <c r="C104" s="2"/>
      <c r="D104" s="2"/>
      <c r="E104" s="2"/>
      <c r="F104" s="2"/>
      <c r="G104" s="2"/>
      <c r="H104" s="2"/>
      <c r="I104" s="13"/>
      <c r="K104" s="2"/>
      <c r="L104" s="2"/>
      <c r="M104" s="2"/>
    </row>
    <row r="105" spans="1:13" x14ac:dyDescent="0.35">
      <c r="A105" s="2"/>
      <c r="B105" s="2"/>
      <c r="C105" s="2"/>
      <c r="D105" s="2"/>
      <c r="E105" s="2"/>
      <c r="F105" s="2"/>
      <c r="G105" s="2"/>
      <c r="H105" s="2"/>
      <c r="K105" s="2"/>
      <c r="L105" s="2"/>
      <c r="M105" s="2"/>
    </row>
    <row r="106" spans="1:13" x14ac:dyDescent="0.35">
      <c r="A106" s="2"/>
      <c r="B106" s="2"/>
      <c r="C106" s="2"/>
      <c r="D106" s="2"/>
      <c r="E106" s="2"/>
      <c r="F106" s="2"/>
      <c r="G106" s="2"/>
      <c r="H106" s="2"/>
      <c r="I106" s="12"/>
      <c r="K106" s="2"/>
      <c r="L106" s="2"/>
      <c r="M106" s="2"/>
    </row>
    <row r="107" spans="1:13" x14ac:dyDescent="0.35">
      <c r="A107" s="2"/>
      <c r="B107" s="2"/>
      <c r="C107" s="2"/>
      <c r="D107" s="2"/>
      <c r="E107" s="2"/>
      <c r="F107" s="2"/>
      <c r="G107" s="2"/>
      <c r="H107" s="2"/>
      <c r="I107" s="12"/>
      <c r="K107" s="2"/>
      <c r="L107" s="2"/>
      <c r="M107" s="2"/>
    </row>
    <row r="108" spans="1:13" x14ac:dyDescent="0.35">
      <c r="A108" s="2"/>
      <c r="B108" s="2"/>
      <c r="C108" s="2"/>
      <c r="D108" s="2"/>
      <c r="E108" s="2"/>
      <c r="F108" s="2"/>
      <c r="G108" s="2"/>
      <c r="H108" s="2"/>
      <c r="I108" s="12"/>
      <c r="K108" s="2"/>
      <c r="L108" s="2"/>
      <c r="M108" s="2"/>
    </row>
    <row r="109" spans="1:13" x14ac:dyDescent="0.35">
      <c r="A109" s="2"/>
      <c r="B109" s="2"/>
      <c r="C109" s="2"/>
      <c r="D109" s="2"/>
      <c r="E109" s="2"/>
      <c r="F109" s="2"/>
      <c r="G109" s="2"/>
      <c r="H109" s="2"/>
      <c r="I109" s="12"/>
      <c r="K109" s="2"/>
      <c r="L109" s="2"/>
      <c r="M109" s="2"/>
    </row>
    <row r="110" spans="1:13" ht="11.1" customHeight="1" x14ac:dyDescent="0.35">
      <c r="A110" s="2"/>
      <c r="B110" s="2"/>
      <c r="C110" s="2"/>
      <c r="D110" s="2"/>
      <c r="E110" s="2"/>
      <c r="F110" s="2"/>
      <c r="G110" s="2"/>
      <c r="H110" s="2"/>
      <c r="I110" s="12"/>
      <c r="K110" s="2"/>
      <c r="L110" s="2"/>
      <c r="M110" s="2"/>
    </row>
    <row r="111" spans="1:13" ht="11.1" customHeight="1" x14ac:dyDescent="0.35">
      <c r="A111" s="2"/>
      <c r="B111" s="2"/>
      <c r="C111" s="2"/>
      <c r="D111" s="2"/>
      <c r="E111" s="2"/>
      <c r="F111" s="2"/>
      <c r="G111" s="2"/>
      <c r="H111" s="2"/>
      <c r="I111" s="12"/>
      <c r="K111" s="2"/>
      <c r="L111" s="2"/>
      <c r="M111" s="2"/>
    </row>
    <row r="112" spans="1:13" ht="11.1" customHeight="1" x14ac:dyDescent="0.35">
      <c r="A112" s="2"/>
      <c r="B112" s="2"/>
      <c r="C112" s="2"/>
      <c r="D112" s="2"/>
      <c r="E112" s="2"/>
      <c r="F112" s="2"/>
      <c r="G112" s="2"/>
      <c r="H112" s="2"/>
      <c r="I112" s="12"/>
      <c r="K112" s="2"/>
      <c r="L112" s="2"/>
      <c r="M112" s="2"/>
    </row>
    <row r="113" spans="1:13" ht="11.1" customHeight="1" x14ac:dyDescent="0.35">
      <c r="A113" s="2"/>
      <c r="B113" s="2"/>
      <c r="C113" s="2"/>
      <c r="D113" s="2"/>
      <c r="E113" s="2"/>
      <c r="F113" s="2"/>
      <c r="G113" s="2"/>
      <c r="H113" s="2"/>
      <c r="I113" s="12"/>
      <c r="K113" s="2"/>
      <c r="L113" s="2"/>
      <c r="M113" s="2"/>
    </row>
    <row r="114" spans="1:13" ht="2.1" customHeight="1" x14ac:dyDescent="0.35">
      <c r="A114" s="2"/>
      <c r="B114" s="2"/>
      <c r="C114" s="2"/>
      <c r="D114" s="2"/>
      <c r="E114" s="2"/>
      <c r="F114" s="2"/>
      <c r="G114" s="2"/>
      <c r="H114" s="2"/>
      <c r="I114" s="12"/>
      <c r="K114" s="2"/>
      <c r="L114" s="2"/>
      <c r="M114" s="2"/>
    </row>
    <row r="115" spans="1:13" x14ac:dyDescent="0.35">
      <c r="A115" s="2"/>
      <c r="B115" s="2"/>
      <c r="C115" s="2"/>
      <c r="D115" s="2"/>
      <c r="E115" s="2"/>
      <c r="F115" s="2"/>
      <c r="G115" s="2"/>
      <c r="H115" s="2"/>
      <c r="I115" s="12"/>
      <c r="K115" s="2"/>
      <c r="L115" s="2"/>
      <c r="M115" s="2"/>
    </row>
    <row r="116" spans="1:13" x14ac:dyDescent="0.35">
      <c r="A116" s="2"/>
      <c r="B116" s="2"/>
      <c r="C116" s="2"/>
      <c r="D116" s="2"/>
      <c r="E116" s="2"/>
      <c r="F116" s="2"/>
      <c r="G116" s="2"/>
      <c r="H116" s="2"/>
      <c r="I116" s="2"/>
      <c r="K116" s="2"/>
      <c r="L116" s="2"/>
      <c r="M116" s="2"/>
    </row>
    <row r="117" spans="1:13" x14ac:dyDescent="0.35">
      <c r="A117" s="2"/>
      <c r="B117" s="2"/>
      <c r="C117" s="2"/>
      <c r="D117" s="2"/>
      <c r="E117" s="2"/>
      <c r="F117" s="2"/>
      <c r="G117" s="2"/>
      <c r="H117" s="2"/>
      <c r="I117" s="2"/>
      <c r="K117" s="2"/>
      <c r="L117" s="2"/>
      <c r="M117" s="2"/>
    </row>
    <row r="118" spans="1:13" x14ac:dyDescent="0.35">
      <c r="A118" s="2"/>
      <c r="B118" s="2"/>
      <c r="C118" s="2"/>
      <c r="D118" s="2"/>
      <c r="E118" s="2"/>
      <c r="F118" s="2"/>
      <c r="G118" s="2"/>
      <c r="H118" s="2"/>
      <c r="I118" s="2"/>
      <c r="K118" s="2"/>
      <c r="L118" s="2"/>
      <c r="M118" s="2"/>
    </row>
    <row r="119" spans="1:13" x14ac:dyDescent="0.35">
      <c r="A119" s="2"/>
      <c r="B119" s="2"/>
      <c r="C119" s="2"/>
      <c r="D119" s="2"/>
      <c r="E119" s="2"/>
      <c r="F119" s="2"/>
      <c r="G119" s="2"/>
      <c r="H119" s="2"/>
      <c r="I119" s="2"/>
      <c r="K119" s="2"/>
      <c r="L119" s="2"/>
      <c r="M119" s="2"/>
    </row>
    <row r="120" spans="1:13" x14ac:dyDescent="0.35">
      <c r="A120" s="2"/>
      <c r="B120" s="2"/>
      <c r="C120" s="2"/>
      <c r="D120" s="2"/>
      <c r="E120" s="2"/>
      <c r="F120" s="2"/>
      <c r="G120" s="2"/>
      <c r="H120" s="2"/>
      <c r="I120" s="2"/>
      <c r="K120" s="2"/>
      <c r="L120" s="2"/>
      <c r="M120" s="2"/>
    </row>
    <row r="121" spans="1:13" x14ac:dyDescent="0.35">
      <c r="A121" s="2"/>
      <c r="B121" s="2"/>
      <c r="C121" s="2"/>
      <c r="D121" s="2"/>
      <c r="E121" s="2"/>
      <c r="F121" s="2"/>
      <c r="G121" s="2"/>
      <c r="H121" s="2"/>
      <c r="I121" s="2"/>
      <c r="K121" s="2"/>
      <c r="L121" s="2"/>
      <c r="M121" s="2"/>
    </row>
    <row r="122" spans="1:13" x14ac:dyDescent="0.35">
      <c r="A122" s="2"/>
      <c r="B122" s="2"/>
      <c r="C122" s="2"/>
      <c r="D122" s="2"/>
      <c r="E122" s="2"/>
      <c r="F122" s="2"/>
      <c r="G122" s="2"/>
      <c r="H122" s="2"/>
      <c r="I122" s="2"/>
      <c r="K122" s="2"/>
      <c r="L122" s="2"/>
      <c r="M122" s="2"/>
    </row>
    <row r="123" spans="1:13" x14ac:dyDescent="0.35">
      <c r="A123" s="2"/>
      <c r="B123" s="2"/>
      <c r="C123" s="2"/>
      <c r="D123" s="2"/>
      <c r="E123" s="2"/>
      <c r="F123" s="2"/>
      <c r="G123" s="2"/>
      <c r="H123" s="2"/>
      <c r="I123" s="2"/>
      <c r="K123" s="2"/>
      <c r="L123" s="2"/>
      <c r="M123" s="2"/>
    </row>
    <row r="124" spans="1:13" x14ac:dyDescent="0.35">
      <c r="A124" s="2"/>
      <c r="B124" s="2"/>
      <c r="C124" s="2"/>
      <c r="D124" s="2"/>
      <c r="E124" s="2"/>
      <c r="F124" s="2"/>
      <c r="G124" s="2"/>
      <c r="H124" s="2"/>
      <c r="I124" s="2"/>
      <c r="K124" s="2"/>
      <c r="L124" s="2"/>
      <c r="M124" s="2"/>
    </row>
    <row r="125" spans="1:13" x14ac:dyDescent="0.35">
      <c r="A125" s="2"/>
      <c r="B125" s="2"/>
      <c r="C125" s="2"/>
      <c r="D125" s="2"/>
      <c r="E125" s="2"/>
      <c r="F125" s="2"/>
      <c r="G125" s="2"/>
      <c r="H125" s="2"/>
      <c r="I125" s="2"/>
      <c r="K125" s="2"/>
      <c r="L125" s="2"/>
      <c r="M125" s="2"/>
    </row>
    <row r="126" spans="1:13" x14ac:dyDescent="0.35">
      <c r="A126" s="2"/>
      <c r="B126" s="2"/>
      <c r="C126" s="2"/>
      <c r="D126" s="2"/>
      <c r="E126" s="2"/>
      <c r="F126" s="2"/>
      <c r="G126" s="2"/>
      <c r="H126" s="2"/>
      <c r="I126" s="2"/>
      <c r="K126" s="2"/>
      <c r="L126" s="2"/>
      <c r="M126" s="2"/>
    </row>
    <row r="127" spans="1:13" x14ac:dyDescent="0.35">
      <c r="A127" s="2"/>
      <c r="B127" s="2"/>
      <c r="C127" s="2"/>
      <c r="D127" s="2"/>
      <c r="E127" s="2"/>
      <c r="F127" s="2"/>
      <c r="G127" s="2"/>
      <c r="H127" s="2"/>
      <c r="I127" s="2"/>
      <c r="K127" s="2"/>
      <c r="L127" s="2"/>
      <c r="M127" s="2"/>
    </row>
    <row r="128" spans="1:13" x14ac:dyDescent="0.35">
      <c r="A128" s="2"/>
      <c r="B128" s="2"/>
      <c r="C128" s="2"/>
      <c r="D128" s="2"/>
      <c r="E128" s="2"/>
      <c r="F128" s="2"/>
      <c r="G128" s="2"/>
      <c r="H128" s="2"/>
      <c r="I128" s="2"/>
      <c r="K128" s="2"/>
      <c r="L128" s="2"/>
      <c r="M128" s="2"/>
    </row>
    <row r="129" spans="1:225" x14ac:dyDescent="0.35">
      <c r="A129" s="2"/>
      <c r="B129" s="2"/>
      <c r="C129" s="2"/>
      <c r="D129" s="2"/>
      <c r="E129" s="2"/>
      <c r="F129" s="2"/>
      <c r="G129" s="2"/>
      <c r="H129" s="2"/>
      <c r="I129" s="2"/>
      <c r="K129" s="2"/>
      <c r="L129" s="2"/>
      <c r="M129" s="2"/>
    </row>
    <row r="130" spans="1:225" x14ac:dyDescent="0.35">
      <c r="A130" s="2"/>
      <c r="B130" s="2"/>
      <c r="C130" s="2"/>
      <c r="D130" s="2"/>
      <c r="E130" s="2"/>
      <c r="F130" s="2"/>
      <c r="G130" s="2"/>
      <c r="H130" s="2"/>
      <c r="I130" s="2"/>
      <c r="K130" s="2"/>
      <c r="L130" s="2"/>
      <c r="M130" s="2"/>
    </row>
    <row r="131" spans="1:225" x14ac:dyDescent="0.35">
      <c r="A131" s="2"/>
      <c r="B131" s="2"/>
      <c r="C131" s="2"/>
      <c r="D131" s="2"/>
      <c r="E131" s="2"/>
      <c r="F131" s="2"/>
      <c r="G131" s="2"/>
      <c r="H131" s="2"/>
      <c r="I131" s="2"/>
      <c r="K131" s="2"/>
      <c r="L131" s="2"/>
      <c r="M131" s="2"/>
    </row>
    <row r="132" spans="1:225" x14ac:dyDescent="0.35">
      <c r="A132" s="2"/>
      <c r="B132" s="2"/>
      <c r="C132" s="2"/>
      <c r="D132" s="2"/>
      <c r="E132" s="2"/>
      <c r="F132" s="2"/>
      <c r="G132" s="2"/>
      <c r="H132" s="2"/>
      <c r="I132" s="2"/>
      <c r="K132" s="2"/>
      <c r="L132" s="2"/>
      <c r="M132" s="2"/>
    </row>
    <row r="133" spans="1:225" x14ac:dyDescent="0.35">
      <c r="A133" s="2"/>
      <c r="B133" s="2"/>
      <c r="C133" s="2"/>
      <c r="D133" s="2"/>
      <c r="E133" s="2"/>
      <c r="F133" s="2"/>
      <c r="G133" s="2"/>
      <c r="H133" s="2"/>
      <c r="I133" s="2"/>
      <c r="K133" s="2"/>
      <c r="L133" s="2"/>
      <c r="M133" s="2"/>
    </row>
    <row r="134" spans="1:225" x14ac:dyDescent="0.35">
      <c r="A134" s="2"/>
      <c r="B134" s="2"/>
      <c r="C134" s="2"/>
      <c r="D134" s="2"/>
      <c r="E134" s="2"/>
      <c r="F134" s="2"/>
      <c r="G134" s="2"/>
      <c r="H134" s="2"/>
      <c r="I134" s="2"/>
      <c r="K134" s="2"/>
      <c r="L134" s="2"/>
      <c r="M134" s="2"/>
    </row>
    <row r="135" spans="1:225" x14ac:dyDescent="0.35">
      <c r="A135" s="2"/>
      <c r="B135" s="2"/>
      <c r="C135" s="2"/>
      <c r="D135" s="2"/>
      <c r="E135" s="2"/>
      <c r="F135" s="2"/>
      <c r="G135" s="2"/>
      <c r="H135" s="2"/>
      <c r="I135" s="2"/>
      <c r="K135" s="2"/>
      <c r="L135" s="2"/>
      <c r="M135" s="2"/>
    </row>
    <row r="136" spans="1:225" x14ac:dyDescent="0.35">
      <c r="A136" s="2"/>
      <c r="B136" s="2"/>
      <c r="C136" s="2"/>
      <c r="D136" s="2"/>
      <c r="E136" s="2"/>
      <c r="F136" s="2"/>
      <c r="G136" s="2"/>
      <c r="H136" s="2"/>
      <c r="I136" s="2"/>
      <c r="K136" s="2"/>
      <c r="L136" s="2"/>
      <c r="M136" s="2"/>
    </row>
    <row r="137" spans="1:225" x14ac:dyDescent="0.35">
      <c r="A137" s="2"/>
      <c r="B137" s="2"/>
      <c r="C137" s="2"/>
      <c r="D137" s="2"/>
      <c r="E137" s="2"/>
      <c r="F137" s="2"/>
      <c r="G137" s="2"/>
      <c r="H137" s="2"/>
      <c r="I137" s="2"/>
      <c r="K137" s="2"/>
      <c r="L137" s="2"/>
      <c r="M137" s="2"/>
    </row>
    <row r="138" spans="1:225" x14ac:dyDescent="0.35">
      <c r="A138" s="2"/>
      <c r="B138" s="2"/>
      <c r="C138" s="2"/>
      <c r="D138" s="2"/>
      <c r="E138" s="2"/>
      <c r="F138" s="2"/>
      <c r="G138" s="2"/>
      <c r="H138" s="2"/>
      <c r="I138" s="2"/>
      <c r="K138" s="2"/>
      <c r="L138" s="2"/>
      <c r="M138" s="2"/>
    </row>
    <row r="139" spans="1:225" x14ac:dyDescent="0.35">
      <c r="A139" s="2"/>
      <c r="B139" s="2"/>
      <c r="C139" s="2"/>
      <c r="D139" s="2"/>
      <c r="E139" s="2"/>
      <c r="F139" s="2"/>
      <c r="G139" s="2"/>
      <c r="H139" s="2"/>
      <c r="I139" s="2"/>
      <c r="K139" s="2"/>
      <c r="L139" s="2"/>
      <c r="M139" s="2"/>
    </row>
    <row r="140" spans="1:225" x14ac:dyDescent="0.35">
      <c r="A140" s="2"/>
      <c r="B140" s="2"/>
      <c r="C140" s="2"/>
      <c r="D140" s="2"/>
      <c r="E140" s="2"/>
      <c r="F140" s="2"/>
      <c r="G140" s="2"/>
      <c r="H140" s="2"/>
      <c r="I140" s="2"/>
      <c r="K140" s="2"/>
      <c r="L140" s="2"/>
      <c r="M140" s="2"/>
    </row>
    <row r="141" spans="1:225" x14ac:dyDescent="0.35">
      <c r="A141" s="2"/>
      <c r="B141" s="2"/>
      <c r="C141" s="2"/>
      <c r="D141" s="2"/>
      <c r="E141" s="2"/>
      <c r="F141" s="2"/>
      <c r="G141" s="2"/>
      <c r="H141" s="2"/>
      <c r="I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</row>
    <row r="142" spans="1:225" x14ac:dyDescent="0.35">
      <c r="A142" s="2"/>
      <c r="B142" s="2"/>
      <c r="C142" s="2"/>
      <c r="D142" s="2"/>
      <c r="E142" s="2"/>
      <c r="F142" s="2"/>
      <c r="G142" s="2"/>
      <c r="H142" s="2"/>
      <c r="I142" s="2"/>
      <c r="K142" s="2"/>
      <c r="L142" s="2"/>
      <c r="M142" s="2"/>
    </row>
    <row r="143" spans="1:225" x14ac:dyDescent="0.35">
      <c r="A143" s="2"/>
      <c r="B143" s="2"/>
      <c r="C143" s="2"/>
      <c r="D143" s="2"/>
      <c r="E143" s="2"/>
      <c r="F143" s="2"/>
      <c r="G143" s="2"/>
      <c r="H143" s="2"/>
      <c r="I143" s="2"/>
      <c r="K143" s="2"/>
      <c r="L143" s="2"/>
      <c r="M143" s="2"/>
    </row>
    <row r="144" spans="1:225" x14ac:dyDescent="0.35">
      <c r="A144" s="2"/>
      <c r="B144" s="2"/>
      <c r="C144" s="2"/>
      <c r="D144" s="2"/>
      <c r="E144" s="2"/>
      <c r="F144" s="2"/>
      <c r="G144" s="2"/>
      <c r="H144" s="2"/>
      <c r="I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</row>
    <row r="145" spans="1:225" x14ac:dyDescent="0.35">
      <c r="A145" s="2"/>
      <c r="B145" s="2"/>
      <c r="C145" s="2"/>
      <c r="D145" s="2"/>
      <c r="E145" s="2"/>
      <c r="F145" s="2"/>
      <c r="G145" s="2"/>
      <c r="H145" s="2"/>
      <c r="I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</row>
    <row r="146" spans="1:225" x14ac:dyDescent="0.35">
      <c r="A146" s="2"/>
      <c r="B146" s="2"/>
      <c r="C146" s="2"/>
      <c r="D146" s="2"/>
      <c r="E146" s="2"/>
      <c r="F146" s="2"/>
      <c r="G146" s="2"/>
      <c r="H146" s="2"/>
      <c r="I146" s="2"/>
      <c r="K146" s="2"/>
      <c r="L146" s="2"/>
      <c r="M146" s="2"/>
    </row>
    <row r="147" spans="1:225" x14ac:dyDescent="0.35">
      <c r="A147" s="2"/>
      <c r="B147" s="2"/>
      <c r="C147" s="2"/>
      <c r="D147" s="2"/>
      <c r="E147" s="2"/>
      <c r="F147" s="2"/>
      <c r="G147" s="2"/>
      <c r="H147" s="2"/>
      <c r="I147" s="2"/>
      <c r="K147" s="2"/>
      <c r="L147" s="2"/>
      <c r="M147" s="2"/>
    </row>
    <row r="148" spans="1:225" x14ac:dyDescent="0.35">
      <c r="A148" s="2"/>
      <c r="B148" s="2"/>
      <c r="C148" s="2"/>
      <c r="D148" s="2"/>
      <c r="E148" s="2"/>
      <c r="F148" s="2"/>
      <c r="G148" s="2"/>
      <c r="H148" s="2"/>
      <c r="I148" s="2"/>
      <c r="K148" s="2"/>
      <c r="L148" s="2"/>
      <c r="M148" s="2"/>
    </row>
    <row r="149" spans="1:225" x14ac:dyDescent="0.35">
      <c r="A149" s="2"/>
      <c r="B149" s="2"/>
      <c r="C149" s="2"/>
      <c r="D149" s="2"/>
      <c r="E149" s="2"/>
      <c r="F149" s="2"/>
      <c r="G149" s="2"/>
      <c r="H149" s="2"/>
      <c r="I149" s="2"/>
      <c r="K149" s="2"/>
      <c r="L149" s="2"/>
      <c r="M149" s="2"/>
    </row>
    <row r="150" spans="1:225" x14ac:dyDescent="0.35">
      <c r="A150" s="2"/>
      <c r="B150" s="2"/>
      <c r="C150" s="2"/>
      <c r="D150" s="2"/>
      <c r="E150" s="2"/>
      <c r="F150" s="2"/>
      <c r="G150" s="2"/>
      <c r="H150" s="2"/>
      <c r="I150" s="2"/>
      <c r="K150" s="2"/>
      <c r="L150" s="2"/>
      <c r="M150" s="2"/>
    </row>
    <row r="151" spans="1:225" x14ac:dyDescent="0.35">
      <c r="A151" s="2"/>
      <c r="B151" s="2"/>
      <c r="C151" s="2"/>
      <c r="D151" s="2"/>
      <c r="E151" s="2"/>
      <c r="F151" s="2"/>
      <c r="G151" s="2"/>
      <c r="H151" s="2"/>
      <c r="I151" s="2"/>
      <c r="K151" s="2"/>
      <c r="L151" s="2"/>
      <c r="M151" s="2"/>
    </row>
    <row r="152" spans="1:225" x14ac:dyDescent="0.35">
      <c r="A152" s="2"/>
      <c r="B152" s="2"/>
      <c r="C152" s="2"/>
      <c r="D152" s="2"/>
      <c r="E152" s="2"/>
      <c r="F152" s="2"/>
      <c r="G152" s="2"/>
      <c r="H152" s="2"/>
      <c r="I152" s="2"/>
      <c r="K152" s="2"/>
      <c r="L152" s="2"/>
      <c r="M152" s="2"/>
    </row>
    <row r="153" spans="1:225" x14ac:dyDescent="0.35">
      <c r="A153" s="2"/>
      <c r="B153" s="2"/>
      <c r="C153" s="2"/>
      <c r="D153" s="2"/>
      <c r="E153" s="2"/>
      <c r="F153" s="2"/>
      <c r="G153" s="2"/>
      <c r="H153" s="2"/>
      <c r="I153" s="2"/>
      <c r="K153" s="2"/>
      <c r="L153" s="2"/>
      <c r="M153" s="2"/>
    </row>
    <row r="154" spans="1:225" x14ac:dyDescent="0.35">
      <c r="A154" s="2"/>
      <c r="B154" s="2"/>
      <c r="C154" s="2"/>
      <c r="D154" s="2"/>
      <c r="E154" s="2"/>
      <c r="F154" s="2"/>
      <c r="G154" s="2"/>
      <c r="H154" s="2"/>
      <c r="I154" s="2"/>
      <c r="K154" s="2"/>
      <c r="L154" s="2"/>
      <c r="M154" s="2"/>
    </row>
    <row r="155" spans="1:225" x14ac:dyDescent="0.35">
      <c r="A155" s="2"/>
      <c r="B155" s="2"/>
      <c r="C155" s="2"/>
      <c r="D155" s="2"/>
      <c r="E155" s="2"/>
      <c r="F155" s="2"/>
      <c r="G155" s="2"/>
      <c r="H155" s="2"/>
      <c r="I155" s="2"/>
      <c r="K155" s="2"/>
      <c r="L155" s="2"/>
      <c r="M155" s="2"/>
    </row>
    <row r="156" spans="1:225" x14ac:dyDescent="0.35">
      <c r="A156" s="2"/>
      <c r="B156" s="2"/>
      <c r="C156" s="2"/>
      <c r="D156" s="2"/>
      <c r="E156" s="2"/>
      <c r="F156" s="2"/>
      <c r="G156" s="2"/>
      <c r="H156" s="2"/>
      <c r="I156" s="2"/>
      <c r="K156" s="2"/>
      <c r="L156" s="2"/>
      <c r="M156" s="2"/>
    </row>
    <row r="157" spans="1:225" x14ac:dyDescent="0.35">
      <c r="A157" s="2"/>
      <c r="B157" s="2"/>
      <c r="C157" s="2"/>
      <c r="D157" s="2"/>
      <c r="E157" s="2"/>
      <c r="F157" s="2"/>
      <c r="G157" s="2"/>
      <c r="H157" s="2"/>
      <c r="I157" s="2"/>
      <c r="K157" s="2"/>
      <c r="L157" s="2"/>
      <c r="M157" s="2"/>
    </row>
    <row r="158" spans="1:225" x14ac:dyDescent="0.35">
      <c r="A158" s="2"/>
      <c r="B158" s="2"/>
      <c r="C158" s="2"/>
      <c r="D158" s="2"/>
      <c r="E158" s="2"/>
      <c r="F158" s="2"/>
      <c r="G158" s="2"/>
      <c r="H158" s="2"/>
      <c r="I158" s="2"/>
      <c r="K158" s="2"/>
      <c r="L158" s="2"/>
      <c r="M158" s="2"/>
    </row>
    <row r="159" spans="1:225" x14ac:dyDescent="0.35">
      <c r="A159" s="2"/>
      <c r="B159" s="2"/>
      <c r="C159" s="2"/>
      <c r="D159" s="2"/>
      <c r="E159" s="2"/>
      <c r="F159" s="2"/>
      <c r="G159" s="2"/>
      <c r="H159" s="2"/>
      <c r="I159" s="2"/>
      <c r="K159" s="2"/>
      <c r="L159" s="2"/>
      <c r="M159" s="2"/>
    </row>
    <row r="160" spans="1:225" x14ac:dyDescent="0.35">
      <c r="A160" s="2"/>
      <c r="B160" s="2"/>
      <c r="C160" s="2"/>
      <c r="D160" s="2"/>
      <c r="E160" s="2"/>
      <c r="F160" s="2"/>
      <c r="G160" s="2"/>
      <c r="H160" s="2"/>
      <c r="I160" s="2"/>
      <c r="K160" s="2"/>
      <c r="L160" s="2"/>
      <c r="M160" s="2"/>
    </row>
    <row r="161" spans="1:13" x14ac:dyDescent="0.35">
      <c r="A161" s="2"/>
      <c r="B161" s="2"/>
      <c r="C161" s="2"/>
      <c r="D161" s="2"/>
      <c r="E161" s="2"/>
      <c r="F161" s="2"/>
      <c r="G161" s="2"/>
      <c r="H161" s="2"/>
      <c r="I161" s="2"/>
      <c r="K161" s="2"/>
      <c r="L161" s="2"/>
      <c r="M161" s="2"/>
    </row>
    <row r="162" spans="1:13" x14ac:dyDescent="0.35">
      <c r="A162" s="2"/>
      <c r="B162" s="2"/>
      <c r="C162" s="2"/>
      <c r="D162" s="2"/>
      <c r="E162" s="2"/>
      <c r="F162" s="2"/>
      <c r="G162" s="2"/>
      <c r="H162" s="2"/>
      <c r="I162" s="2"/>
      <c r="K162" s="2"/>
      <c r="L162" s="2"/>
      <c r="M162" s="2"/>
    </row>
    <row r="163" spans="1:13" x14ac:dyDescent="0.35">
      <c r="A163" s="2"/>
      <c r="B163" s="2"/>
      <c r="C163" s="2"/>
      <c r="D163" s="2"/>
      <c r="E163" s="2"/>
      <c r="F163" s="2"/>
      <c r="G163" s="2"/>
      <c r="H163" s="2"/>
      <c r="I163" s="2"/>
      <c r="K163" s="2"/>
      <c r="L163" s="2"/>
      <c r="M163" s="2"/>
    </row>
    <row r="164" spans="1:13" x14ac:dyDescent="0.35">
      <c r="A164" s="2"/>
      <c r="B164" s="2"/>
      <c r="C164" s="2"/>
      <c r="D164" s="2"/>
      <c r="E164" s="2"/>
      <c r="F164" s="2"/>
      <c r="G164" s="2"/>
      <c r="H164" s="2"/>
      <c r="I164" s="2"/>
      <c r="K164" s="2"/>
      <c r="L164" s="2"/>
      <c r="M164" s="2"/>
    </row>
    <row r="165" spans="1:13" x14ac:dyDescent="0.35">
      <c r="A165" s="2"/>
      <c r="B165" s="2"/>
      <c r="C165" s="2"/>
      <c r="D165" s="2"/>
      <c r="E165" s="2"/>
      <c r="F165" s="2"/>
      <c r="G165" s="2"/>
      <c r="H165" s="2"/>
      <c r="I165" s="2"/>
      <c r="K165" s="2"/>
      <c r="L165" s="2"/>
      <c r="M165" s="2"/>
    </row>
    <row r="166" spans="1:13" x14ac:dyDescent="0.35">
      <c r="A166" s="2"/>
      <c r="B166" s="2"/>
      <c r="C166" s="2"/>
      <c r="D166" s="2"/>
      <c r="E166" s="2"/>
      <c r="F166" s="2"/>
      <c r="G166" s="2"/>
      <c r="H166" s="2"/>
      <c r="I166" s="2"/>
      <c r="K166" s="2"/>
      <c r="L166" s="2"/>
      <c r="M166" s="2"/>
    </row>
    <row r="167" spans="1:13" x14ac:dyDescent="0.35">
      <c r="A167" s="2"/>
      <c r="B167" s="2"/>
      <c r="C167" s="2"/>
      <c r="D167" s="2"/>
      <c r="E167" s="2"/>
      <c r="F167" s="2"/>
      <c r="G167" s="2"/>
      <c r="H167" s="2"/>
      <c r="I167" s="2"/>
      <c r="K167" s="2"/>
      <c r="L167" s="2"/>
      <c r="M167" s="2"/>
    </row>
    <row r="168" spans="1:13" x14ac:dyDescent="0.35">
      <c r="A168" s="2"/>
      <c r="B168" s="2"/>
      <c r="C168" s="2"/>
      <c r="D168" s="2"/>
      <c r="E168" s="2"/>
      <c r="F168" s="2"/>
      <c r="G168" s="2"/>
      <c r="H168" s="2"/>
      <c r="I168" s="2"/>
      <c r="K168" s="2"/>
      <c r="L168" s="2"/>
      <c r="M168" s="2"/>
    </row>
    <row r="169" spans="1:13" x14ac:dyDescent="0.35">
      <c r="A169" s="2"/>
      <c r="B169" s="2"/>
      <c r="C169" s="2"/>
      <c r="D169" s="2"/>
      <c r="E169" s="2"/>
      <c r="F169" s="2"/>
      <c r="G169" s="2"/>
      <c r="H169" s="2"/>
      <c r="I169" s="2"/>
      <c r="K169" s="2"/>
      <c r="L169" s="2"/>
      <c r="M169" s="2"/>
    </row>
    <row r="170" spans="1:13" x14ac:dyDescent="0.35">
      <c r="A170" s="2"/>
      <c r="B170" s="2"/>
      <c r="C170" s="2"/>
      <c r="D170" s="2"/>
      <c r="E170" s="2"/>
      <c r="F170" s="2"/>
      <c r="G170" s="2"/>
      <c r="H170" s="2"/>
      <c r="I170" s="2"/>
      <c r="K170" s="2"/>
      <c r="L170" s="2"/>
      <c r="M170" s="2"/>
    </row>
    <row r="171" spans="1:13" x14ac:dyDescent="0.35">
      <c r="A171" s="2"/>
      <c r="B171" s="2"/>
      <c r="C171" s="2"/>
      <c r="D171" s="2"/>
      <c r="E171" s="2"/>
      <c r="F171" s="2"/>
      <c r="G171" s="2"/>
      <c r="H171" s="2"/>
      <c r="I171" s="2"/>
      <c r="K171" s="2"/>
      <c r="L171" s="2"/>
      <c r="M171" s="2"/>
    </row>
    <row r="172" spans="1:13" x14ac:dyDescent="0.35">
      <c r="A172" s="2"/>
      <c r="B172" s="2"/>
      <c r="C172" s="2"/>
      <c r="D172" s="2"/>
      <c r="E172" s="2"/>
      <c r="F172" s="2"/>
      <c r="G172" s="2"/>
      <c r="H172" s="2"/>
      <c r="I172" s="2"/>
      <c r="K172" s="2"/>
      <c r="L172" s="2"/>
      <c r="M172" s="2"/>
    </row>
    <row r="173" spans="1:13" x14ac:dyDescent="0.35">
      <c r="A173" s="2"/>
      <c r="B173" s="2"/>
      <c r="C173" s="2"/>
      <c r="D173" s="2"/>
      <c r="E173" s="2"/>
      <c r="F173" s="2"/>
      <c r="G173" s="2"/>
      <c r="H173" s="2"/>
      <c r="I173" s="2"/>
      <c r="K173" s="2"/>
      <c r="L173" s="2"/>
      <c r="M173" s="2"/>
    </row>
    <row r="174" spans="1:13" x14ac:dyDescent="0.35">
      <c r="A174" s="2"/>
      <c r="B174" s="2"/>
      <c r="C174" s="2"/>
      <c r="D174" s="2"/>
      <c r="E174" s="2"/>
      <c r="F174" s="2"/>
      <c r="G174" s="2"/>
      <c r="H174" s="2"/>
      <c r="I174" s="2"/>
      <c r="K174" s="2"/>
      <c r="L174" s="2"/>
      <c r="M174" s="2"/>
    </row>
    <row r="175" spans="1:13" x14ac:dyDescent="0.35">
      <c r="A175" s="2"/>
      <c r="B175" s="2"/>
      <c r="C175" s="2"/>
      <c r="D175" s="2"/>
      <c r="E175" s="2"/>
      <c r="F175" s="2"/>
      <c r="G175" s="2"/>
      <c r="H175" s="2"/>
      <c r="I175" s="2"/>
      <c r="K175" s="2"/>
      <c r="L175" s="2"/>
      <c r="M175" s="2"/>
    </row>
    <row r="176" spans="1:13" x14ac:dyDescent="0.35">
      <c r="A176" s="2"/>
      <c r="B176" s="2"/>
      <c r="C176" s="2"/>
      <c r="D176" s="2"/>
      <c r="E176" s="2"/>
      <c r="F176" s="2"/>
      <c r="G176" s="2"/>
      <c r="H176" s="2"/>
      <c r="I176" s="2"/>
      <c r="K176" s="2"/>
      <c r="L176" s="2"/>
      <c r="M176" s="2"/>
    </row>
    <row r="177" spans="1:13" x14ac:dyDescent="0.35">
      <c r="A177" s="2"/>
      <c r="B177" s="2"/>
      <c r="C177" s="2"/>
      <c r="D177" s="2"/>
      <c r="E177" s="2"/>
      <c r="F177" s="2"/>
      <c r="G177" s="2"/>
      <c r="H177" s="2"/>
      <c r="I177" s="2"/>
      <c r="K177" s="2"/>
      <c r="L177" s="2"/>
      <c r="M177" s="2"/>
    </row>
    <row r="178" spans="1:13" x14ac:dyDescent="0.35">
      <c r="A178" s="2"/>
      <c r="B178" s="2"/>
      <c r="C178" s="2"/>
      <c r="D178" s="2"/>
      <c r="E178" s="2"/>
      <c r="F178" s="2"/>
      <c r="G178" s="2"/>
      <c r="H178" s="2"/>
      <c r="I178" s="2"/>
      <c r="K178" s="2"/>
      <c r="L178" s="2"/>
      <c r="M178" s="2"/>
    </row>
    <row r="179" spans="1:13" x14ac:dyDescent="0.35">
      <c r="A179" s="2"/>
      <c r="B179" s="2"/>
      <c r="C179" s="2"/>
      <c r="D179" s="2"/>
      <c r="E179" s="2"/>
      <c r="F179" s="2"/>
      <c r="G179" s="2"/>
      <c r="H179" s="2"/>
      <c r="I179" s="2"/>
      <c r="K179" s="2"/>
      <c r="L179" s="2"/>
      <c r="M179" s="2"/>
    </row>
    <row r="180" spans="1:13" x14ac:dyDescent="0.35">
      <c r="A180" s="2"/>
      <c r="B180" s="2"/>
      <c r="C180" s="2"/>
      <c r="D180" s="2"/>
      <c r="E180" s="2"/>
      <c r="F180" s="2"/>
      <c r="G180" s="2"/>
      <c r="H180" s="2"/>
      <c r="I180" s="2"/>
      <c r="K180" s="2"/>
      <c r="L180" s="2"/>
      <c r="M180" s="2"/>
    </row>
    <row r="181" spans="1:13" x14ac:dyDescent="0.35">
      <c r="A181" s="2"/>
      <c r="B181" s="2"/>
      <c r="C181" s="2"/>
      <c r="D181" s="2"/>
      <c r="E181" s="2"/>
      <c r="F181" s="2"/>
      <c r="G181" s="2"/>
      <c r="H181" s="2"/>
      <c r="I181" s="2"/>
      <c r="K181" s="2"/>
      <c r="L181" s="2"/>
      <c r="M181" s="2"/>
    </row>
    <row r="182" spans="1:13" x14ac:dyDescent="0.35">
      <c r="A182" s="2"/>
      <c r="B182" s="2"/>
      <c r="C182" s="2"/>
      <c r="D182" s="2"/>
      <c r="E182" s="2"/>
      <c r="F182" s="2"/>
      <c r="G182" s="2"/>
      <c r="H182" s="2"/>
      <c r="I182" s="2"/>
      <c r="K182" s="2"/>
      <c r="L182" s="2"/>
      <c r="M182" s="2"/>
    </row>
    <row r="183" spans="1:13" x14ac:dyDescent="0.35">
      <c r="A183" s="2"/>
      <c r="B183" s="2"/>
      <c r="C183" s="2"/>
      <c r="D183" s="2"/>
      <c r="E183" s="2"/>
      <c r="F183" s="2"/>
      <c r="G183" s="2"/>
      <c r="H183" s="2"/>
      <c r="I183" s="2"/>
      <c r="K183" s="2"/>
      <c r="L183" s="2"/>
      <c r="M183" s="2"/>
    </row>
    <row r="184" spans="1:13" x14ac:dyDescent="0.35">
      <c r="A184" s="2"/>
      <c r="B184" s="2"/>
      <c r="C184" s="2"/>
      <c r="D184" s="2"/>
      <c r="E184" s="2"/>
      <c r="F184" s="2"/>
      <c r="G184" s="2"/>
      <c r="H184" s="2"/>
      <c r="I184" s="2"/>
      <c r="K184" s="2"/>
      <c r="L184" s="2"/>
      <c r="M184" s="2"/>
    </row>
    <row r="185" spans="1:13" x14ac:dyDescent="0.35">
      <c r="A185" s="2"/>
      <c r="B185" s="2"/>
      <c r="C185" s="2"/>
      <c r="D185" s="2"/>
      <c r="E185" s="2"/>
      <c r="F185" s="2"/>
      <c r="G185" s="2"/>
      <c r="H185" s="2"/>
      <c r="I185" s="2"/>
      <c r="K185" s="2"/>
      <c r="L185" s="2"/>
      <c r="M185" s="2"/>
    </row>
    <row r="186" spans="1:13" x14ac:dyDescent="0.35">
      <c r="A186" s="2"/>
      <c r="B186" s="2"/>
      <c r="C186" s="2"/>
      <c r="D186" s="2"/>
      <c r="E186" s="2"/>
      <c r="F186" s="2"/>
      <c r="G186" s="2"/>
      <c r="H186" s="2"/>
      <c r="I186" s="2"/>
      <c r="K186" s="2"/>
      <c r="L186" s="2"/>
      <c r="M186" s="2"/>
    </row>
    <row r="187" spans="1:13" x14ac:dyDescent="0.35">
      <c r="A187" s="2"/>
      <c r="B187" s="2"/>
      <c r="C187" s="2"/>
      <c r="D187" s="2"/>
      <c r="E187" s="2"/>
      <c r="F187" s="2"/>
      <c r="G187" s="2"/>
      <c r="H187" s="2"/>
      <c r="I187" s="2"/>
      <c r="K187" s="2"/>
      <c r="L187" s="2"/>
      <c r="M187" s="2"/>
    </row>
    <row r="188" spans="1:13" x14ac:dyDescent="0.35">
      <c r="A188" s="2"/>
      <c r="B188" s="2"/>
      <c r="C188" s="2"/>
      <c r="D188" s="2"/>
      <c r="E188" s="2"/>
      <c r="F188" s="2"/>
      <c r="G188" s="2"/>
      <c r="H188" s="2"/>
      <c r="I188" s="2"/>
      <c r="K188" s="2"/>
      <c r="L188" s="2"/>
      <c r="M188" s="2"/>
    </row>
    <row r="189" spans="1:13" x14ac:dyDescent="0.35">
      <c r="A189" s="2"/>
      <c r="B189" s="2"/>
      <c r="C189" s="2"/>
      <c r="D189" s="2"/>
      <c r="E189" s="2"/>
      <c r="F189" s="2"/>
      <c r="G189" s="2"/>
      <c r="H189" s="2"/>
      <c r="I189" s="2"/>
      <c r="K189" s="2"/>
      <c r="L189" s="2"/>
      <c r="M189" s="2"/>
    </row>
    <row r="190" spans="1:13" x14ac:dyDescent="0.35">
      <c r="A190" s="2"/>
      <c r="B190" s="2"/>
      <c r="C190" s="2"/>
      <c r="D190" s="2"/>
      <c r="E190" s="2"/>
      <c r="F190" s="2"/>
      <c r="G190" s="2"/>
      <c r="H190" s="2"/>
      <c r="I190" s="2"/>
      <c r="K190" s="2"/>
      <c r="L190" s="2"/>
      <c r="M190" s="2"/>
    </row>
    <row r="191" spans="1:13" x14ac:dyDescent="0.35">
      <c r="A191" s="2"/>
      <c r="B191" s="2"/>
      <c r="C191" s="2"/>
      <c r="D191" s="2"/>
      <c r="E191" s="2"/>
      <c r="F191" s="2"/>
      <c r="G191" s="2"/>
      <c r="H191" s="2"/>
      <c r="I191" s="2"/>
      <c r="K191" s="2"/>
      <c r="L191" s="2"/>
      <c r="M191" s="2"/>
    </row>
    <row r="192" spans="1:13" x14ac:dyDescent="0.35">
      <c r="A192" s="2"/>
      <c r="B192" s="2"/>
      <c r="C192" s="2"/>
      <c r="D192" s="2"/>
      <c r="E192" s="2"/>
      <c r="F192" s="2"/>
      <c r="G192" s="2"/>
      <c r="H192" s="2"/>
      <c r="I192" s="2"/>
      <c r="K192" s="2"/>
      <c r="L192" s="2"/>
      <c r="M192" s="2"/>
    </row>
    <row r="193" spans="1:225" x14ac:dyDescent="0.35">
      <c r="A193" s="2"/>
      <c r="B193" s="2"/>
      <c r="C193" s="2"/>
      <c r="D193" s="2"/>
      <c r="E193" s="2"/>
      <c r="F193" s="2"/>
      <c r="G193" s="2"/>
      <c r="H193" s="2"/>
      <c r="I193" s="2"/>
      <c r="K193" s="2"/>
      <c r="L193" s="2"/>
      <c r="M193" s="2"/>
    </row>
    <row r="194" spans="1:225" x14ac:dyDescent="0.35">
      <c r="A194" s="2"/>
      <c r="B194" s="2"/>
      <c r="C194" s="2"/>
      <c r="D194" s="2"/>
      <c r="E194" s="2"/>
      <c r="F194" s="2"/>
      <c r="G194" s="2"/>
      <c r="H194" s="2"/>
      <c r="I194" s="2"/>
      <c r="K194" s="2"/>
      <c r="L194" s="2"/>
      <c r="M194" s="2"/>
    </row>
    <row r="195" spans="1:225" x14ac:dyDescent="0.35">
      <c r="A195" s="2"/>
      <c r="B195" s="2"/>
      <c r="C195" s="2"/>
      <c r="D195" s="2"/>
      <c r="E195" s="2"/>
      <c r="F195" s="2"/>
      <c r="G195" s="2"/>
      <c r="H195" s="2"/>
      <c r="I195" s="2"/>
      <c r="K195" s="2"/>
      <c r="L195" s="2"/>
      <c r="M195" s="2"/>
    </row>
    <row r="196" spans="1:225" x14ac:dyDescent="0.35">
      <c r="A196" s="2"/>
      <c r="B196" s="2"/>
      <c r="C196" s="2"/>
      <c r="D196" s="2"/>
      <c r="E196" s="2"/>
      <c r="F196" s="2"/>
      <c r="G196" s="2"/>
      <c r="H196" s="2"/>
      <c r="I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  <c r="GZ196" s="2"/>
      <c r="HA196" s="2"/>
      <c r="HB196" s="2"/>
      <c r="HC196" s="2"/>
      <c r="HD196" s="2"/>
      <c r="HE196" s="2"/>
      <c r="HF196" s="2"/>
      <c r="HG196" s="2"/>
      <c r="HH196" s="2"/>
      <c r="HI196" s="2"/>
      <c r="HJ196" s="2"/>
      <c r="HK196" s="2"/>
      <c r="HL196" s="2"/>
      <c r="HM196" s="2"/>
      <c r="HN196" s="2"/>
      <c r="HO196" s="2"/>
      <c r="HP196" s="2"/>
      <c r="HQ196" s="2"/>
    </row>
    <row r="197" spans="1:225" x14ac:dyDescent="0.35">
      <c r="A197" s="2"/>
      <c r="B197" s="2"/>
      <c r="C197" s="2"/>
      <c r="D197" s="2"/>
      <c r="E197" s="2"/>
      <c r="F197" s="2"/>
      <c r="G197" s="2"/>
      <c r="H197" s="2"/>
      <c r="I197" s="2"/>
      <c r="K197" s="2"/>
      <c r="L197" s="2"/>
      <c r="M197" s="2"/>
    </row>
    <row r="198" spans="1:225" x14ac:dyDescent="0.35">
      <c r="A198" s="2"/>
      <c r="B198" s="2"/>
      <c r="C198" s="2"/>
      <c r="D198" s="2"/>
      <c r="E198" s="2"/>
      <c r="F198" s="2"/>
      <c r="G198" s="2"/>
      <c r="H198" s="2"/>
      <c r="I198" s="2"/>
      <c r="K198" s="2"/>
      <c r="L198" s="2"/>
      <c r="M198" s="2"/>
    </row>
    <row r="199" spans="1:225" x14ac:dyDescent="0.35">
      <c r="A199" s="2"/>
      <c r="B199" s="2"/>
      <c r="C199" s="2"/>
      <c r="D199" s="2"/>
      <c r="E199" s="2"/>
      <c r="F199" s="2"/>
      <c r="G199" s="2"/>
      <c r="H199" s="2"/>
      <c r="I199" s="2"/>
      <c r="K199" s="2"/>
      <c r="L199" s="2"/>
      <c r="M199" s="2"/>
    </row>
    <row r="200" spans="1:225" x14ac:dyDescent="0.35">
      <c r="A200" s="2"/>
      <c r="B200" s="2"/>
      <c r="C200" s="2"/>
      <c r="D200" s="2"/>
      <c r="E200" s="2"/>
      <c r="F200" s="2"/>
      <c r="G200" s="2"/>
      <c r="H200" s="2"/>
      <c r="I200" s="2"/>
      <c r="K200" s="2"/>
      <c r="L200" s="2"/>
      <c r="M200" s="2"/>
    </row>
    <row r="201" spans="1:225" x14ac:dyDescent="0.35">
      <c r="A201" s="2"/>
      <c r="B201" s="2"/>
      <c r="C201" s="2"/>
      <c r="D201" s="2"/>
      <c r="E201" s="2"/>
      <c r="F201" s="2"/>
      <c r="G201" s="2"/>
      <c r="H201" s="2"/>
      <c r="I201" s="2"/>
      <c r="K201" s="2"/>
      <c r="L201" s="2"/>
      <c r="M201" s="2"/>
    </row>
    <row r="202" spans="1:225" x14ac:dyDescent="0.35">
      <c r="A202" s="2"/>
      <c r="B202" s="2"/>
      <c r="C202" s="2"/>
      <c r="D202" s="2"/>
      <c r="E202" s="2"/>
      <c r="F202" s="2"/>
      <c r="G202" s="2"/>
      <c r="H202" s="2"/>
      <c r="I202" s="2"/>
      <c r="K202" s="2"/>
      <c r="L202" s="2"/>
      <c r="M202" s="2"/>
    </row>
    <row r="203" spans="1:225" x14ac:dyDescent="0.35">
      <c r="A203" s="2"/>
      <c r="B203" s="2"/>
      <c r="C203" s="2"/>
      <c r="D203" s="2"/>
      <c r="E203" s="2"/>
      <c r="F203" s="2"/>
      <c r="G203" s="2"/>
      <c r="H203" s="2"/>
      <c r="I203" s="2"/>
      <c r="K203" s="2"/>
      <c r="L203" s="2"/>
      <c r="M203" s="2"/>
    </row>
    <row r="204" spans="1:225" x14ac:dyDescent="0.35">
      <c r="A204" s="2"/>
      <c r="B204" s="2"/>
      <c r="C204" s="2"/>
      <c r="D204" s="2"/>
      <c r="E204" s="2"/>
      <c r="F204" s="2"/>
      <c r="G204" s="2"/>
      <c r="H204" s="2"/>
      <c r="I204" s="2"/>
      <c r="K204" s="2"/>
      <c r="L204" s="2"/>
      <c r="M204" s="2"/>
    </row>
    <row r="205" spans="1:225" x14ac:dyDescent="0.35">
      <c r="A205" s="2"/>
      <c r="B205" s="2"/>
      <c r="C205" s="2"/>
      <c r="D205" s="2"/>
      <c r="E205" s="2"/>
      <c r="F205" s="2"/>
      <c r="G205" s="2"/>
      <c r="H205" s="2"/>
      <c r="I205" s="2"/>
      <c r="K205" s="2"/>
      <c r="L205" s="2"/>
      <c r="M205" s="2"/>
    </row>
    <row r="206" spans="1:225" x14ac:dyDescent="0.35">
      <c r="A206" s="2"/>
      <c r="B206" s="2"/>
      <c r="C206" s="2"/>
      <c r="D206" s="2"/>
      <c r="E206" s="2"/>
      <c r="F206" s="2"/>
      <c r="G206" s="2"/>
      <c r="H206" s="2"/>
      <c r="I206" s="2"/>
      <c r="K206" s="2"/>
      <c r="L206" s="2"/>
      <c r="M206" s="2"/>
    </row>
    <row r="207" spans="1:225" x14ac:dyDescent="0.35">
      <c r="A207" s="2"/>
      <c r="B207" s="2"/>
      <c r="C207" s="2"/>
      <c r="D207" s="2"/>
      <c r="E207" s="2"/>
      <c r="F207" s="2"/>
      <c r="G207" s="2"/>
      <c r="H207" s="2"/>
      <c r="I207" s="2"/>
      <c r="K207" s="2"/>
      <c r="L207" s="2"/>
      <c r="M207" s="2"/>
    </row>
    <row r="208" spans="1:225" x14ac:dyDescent="0.35">
      <c r="A208" s="2"/>
      <c r="B208" s="2"/>
      <c r="C208" s="2"/>
      <c r="D208" s="2"/>
      <c r="E208" s="2"/>
      <c r="F208" s="2"/>
      <c r="G208" s="2"/>
      <c r="H208" s="2"/>
      <c r="I208" s="2"/>
      <c r="K208" s="2"/>
      <c r="L208" s="2"/>
      <c r="M208" s="2"/>
    </row>
    <row r="209" spans="1:13" x14ac:dyDescent="0.35">
      <c r="A209" s="2"/>
      <c r="B209" s="2"/>
      <c r="C209" s="2"/>
      <c r="D209" s="2"/>
      <c r="E209" s="2"/>
      <c r="F209" s="2"/>
      <c r="G209" s="2"/>
      <c r="H209" s="2"/>
      <c r="I209" s="2"/>
      <c r="K209" s="2"/>
      <c r="L209" s="2"/>
      <c r="M209" s="2"/>
    </row>
    <row r="210" spans="1:13" x14ac:dyDescent="0.35">
      <c r="A210" s="2"/>
      <c r="B210" s="2"/>
      <c r="C210" s="2"/>
      <c r="D210" s="2"/>
      <c r="E210" s="2"/>
      <c r="F210" s="2"/>
      <c r="G210" s="2"/>
      <c r="H210" s="2"/>
      <c r="I210" s="2"/>
      <c r="K210" s="2"/>
      <c r="L210" s="2"/>
      <c r="M210" s="2"/>
    </row>
    <row r="211" spans="1:13" x14ac:dyDescent="0.35">
      <c r="A211" s="2"/>
      <c r="B211" s="2"/>
      <c r="C211" s="2"/>
      <c r="D211" s="2"/>
      <c r="E211" s="2"/>
      <c r="F211" s="2"/>
      <c r="G211" s="2"/>
      <c r="H211" s="2"/>
      <c r="I211" s="2"/>
      <c r="K211" s="2"/>
      <c r="L211" s="2"/>
      <c r="M211" s="2"/>
    </row>
    <row r="212" spans="1:13" x14ac:dyDescent="0.35">
      <c r="A212" s="2"/>
      <c r="B212" s="2"/>
      <c r="C212" s="2"/>
      <c r="D212" s="2"/>
      <c r="E212" s="2"/>
      <c r="F212" s="2"/>
      <c r="G212" s="2"/>
      <c r="H212" s="2"/>
      <c r="I212" s="2"/>
      <c r="K212" s="2"/>
      <c r="L212" s="2"/>
      <c r="M212" s="2"/>
    </row>
    <row r="213" spans="1:13" x14ac:dyDescent="0.35">
      <c r="A213" s="2"/>
      <c r="B213" s="2"/>
      <c r="C213" s="2"/>
      <c r="D213" s="2"/>
      <c r="E213" s="2"/>
      <c r="F213" s="2"/>
      <c r="G213" s="2"/>
      <c r="H213" s="2"/>
      <c r="I213" s="2"/>
      <c r="K213" s="2"/>
      <c r="L213" s="2"/>
      <c r="M213" s="2"/>
    </row>
    <row r="214" spans="1:13" x14ac:dyDescent="0.35">
      <c r="A214" s="2"/>
      <c r="B214" s="2"/>
      <c r="C214" s="2"/>
      <c r="D214" s="2"/>
      <c r="E214" s="2"/>
      <c r="F214" s="2"/>
      <c r="G214" s="2"/>
      <c r="H214" s="2"/>
      <c r="I214" s="2"/>
      <c r="K214" s="2"/>
      <c r="L214" s="2"/>
      <c r="M214" s="2"/>
    </row>
    <row r="215" spans="1:13" x14ac:dyDescent="0.35">
      <c r="A215" s="2"/>
      <c r="B215" s="2"/>
      <c r="C215" s="2"/>
      <c r="D215" s="2"/>
      <c r="E215" s="2"/>
      <c r="F215" s="2"/>
      <c r="G215" s="2"/>
      <c r="H215" s="2"/>
      <c r="I215" s="2"/>
      <c r="K215" s="2"/>
      <c r="L215" s="2"/>
      <c r="M215" s="2"/>
    </row>
    <row r="216" spans="1:13" x14ac:dyDescent="0.35">
      <c r="A216" s="2"/>
      <c r="B216" s="2"/>
      <c r="C216" s="2"/>
      <c r="D216" s="2"/>
      <c r="E216" s="2"/>
      <c r="F216" s="2"/>
      <c r="G216" s="2"/>
      <c r="H216" s="2"/>
      <c r="I216" s="2"/>
      <c r="K216" s="2"/>
      <c r="L216" s="2"/>
      <c r="M216" s="2"/>
    </row>
    <row r="217" spans="1:13" x14ac:dyDescent="0.35">
      <c r="A217" s="2"/>
      <c r="B217" s="2"/>
      <c r="C217" s="2"/>
      <c r="D217" s="2"/>
      <c r="E217" s="2"/>
      <c r="F217" s="2"/>
      <c r="G217" s="2"/>
      <c r="H217" s="2"/>
      <c r="I217" s="2"/>
      <c r="K217" s="2"/>
      <c r="L217" s="2"/>
      <c r="M217" s="2"/>
    </row>
    <row r="218" spans="1:13" x14ac:dyDescent="0.35">
      <c r="A218" s="2"/>
      <c r="B218" s="2"/>
      <c r="C218" s="2"/>
      <c r="D218" s="2"/>
      <c r="E218" s="2"/>
      <c r="F218" s="2"/>
      <c r="G218" s="2"/>
      <c r="H218" s="2"/>
      <c r="I218" s="2"/>
      <c r="K218" s="2"/>
      <c r="L218" s="2"/>
      <c r="M218" s="2"/>
    </row>
    <row r="219" spans="1:13" x14ac:dyDescent="0.35">
      <c r="A219" s="2"/>
      <c r="B219" s="2"/>
      <c r="C219" s="2"/>
      <c r="D219" s="2"/>
      <c r="E219" s="2"/>
      <c r="F219" s="2"/>
      <c r="G219" s="2"/>
      <c r="H219" s="2"/>
      <c r="I219" s="2"/>
      <c r="K219" s="2"/>
      <c r="L219" s="2"/>
      <c r="M219" s="2"/>
    </row>
    <row r="220" spans="1:13" x14ac:dyDescent="0.35">
      <c r="A220" s="2"/>
      <c r="B220" s="2"/>
      <c r="C220" s="2"/>
      <c r="D220" s="2"/>
      <c r="E220" s="2"/>
      <c r="F220" s="2"/>
      <c r="G220" s="2"/>
      <c r="H220" s="2"/>
      <c r="I220" s="2"/>
      <c r="K220" s="2"/>
      <c r="L220" s="2"/>
      <c r="M220" s="2"/>
    </row>
    <row r="221" spans="1:13" x14ac:dyDescent="0.35">
      <c r="A221" s="2"/>
      <c r="B221" s="2"/>
      <c r="C221" s="2"/>
      <c r="D221" s="2"/>
      <c r="E221" s="2"/>
      <c r="F221" s="2"/>
      <c r="G221" s="2"/>
      <c r="H221" s="2"/>
      <c r="I221" s="2"/>
      <c r="K221" s="2"/>
      <c r="L221" s="2"/>
      <c r="M221" s="2"/>
    </row>
    <row r="222" spans="1:13" x14ac:dyDescent="0.35">
      <c r="A222" s="2"/>
      <c r="B222" s="2"/>
      <c r="C222" s="2"/>
      <c r="D222" s="2"/>
      <c r="E222" s="2"/>
      <c r="F222" s="2"/>
      <c r="G222" s="2"/>
      <c r="H222" s="2"/>
      <c r="I222" s="2"/>
      <c r="K222" s="2"/>
      <c r="L222" s="2"/>
      <c r="M222" s="2"/>
    </row>
    <row r="223" spans="1:13" x14ac:dyDescent="0.35">
      <c r="A223" s="2"/>
      <c r="B223" s="2"/>
      <c r="C223" s="2"/>
      <c r="D223" s="2"/>
      <c r="E223" s="2"/>
      <c r="F223" s="2"/>
      <c r="G223" s="2"/>
      <c r="H223" s="2"/>
      <c r="I223" s="2"/>
      <c r="K223" s="2"/>
      <c r="L223" s="2"/>
      <c r="M223" s="2"/>
    </row>
    <row r="224" spans="1:13" x14ac:dyDescent="0.35">
      <c r="A224" s="2"/>
      <c r="B224" s="2"/>
      <c r="C224" s="2"/>
      <c r="D224" s="2"/>
      <c r="E224" s="2"/>
      <c r="F224" s="2"/>
      <c r="G224" s="2"/>
      <c r="H224" s="2"/>
      <c r="I224" s="2"/>
      <c r="K224" s="2"/>
      <c r="L224" s="2"/>
      <c r="M224" s="2"/>
    </row>
    <row r="225" spans="1:13" x14ac:dyDescent="0.35">
      <c r="A225" s="2"/>
      <c r="B225" s="2"/>
      <c r="C225" s="2"/>
      <c r="D225" s="2"/>
      <c r="E225" s="2"/>
      <c r="F225" s="2"/>
      <c r="G225" s="2"/>
      <c r="H225" s="2"/>
      <c r="I225" s="2"/>
      <c r="K225" s="2"/>
      <c r="L225" s="2"/>
      <c r="M225" s="2"/>
    </row>
    <row r="226" spans="1:13" x14ac:dyDescent="0.35">
      <c r="A226" s="2"/>
      <c r="B226" s="2"/>
      <c r="C226" s="2"/>
      <c r="D226" s="2"/>
      <c r="E226" s="2"/>
      <c r="F226" s="2"/>
      <c r="G226" s="2"/>
      <c r="H226" s="2"/>
      <c r="I226" s="2"/>
      <c r="K226" s="2"/>
      <c r="L226" s="2"/>
      <c r="M226" s="2"/>
    </row>
    <row r="227" spans="1:13" x14ac:dyDescent="0.35">
      <c r="A227" s="2"/>
      <c r="B227" s="2"/>
      <c r="C227" s="2"/>
      <c r="D227" s="2"/>
      <c r="E227" s="2"/>
      <c r="F227" s="2"/>
      <c r="G227" s="2"/>
      <c r="H227" s="2"/>
      <c r="I227" s="2"/>
      <c r="K227" s="2"/>
      <c r="L227" s="2"/>
      <c r="M227" s="2"/>
    </row>
    <row r="228" spans="1:13" x14ac:dyDescent="0.35">
      <c r="A228" s="2"/>
      <c r="B228" s="2"/>
      <c r="C228" s="2"/>
      <c r="D228" s="2"/>
      <c r="E228" s="2"/>
      <c r="F228" s="2"/>
      <c r="G228" s="2"/>
      <c r="H228" s="2"/>
      <c r="I228" s="2"/>
      <c r="K228" s="2"/>
      <c r="L228" s="2"/>
      <c r="M228" s="2"/>
    </row>
    <row r="229" spans="1:13" x14ac:dyDescent="0.35">
      <c r="A229" s="2"/>
      <c r="B229" s="2"/>
      <c r="C229" s="2"/>
      <c r="D229" s="2"/>
      <c r="E229" s="2"/>
      <c r="F229" s="2"/>
      <c r="G229" s="2"/>
      <c r="H229" s="2"/>
      <c r="I229" s="2"/>
      <c r="K229" s="2"/>
      <c r="L229" s="2"/>
      <c r="M229" s="2"/>
    </row>
    <row r="230" spans="1:13" x14ac:dyDescent="0.35">
      <c r="A230" s="2"/>
      <c r="B230" s="2"/>
      <c r="C230" s="2"/>
      <c r="D230" s="2"/>
      <c r="E230" s="2"/>
      <c r="F230" s="2"/>
      <c r="G230" s="2"/>
      <c r="H230" s="2"/>
      <c r="I230" s="2"/>
      <c r="K230" s="2"/>
      <c r="L230" s="2"/>
      <c r="M230" s="2"/>
    </row>
    <row r="231" spans="1:13" x14ac:dyDescent="0.35">
      <c r="A231" s="2"/>
      <c r="B231" s="2"/>
      <c r="C231" s="2"/>
      <c r="D231" s="2"/>
      <c r="E231" s="2"/>
      <c r="F231" s="2"/>
      <c r="G231" s="2"/>
      <c r="H231" s="2"/>
      <c r="I231" s="2"/>
      <c r="K231" s="2"/>
      <c r="L231" s="2"/>
      <c r="M231" s="2"/>
    </row>
    <row r="232" spans="1:13" x14ac:dyDescent="0.35">
      <c r="A232" s="2"/>
      <c r="B232" s="2"/>
      <c r="C232" s="2"/>
      <c r="D232" s="2"/>
      <c r="E232" s="2"/>
      <c r="F232" s="2"/>
      <c r="G232" s="2"/>
      <c r="H232" s="2"/>
      <c r="I232" s="2"/>
      <c r="K232" s="2"/>
      <c r="L232" s="2"/>
      <c r="M232" s="2"/>
    </row>
    <row r="233" spans="1:13" x14ac:dyDescent="0.35">
      <c r="A233" s="2"/>
      <c r="B233" s="2"/>
      <c r="C233" s="2"/>
      <c r="D233" s="2"/>
      <c r="E233" s="2"/>
      <c r="F233" s="2"/>
      <c r="G233" s="2"/>
      <c r="H233" s="2"/>
      <c r="I233" s="2"/>
      <c r="K233" s="2"/>
      <c r="L233" s="2"/>
      <c r="M233" s="2"/>
    </row>
    <row r="234" spans="1:13" x14ac:dyDescent="0.35">
      <c r="A234" s="2"/>
      <c r="B234" s="2"/>
      <c r="C234" s="2"/>
      <c r="D234" s="2"/>
      <c r="E234" s="2"/>
      <c r="F234" s="2"/>
      <c r="G234" s="2"/>
      <c r="H234" s="2"/>
      <c r="I234" s="2"/>
      <c r="K234" s="2"/>
      <c r="L234" s="2"/>
      <c r="M234" s="2"/>
    </row>
    <row r="235" spans="1:13" x14ac:dyDescent="0.35">
      <c r="A235" s="2"/>
      <c r="B235" s="2"/>
      <c r="C235" s="2"/>
      <c r="D235" s="2"/>
      <c r="E235" s="2"/>
      <c r="F235" s="2"/>
      <c r="G235" s="2"/>
      <c r="H235" s="2"/>
      <c r="I235" s="2"/>
      <c r="K235" s="2"/>
      <c r="L235" s="2"/>
      <c r="M235" s="2"/>
    </row>
    <row r="236" spans="1:13" x14ac:dyDescent="0.35">
      <c r="A236" s="2"/>
      <c r="B236" s="2"/>
      <c r="C236" s="2"/>
      <c r="D236" s="2"/>
      <c r="E236" s="2"/>
      <c r="F236" s="2"/>
      <c r="G236" s="2"/>
      <c r="H236" s="2"/>
      <c r="I236" s="2"/>
      <c r="K236" s="2"/>
      <c r="L236" s="2"/>
      <c r="M236" s="2"/>
    </row>
    <row r="237" spans="1:13" x14ac:dyDescent="0.35">
      <c r="A237" s="2"/>
      <c r="B237" s="2"/>
      <c r="C237" s="2"/>
      <c r="D237" s="2"/>
      <c r="E237" s="2"/>
      <c r="F237" s="2"/>
      <c r="G237" s="2"/>
      <c r="H237" s="2"/>
      <c r="I237" s="2"/>
      <c r="K237" s="2"/>
      <c r="L237" s="2"/>
      <c r="M237" s="2"/>
    </row>
    <row r="238" spans="1:13" x14ac:dyDescent="0.35">
      <c r="A238" s="2"/>
      <c r="B238" s="2"/>
      <c r="C238" s="2"/>
      <c r="D238" s="2"/>
      <c r="E238" s="2"/>
      <c r="F238" s="2"/>
      <c r="G238" s="2"/>
      <c r="H238" s="2"/>
      <c r="I238" s="2"/>
      <c r="K238" s="2"/>
      <c r="L238" s="2"/>
      <c r="M238" s="2"/>
    </row>
    <row r="239" spans="1:13" x14ac:dyDescent="0.35">
      <c r="A239" s="2"/>
      <c r="B239" s="2"/>
      <c r="C239" s="2"/>
      <c r="D239" s="2"/>
      <c r="E239" s="2"/>
      <c r="F239" s="2"/>
      <c r="G239" s="2"/>
      <c r="H239" s="2"/>
      <c r="I239" s="2"/>
      <c r="K239" s="2"/>
      <c r="L239" s="2"/>
      <c r="M239" s="2"/>
    </row>
    <row r="240" spans="1:13" x14ac:dyDescent="0.35">
      <c r="A240" s="2"/>
      <c r="B240" s="2"/>
      <c r="C240" s="2"/>
      <c r="D240" s="2"/>
      <c r="E240" s="2"/>
      <c r="F240" s="2"/>
      <c r="G240" s="2"/>
      <c r="H240" s="2"/>
      <c r="I240" s="2"/>
      <c r="K240" s="2"/>
      <c r="L240" s="2"/>
      <c r="M240" s="2"/>
    </row>
    <row r="241" spans="1:13" x14ac:dyDescent="0.35">
      <c r="A241" s="2"/>
      <c r="B241" s="2"/>
      <c r="C241" s="2"/>
      <c r="D241" s="2"/>
      <c r="E241" s="2"/>
      <c r="F241" s="2"/>
      <c r="G241" s="2"/>
      <c r="H241" s="2"/>
      <c r="I241" s="2"/>
      <c r="K241" s="2"/>
      <c r="L241" s="2"/>
      <c r="M241" s="2"/>
    </row>
    <row r="242" spans="1:13" x14ac:dyDescent="0.35">
      <c r="A242" s="2"/>
      <c r="B242" s="2"/>
      <c r="C242" s="2"/>
      <c r="D242" s="2"/>
      <c r="E242" s="2"/>
      <c r="F242" s="2"/>
      <c r="G242" s="2"/>
      <c r="H242" s="2"/>
      <c r="I242" s="2"/>
      <c r="K242" s="2"/>
      <c r="L242" s="2"/>
      <c r="M242" s="2"/>
    </row>
    <row r="243" spans="1:13" x14ac:dyDescent="0.35">
      <c r="A243" s="2"/>
      <c r="B243" s="2"/>
      <c r="C243" s="2"/>
      <c r="D243" s="2"/>
      <c r="E243" s="2"/>
      <c r="F243" s="2"/>
      <c r="G243" s="2"/>
      <c r="H243" s="2"/>
      <c r="I243" s="2"/>
      <c r="K243" s="2"/>
      <c r="L243" s="2"/>
      <c r="M243" s="2"/>
    </row>
    <row r="244" spans="1:13" x14ac:dyDescent="0.35">
      <c r="A244" s="2"/>
      <c r="B244" s="2"/>
      <c r="C244" s="2"/>
      <c r="D244" s="2"/>
      <c r="E244" s="2"/>
      <c r="F244" s="2"/>
      <c r="G244" s="2"/>
      <c r="H244" s="2"/>
      <c r="I244" s="2"/>
      <c r="K244" s="2"/>
      <c r="L244" s="2"/>
      <c r="M244" s="2"/>
    </row>
    <row r="245" spans="1:13" x14ac:dyDescent="0.35">
      <c r="A245" s="2"/>
      <c r="B245" s="2"/>
      <c r="C245" s="2"/>
      <c r="D245" s="2"/>
      <c r="E245" s="2"/>
      <c r="F245" s="2"/>
      <c r="G245" s="2"/>
      <c r="H245" s="2"/>
      <c r="I245" s="2"/>
      <c r="K245" s="2"/>
      <c r="L245" s="2"/>
      <c r="M245" s="2"/>
    </row>
    <row r="246" spans="1:13" x14ac:dyDescent="0.35">
      <c r="A246" s="2"/>
      <c r="B246" s="2"/>
      <c r="C246" s="2"/>
      <c r="D246" s="2"/>
      <c r="E246" s="2"/>
      <c r="F246" s="2"/>
      <c r="G246" s="2"/>
      <c r="H246" s="2"/>
      <c r="I246" s="2"/>
      <c r="K246" s="2"/>
      <c r="L246" s="2"/>
      <c r="M246" s="2"/>
    </row>
    <row r="247" spans="1:13" x14ac:dyDescent="0.35">
      <c r="A247" s="2"/>
      <c r="B247" s="2"/>
      <c r="C247" s="2"/>
      <c r="D247" s="2"/>
      <c r="E247" s="2"/>
      <c r="F247" s="2"/>
      <c r="G247" s="2"/>
      <c r="H247" s="2"/>
      <c r="I247" s="2"/>
      <c r="K247" s="2"/>
      <c r="L247" s="2"/>
      <c r="M247" s="2"/>
    </row>
    <row r="248" spans="1:13" x14ac:dyDescent="0.35">
      <c r="A248" s="2"/>
      <c r="B248" s="2"/>
      <c r="C248" s="2"/>
      <c r="D248" s="2"/>
      <c r="E248" s="2"/>
      <c r="F248" s="2"/>
      <c r="G248" s="2"/>
      <c r="H248" s="2"/>
      <c r="I248" s="2"/>
      <c r="K248" s="2"/>
      <c r="L248" s="2"/>
      <c r="M248" s="2"/>
    </row>
    <row r="249" spans="1:13" x14ac:dyDescent="0.35">
      <c r="A249" s="2"/>
      <c r="B249" s="2"/>
      <c r="C249" s="2"/>
      <c r="D249" s="2"/>
      <c r="E249" s="2"/>
      <c r="F249" s="2"/>
      <c r="G249" s="2"/>
      <c r="H249" s="2"/>
      <c r="I249" s="2"/>
      <c r="K249" s="2"/>
      <c r="L249" s="2"/>
      <c r="M249" s="2"/>
    </row>
    <row r="250" spans="1:13" x14ac:dyDescent="0.35">
      <c r="A250" s="2"/>
      <c r="B250" s="2"/>
      <c r="C250" s="2"/>
      <c r="D250" s="2"/>
      <c r="E250" s="2"/>
      <c r="F250" s="2"/>
      <c r="G250" s="2"/>
      <c r="H250" s="2"/>
      <c r="I250" s="2"/>
      <c r="K250" s="2"/>
      <c r="L250" s="2"/>
      <c r="M250" s="2"/>
    </row>
    <row r="251" spans="1:13" x14ac:dyDescent="0.35">
      <c r="A251" s="2"/>
      <c r="B251" s="2"/>
      <c r="C251" s="2"/>
      <c r="D251" s="2"/>
      <c r="E251" s="2"/>
      <c r="F251" s="2"/>
      <c r="G251" s="2"/>
      <c r="H251" s="2"/>
      <c r="I251" s="2"/>
      <c r="K251" s="2"/>
      <c r="L251" s="2"/>
      <c r="M251" s="2"/>
    </row>
    <row r="252" spans="1:13" x14ac:dyDescent="0.35">
      <c r="A252" s="2"/>
      <c r="B252" s="2"/>
      <c r="C252" s="2"/>
      <c r="D252" s="2"/>
      <c r="E252" s="2"/>
      <c r="F252" s="2"/>
      <c r="G252" s="2"/>
      <c r="H252" s="2"/>
      <c r="I252" s="2"/>
      <c r="K252" s="2"/>
      <c r="L252" s="2"/>
      <c r="M252" s="2"/>
    </row>
    <row r="253" spans="1:13" x14ac:dyDescent="0.35">
      <c r="A253" s="2"/>
      <c r="B253" s="2"/>
      <c r="C253" s="2"/>
      <c r="D253" s="2"/>
      <c r="E253" s="2"/>
      <c r="F253" s="2"/>
      <c r="G253" s="2"/>
      <c r="H253" s="2"/>
      <c r="I253" s="2"/>
      <c r="K253" s="2"/>
      <c r="L253" s="2"/>
      <c r="M253" s="2"/>
    </row>
    <row r="254" spans="1:13" x14ac:dyDescent="0.35">
      <c r="A254" s="2"/>
      <c r="B254" s="2"/>
      <c r="C254" s="2"/>
      <c r="D254" s="2"/>
      <c r="E254" s="2"/>
      <c r="F254" s="2"/>
      <c r="G254" s="2"/>
      <c r="H254" s="2"/>
      <c r="I254" s="2"/>
      <c r="K254" s="2"/>
      <c r="L254" s="2"/>
      <c r="M254" s="2"/>
    </row>
    <row r="255" spans="1:13" x14ac:dyDescent="0.35">
      <c r="A255" s="2"/>
      <c r="B255" s="2"/>
      <c r="C255" s="2"/>
      <c r="D255" s="2"/>
      <c r="E255" s="2"/>
      <c r="F255" s="2"/>
      <c r="G255" s="2"/>
      <c r="H255" s="2"/>
      <c r="I255" s="2"/>
      <c r="K255" s="2"/>
      <c r="L255" s="2"/>
      <c r="M255" s="2"/>
    </row>
    <row r="256" spans="1:13" x14ac:dyDescent="0.35">
      <c r="A256" s="2"/>
      <c r="B256" s="2"/>
      <c r="C256" s="2"/>
      <c r="D256" s="2"/>
      <c r="E256" s="2"/>
      <c r="F256" s="2"/>
      <c r="G256" s="2"/>
      <c r="H256" s="2"/>
      <c r="I256" s="2"/>
      <c r="K256" s="2"/>
      <c r="L256" s="2"/>
      <c r="M256" s="2"/>
    </row>
    <row r="257" spans="1:13" x14ac:dyDescent="0.35">
      <c r="A257" s="2"/>
      <c r="B257" s="2"/>
      <c r="C257" s="2"/>
      <c r="D257" s="2"/>
      <c r="E257" s="2"/>
      <c r="F257" s="2"/>
      <c r="G257" s="2"/>
      <c r="H257" s="2"/>
      <c r="I257" s="2"/>
      <c r="K257" s="2"/>
      <c r="L257" s="2"/>
      <c r="M257" s="2"/>
    </row>
    <row r="258" spans="1:13" x14ac:dyDescent="0.35">
      <c r="A258" s="2"/>
      <c r="B258" s="2"/>
      <c r="C258" s="2"/>
      <c r="D258" s="2"/>
      <c r="E258" s="2"/>
      <c r="F258" s="2"/>
      <c r="G258" s="2"/>
      <c r="H258" s="2"/>
      <c r="I258" s="2"/>
      <c r="K258" s="2"/>
      <c r="L258" s="2"/>
      <c r="M258" s="2"/>
    </row>
    <row r="259" spans="1:13" x14ac:dyDescent="0.35">
      <c r="A259" s="2"/>
      <c r="B259" s="2"/>
      <c r="C259" s="2"/>
      <c r="D259" s="2"/>
      <c r="E259" s="2"/>
      <c r="F259" s="2"/>
      <c r="G259" s="2"/>
      <c r="H259" s="2"/>
      <c r="I259" s="2"/>
      <c r="K259" s="2"/>
      <c r="L259" s="2"/>
      <c r="M259" s="2"/>
    </row>
    <row r="260" spans="1:13" x14ac:dyDescent="0.35">
      <c r="A260" s="2"/>
      <c r="B260" s="2"/>
      <c r="C260" s="2"/>
      <c r="D260" s="2"/>
      <c r="E260" s="2"/>
      <c r="F260" s="2"/>
      <c r="G260" s="2"/>
      <c r="H260" s="2"/>
      <c r="I260" s="2"/>
      <c r="K260" s="2"/>
      <c r="L260" s="2"/>
      <c r="M260" s="2"/>
    </row>
    <row r="261" spans="1:13" x14ac:dyDescent="0.35">
      <c r="A261" s="2"/>
      <c r="B261" s="2"/>
      <c r="C261" s="2"/>
      <c r="D261" s="2"/>
      <c r="E261" s="2"/>
      <c r="F261" s="2"/>
      <c r="G261" s="2"/>
      <c r="H261" s="2"/>
      <c r="I261" s="2"/>
      <c r="K261" s="2"/>
      <c r="L261" s="2"/>
      <c r="M261" s="2"/>
    </row>
    <row r="262" spans="1:13" x14ac:dyDescent="0.35">
      <c r="A262" s="2"/>
      <c r="B262" s="2"/>
      <c r="C262" s="2"/>
      <c r="D262" s="2"/>
      <c r="E262" s="2"/>
      <c r="F262" s="2"/>
      <c r="G262" s="2"/>
      <c r="H262" s="2"/>
      <c r="I262" s="2"/>
      <c r="K262" s="2"/>
      <c r="L262" s="2"/>
      <c r="M262" s="2"/>
    </row>
    <row r="263" spans="1:13" x14ac:dyDescent="0.35">
      <c r="A263" s="2"/>
      <c r="B263" s="2"/>
      <c r="C263" s="2"/>
      <c r="D263" s="2"/>
      <c r="E263" s="2"/>
      <c r="F263" s="2"/>
      <c r="G263" s="2"/>
      <c r="H263" s="2"/>
      <c r="I263" s="2"/>
      <c r="K263" s="2"/>
      <c r="L263" s="2"/>
      <c r="M263" s="2"/>
    </row>
    <row r="264" spans="1:13" x14ac:dyDescent="0.35">
      <c r="A264" s="2"/>
      <c r="B264" s="2"/>
      <c r="C264" s="2"/>
      <c r="D264" s="2"/>
      <c r="E264" s="2"/>
      <c r="F264" s="2"/>
      <c r="G264" s="2"/>
      <c r="H264" s="2"/>
      <c r="I264" s="2"/>
      <c r="K264" s="2"/>
      <c r="L264" s="2"/>
      <c r="M264" s="2"/>
    </row>
    <row r="265" spans="1:13" x14ac:dyDescent="0.35">
      <c r="A265" s="2"/>
      <c r="B265" s="2"/>
      <c r="C265" s="2"/>
      <c r="D265" s="2"/>
      <c r="E265" s="2"/>
      <c r="F265" s="2"/>
      <c r="G265" s="2"/>
      <c r="H265" s="2"/>
      <c r="I265" s="2"/>
      <c r="K265" s="2"/>
      <c r="L265" s="2"/>
      <c r="M265" s="2"/>
    </row>
    <row r="266" spans="1:13" x14ac:dyDescent="0.35">
      <c r="A266" s="2"/>
      <c r="B266" s="2"/>
      <c r="C266" s="2"/>
      <c r="D266" s="2"/>
      <c r="E266" s="2"/>
      <c r="F266" s="2"/>
      <c r="G266" s="2"/>
      <c r="H266" s="2"/>
      <c r="I266" s="2"/>
      <c r="K266" s="2"/>
      <c r="L266" s="2"/>
      <c r="M266" s="2"/>
    </row>
    <row r="267" spans="1:13" x14ac:dyDescent="0.35">
      <c r="A267" s="2"/>
      <c r="B267" s="2"/>
      <c r="C267" s="2"/>
      <c r="D267" s="2"/>
      <c r="E267" s="2"/>
      <c r="F267" s="2"/>
      <c r="G267" s="2"/>
      <c r="H267" s="2"/>
      <c r="I267" s="2"/>
      <c r="K267" s="2"/>
      <c r="L267" s="2"/>
      <c r="M267" s="2"/>
    </row>
    <row r="268" spans="1:13" x14ac:dyDescent="0.35">
      <c r="A268" s="2"/>
      <c r="B268" s="2"/>
      <c r="C268" s="2"/>
      <c r="D268" s="2"/>
      <c r="E268" s="2"/>
      <c r="F268" s="2"/>
      <c r="G268" s="2"/>
      <c r="H268" s="2"/>
      <c r="I268" s="2"/>
      <c r="K268" s="2"/>
      <c r="L268" s="2"/>
      <c r="M268" s="2"/>
    </row>
    <row r="269" spans="1:13" x14ac:dyDescent="0.35">
      <c r="A269" s="2"/>
      <c r="B269" s="2"/>
      <c r="C269" s="2"/>
      <c r="D269" s="2"/>
      <c r="E269" s="2"/>
      <c r="F269" s="2"/>
      <c r="G269" s="2"/>
      <c r="H269" s="2"/>
      <c r="I269" s="2"/>
      <c r="K269" s="2"/>
      <c r="L269" s="2"/>
      <c r="M269" s="2"/>
    </row>
    <row r="270" spans="1:13" x14ac:dyDescent="0.35">
      <c r="A270" s="2"/>
      <c r="B270" s="2"/>
      <c r="C270" s="2"/>
      <c r="D270" s="2"/>
      <c r="E270" s="2"/>
      <c r="F270" s="2"/>
      <c r="G270" s="2"/>
      <c r="H270" s="2"/>
      <c r="I270" s="2"/>
      <c r="K270" s="2"/>
      <c r="L270" s="2"/>
      <c r="M270" s="2"/>
    </row>
    <row r="271" spans="1:13" x14ac:dyDescent="0.35">
      <c r="A271" s="2"/>
      <c r="B271" s="2"/>
      <c r="C271" s="2"/>
      <c r="D271" s="2"/>
      <c r="E271" s="2"/>
      <c r="F271" s="2"/>
      <c r="G271" s="2"/>
      <c r="H271" s="2"/>
      <c r="I271" s="2"/>
      <c r="K271" s="2"/>
      <c r="L271" s="2"/>
      <c r="M271" s="2"/>
    </row>
    <row r="272" spans="1:13" x14ac:dyDescent="0.35">
      <c r="A272" s="2"/>
      <c r="B272" s="2"/>
      <c r="C272" s="2"/>
      <c r="D272" s="2"/>
      <c r="E272" s="2"/>
      <c r="F272" s="2"/>
      <c r="G272" s="2"/>
      <c r="H272" s="2"/>
      <c r="I272" s="2"/>
      <c r="K272" s="2"/>
      <c r="L272" s="2"/>
      <c r="M272" s="2"/>
    </row>
    <row r="273" spans="1:13" x14ac:dyDescent="0.35">
      <c r="A273" s="2"/>
      <c r="B273" s="2"/>
      <c r="C273" s="2"/>
      <c r="D273" s="2"/>
      <c r="E273" s="2"/>
      <c r="F273" s="2"/>
      <c r="G273" s="2"/>
      <c r="H273" s="2"/>
      <c r="I273" s="2"/>
      <c r="K273" s="2"/>
      <c r="L273" s="2"/>
      <c r="M273" s="2"/>
    </row>
    <row r="274" spans="1:13" x14ac:dyDescent="0.35">
      <c r="A274" s="2"/>
      <c r="B274" s="2"/>
      <c r="C274" s="2"/>
      <c r="D274" s="2"/>
      <c r="E274" s="2"/>
      <c r="F274" s="2"/>
      <c r="G274" s="2"/>
      <c r="H274" s="2"/>
      <c r="I274" s="2"/>
      <c r="K274" s="2"/>
      <c r="L274" s="2"/>
      <c r="M274" s="2"/>
    </row>
  </sheetData>
  <printOptions horizontalCentered="1"/>
  <pageMargins left="0" right="0.15" top="0.63" bottom="0.36" header="0.22" footer="0.17"/>
  <pageSetup scale="66" orientation="landscape" r:id="rId1"/>
  <headerFooter alignWithMargins="0">
    <oddHeader xml:space="preserve">&amp;L&amp;"Times New Roman,Bold"&amp;12REVISED AS OF &amp;D&amp;C&amp;"Times New Roman,Bold"UNIVERSITY of SOUTHERN CALIFORNIA
Statement of Activities
USC, Norris, REDC,  USC Care, AMI-USC, ICT Productions and APF
Restated for Publication &amp;R
</oddHeader>
    <oddFooter>&amp;Cpage &amp;P+1&amp;R&amp;Z&amp;F\&amp;A : &amp;D</oddFooter>
  </headerFooter>
  <colBreaks count="1" manualBreakCount="1">
    <brk id="6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Q274"/>
  <sheetViews>
    <sheetView showZeros="0" topLeftCell="A8" zoomScaleNormal="100" workbookViewId="0">
      <pane xSplit="1" ySplit="6" topLeftCell="B14" activePane="bottomRight" state="frozen"/>
      <selection activeCell="A8" sqref="A8"/>
      <selection pane="topRight" activeCell="B8" sqref="B8"/>
      <selection pane="bottomLeft" activeCell="A14" sqref="A14"/>
      <selection pane="bottomRight" activeCell="M8" sqref="M1:M1048576"/>
    </sheetView>
  </sheetViews>
  <sheetFormatPr defaultColWidth="9.1171875" defaultRowHeight="10.35" x14ac:dyDescent="0.35"/>
  <cols>
    <col min="1" max="1" width="35.87890625" style="1" customWidth="1"/>
    <col min="2" max="9" width="15.29296875" style="1" customWidth="1"/>
    <col min="10" max="10" width="2.41015625" style="2" customWidth="1"/>
    <col min="11" max="12" width="14.41015625" style="1" customWidth="1"/>
    <col min="13" max="13" width="16.1171875" style="1" customWidth="1"/>
    <col min="14" max="16384" width="9.1171875" style="1"/>
  </cols>
  <sheetData>
    <row r="1" spans="1:13" x14ac:dyDescent="0.35">
      <c r="A1" s="2"/>
    </row>
    <row r="3" spans="1:13" x14ac:dyDescent="0.35">
      <c r="M3" s="2"/>
    </row>
    <row r="4" spans="1:13" x14ac:dyDescent="0.35">
      <c r="M4" s="2"/>
    </row>
    <row r="5" spans="1:13" x14ac:dyDescent="0.35">
      <c r="B5" s="2"/>
      <c r="I5" s="82"/>
      <c r="J5" s="81"/>
      <c r="K5" s="81"/>
      <c r="L5" s="81"/>
      <c r="M5" s="68" t="s">
        <v>87</v>
      </c>
    </row>
    <row r="6" spans="1:13" ht="9.75" customHeight="1" thickBot="1" x14ac:dyDescent="0.4">
      <c r="A6" s="2"/>
      <c r="B6" s="2"/>
      <c r="C6" s="70"/>
      <c r="D6" s="70"/>
      <c r="E6" s="71"/>
      <c r="F6" s="70"/>
      <c r="G6" s="70"/>
      <c r="H6" s="71"/>
      <c r="I6" s="80"/>
      <c r="J6" s="80"/>
      <c r="K6" s="80"/>
      <c r="L6" s="80"/>
      <c r="M6" s="79" t="s">
        <v>116</v>
      </c>
    </row>
    <row r="7" spans="1:13" ht="9.75" customHeight="1" x14ac:dyDescent="0.35">
      <c r="A7" s="2"/>
      <c r="B7" s="78"/>
      <c r="C7" s="70"/>
      <c r="D7" s="70"/>
      <c r="E7" s="71"/>
      <c r="F7" s="70"/>
      <c r="G7" s="70"/>
      <c r="H7" s="71"/>
      <c r="I7" s="63"/>
      <c r="J7" s="63"/>
      <c r="K7" s="63"/>
      <c r="L7" s="63"/>
      <c r="M7" s="77"/>
    </row>
    <row r="8" spans="1:13" ht="9.75" customHeight="1" x14ac:dyDescent="0.35">
      <c r="A8" s="2"/>
      <c r="B8" s="78" t="s">
        <v>73</v>
      </c>
      <c r="C8" s="70"/>
      <c r="D8" s="70"/>
      <c r="E8" s="71"/>
      <c r="F8" s="70"/>
      <c r="G8" s="70"/>
      <c r="H8" s="71"/>
      <c r="I8" s="63"/>
      <c r="J8" s="63"/>
      <c r="K8" s="63"/>
      <c r="L8" s="63"/>
      <c r="M8" s="77"/>
    </row>
    <row r="9" spans="1:13" ht="9.75" customHeight="1" x14ac:dyDescent="0.35">
      <c r="A9" s="2"/>
      <c r="B9" s="76" t="s">
        <v>62</v>
      </c>
      <c r="C9" s="70"/>
      <c r="D9" s="70"/>
      <c r="E9" s="71"/>
      <c r="F9" s="70"/>
      <c r="G9" s="70"/>
      <c r="H9" s="71"/>
      <c r="I9" s="63"/>
      <c r="J9" s="63"/>
      <c r="K9" s="63"/>
      <c r="L9" s="63"/>
      <c r="M9" s="63"/>
    </row>
    <row r="10" spans="1:13" ht="9.75" customHeight="1" x14ac:dyDescent="0.35">
      <c r="A10" s="2"/>
      <c r="B10" s="11"/>
      <c r="C10" s="11"/>
      <c r="D10" s="75" t="s">
        <v>85</v>
      </c>
      <c r="E10" s="74"/>
      <c r="F10" s="11"/>
      <c r="G10" s="11"/>
      <c r="H10" s="74"/>
      <c r="I10" s="73"/>
      <c r="J10" s="63"/>
      <c r="K10" s="63"/>
      <c r="L10" s="63"/>
      <c r="M10" s="63"/>
    </row>
    <row r="11" spans="1:13" ht="9.75" customHeight="1" x14ac:dyDescent="0.35">
      <c r="A11" s="2"/>
      <c r="B11" s="13"/>
      <c r="C11" s="13"/>
      <c r="D11" s="72" t="s">
        <v>84</v>
      </c>
      <c r="E11" s="67" t="s">
        <v>83</v>
      </c>
      <c r="F11" s="13"/>
      <c r="G11" s="2"/>
      <c r="H11" s="71"/>
      <c r="I11" s="68" t="s">
        <v>71</v>
      </c>
      <c r="J11" s="63"/>
      <c r="K11" s="68" t="s">
        <v>82</v>
      </c>
      <c r="L11" s="69" t="s">
        <v>81</v>
      </c>
      <c r="M11" s="63"/>
    </row>
    <row r="12" spans="1:13" ht="9.75" customHeight="1" x14ac:dyDescent="0.35">
      <c r="A12" s="2"/>
      <c r="B12" s="13" t="s">
        <v>79</v>
      </c>
      <c r="C12" s="13" t="s">
        <v>78</v>
      </c>
      <c r="D12" s="67" t="s">
        <v>77</v>
      </c>
      <c r="E12" s="67" t="s">
        <v>77</v>
      </c>
      <c r="F12" s="13" t="s">
        <v>76</v>
      </c>
      <c r="G12" s="13" t="s">
        <v>75</v>
      </c>
      <c r="H12" s="13" t="s">
        <v>74</v>
      </c>
      <c r="I12" s="69" t="s">
        <v>73</v>
      </c>
      <c r="J12" s="63"/>
      <c r="K12" s="68" t="s">
        <v>72</v>
      </c>
      <c r="L12" s="68" t="s">
        <v>72</v>
      </c>
      <c r="M12" s="68" t="s">
        <v>71</v>
      </c>
    </row>
    <row r="13" spans="1:13" ht="9.75" customHeight="1" x14ac:dyDescent="0.35">
      <c r="A13" s="2"/>
      <c r="B13" s="66" t="s">
        <v>69</v>
      </c>
      <c r="C13" s="66" t="s">
        <v>68</v>
      </c>
      <c r="D13" s="67" t="s">
        <v>67</v>
      </c>
      <c r="E13" s="66" t="s">
        <v>66</v>
      </c>
      <c r="F13" s="66" t="s">
        <v>65</v>
      </c>
      <c r="G13" s="66" t="s">
        <v>64</v>
      </c>
      <c r="H13" s="66" t="s">
        <v>63</v>
      </c>
      <c r="I13" s="65" t="s">
        <v>62</v>
      </c>
      <c r="J13" s="63"/>
      <c r="K13" s="65" t="s">
        <v>62</v>
      </c>
      <c r="L13" s="65" t="s">
        <v>62</v>
      </c>
      <c r="M13" s="65" t="s">
        <v>62</v>
      </c>
    </row>
    <row r="14" spans="1:13" ht="9.75" customHeight="1" x14ac:dyDescent="0.35">
      <c r="A14" s="33" t="s">
        <v>60</v>
      </c>
      <c r="D14" s="9"/>
      <c r="I14" s="64"/>
      <c r="J14" s="63"/>
      <c r="K14" s="62"/>
      <c r="L14" s="62"/>
      <c r="M14" s="62"/>
    </row>
    <row r="15" spans="1:13" ht="9.75" customHeight="1" x14ac:dyDescent="0.35">
      <c r="A15" s="6" t="s">
        <v>59</v>
      </c>
      <c r="B15" s="30">
        <f>ROUND(('[7]Changes FY13'!B15),-3)</f>
        <v>1488276000</v>
      </c>
      <c r="C15" s="20">
        <f>ROUND(('[7]Changes FY13'!C15),-3)</f>
        <v>0</v>
      </c>
      <c r="D15" s="20">
        <f>ROUND(('[7]Changes FY13'!D15),-3)</f>
        <v>0</v>
      </c>
      <c r="E15" s="20">
        <f>ROUND(('[7]Changes FY13'!E15),-3)</f>
        <v>0</v>
      </c>
      <c r="F15" s="20">
        <f>ROUND(('[7]Changes FY13'!F15),-3)</f>
        <v>0</v>
      </c>
      <c r="G15" s="20">
        <f>ROUND(('[7]Changes FY13'!G15),-3)</f>
        <v>0</v>
      </c>
      <c r="H15" s="20">
        <f>ROUND(('[7]Changes FY13'!H15),-3)</f>
        <v>0</v>
      </c>
      <c r="I15" s="32">
        <f t="shared" ref="I15:I30" si="0">SUM(B15:H15)</f>
        <v>1488276000</v>
      </c>
      <c r="J15" s="28"/>
      <c r="K15" s="29">
        <f>ROUND(('[7]Changes FY13'!K15),-3)</f>
        <v>0</v>
      </c>
      <c r="L15" s="29">
        <f>ROUND(('[7]Changes FY13'!L15),-3)</f>
        <v>0</v>
      </c>
      <c r="M15" s="32">
        <f t="shared" ref="M15:M32" si="1">SUM(I15:L15)</f>
        <v>1488276000</v>
      </c>
    </row>
    <row r="16" spans="1:13" ht="9.75" customHeight="1" x14ac:dyDescent="0.35">
      <c r="A16" s="6" t="s">
        <v>58</v>
      </c>
      <c r="B16" s="20">
        <f>ROUND(('[7]Changes FY13'!B16),-3)</f>
        <v>-413465000</v>
      </c>
      <c r="C16" s="20">
        <f>ROUND(('[7]Changes FY13'!C16),-3)</f>
        <v>0</v>
      </c>
      <c r="D16" s="20">
        <f>ROUND(('[7]Changes FY13'!D16),-3)</f>
        <v>0</v>
      </c>
      <c r="E16" s="20">
        <f>ROUND(('[7]Changes FY13'!E16),-3)</f>
        <v>0</v>
      </c>
      <c r="F16" s="20">
        <f>ROUND(('[7]Changes FY13'!F16),-3)</f>
        <v>0</v>
      </c>
      <c r="G16" s="20">
        <f>ROUND(('[7]Changes FY13'!G16),-3)</f>
        <v>0</v>
      </c>
      <c r="H16" s="20">
        <f>ROUND(('[7]Changes FY13'!H16),-3)</f>
        <v>0</v>
      </c>
      <c r="I16" s="28">
        <f t="shared" si="0"/>
        <v>-413465000</v>
      </c>
      <c r="J16" s="28"/>
      <c r="K16" s="29">
        <f>ROUND(('[7]Changes FY13'!K16),-3)</f>
        <v>0</v>
      </c>
      <c r="L16" s="29">
        <f>ROUND(('[7]Changes FY13'!L16),-3)</f>
        <v>0</v>
      </c>
      <c r="M16" s="28">
        <f t="shared" si="1"/>
        <v>-413465000</v>
      </c>
    </row>
    <row r="17" spans="1:13" ht="9.75" customHeight="1" x14ac:dyDescent="0.35">
      <c r="A17" s="61" t="s">
        <v>57</v>
      </c>
      <c r="B17" s="60">
        <f>B16+B15</f>
        <v>1074811000</v>
      </c>
      <c r="C17" s="20">
        <f>ROUND(('[7]Changes FY13'!C17),-3)</f>
        <v>0</v>
      </c>
      <c r="D17" s="20">
        <f>ROUND(('[7]Changes FY13'!D17),-3)</f>
        <v>0</v>
      </c>
      <c r="E17" s="20">
        <f>ROUND(('[7]Changes FY13'!E17),-3)</f>
        <v>0</v>
      </c>
      <c r="F17" s="20">
        <f>ROUND(('[7]Changes FY13'!F17),-3)</f>
        <v>0</v>
      </c>
      <c r="G17" s="20">
        <f>ROUND(('[7]Changes FY13'!G17),-3)</f>
        <v>0</v>
      </c>
      <c r="H17" s="20">
        <f>ROUND(('[7]Changes FY13'!H17),-3)</f>
        <v>0</v>
      </c>
      <c r="I17" s="87">
        <f t="shared" si="0"/>
        <v>1074811000</v>
      </c>
      <c r="J17" s="88"/>
      <c r="K17" s="29">
        <f>ROUND(('[7]Changes FY13'!K17),-3)</f>
        <v>0</v>
      </c>
      <c r="L17" s="29">
        <f>ROUND(('[7]Changes FY13'!L17),-3)</f>
        <v>0</v>
      </c>
      <c r="M17" s="87">
        <f t="shared" si="1"/>
        <v>1074811000</v>
      </c>
    </row>
    <row r="18" spans="1:13" ht="9.75" customHeight="1" x14ac:dyDescent="0.35">
      <c r="A18" s="6" t="s">
        <v>56</v>
      </c>
      <c r="B18" s="20">
        <f>ROUND(('[7]Changes FY13'!B18),-3)</f>
        <v>35610000</v>
      </c>
      <c r="C18" s="20">
        <f>ROUND(('[7]Changes FY13'!C18),-3)</f>
        <v>0</v>
      </c>
      <c r="D18" s="30">
        <f>ROUND(('[7]Changes FY13'!D18),-3)</f>
        <v>30097000</v>
      </c>
      <c r="E18" s="20">
        <f>ROUND(('[7]Changes FY13'!E18),-3)</f>
        <v>0</v>
      </c>
      <c r="F18" s="20">
        <f>ROUND(('[7]Changes FY13'!F18),-3)</f>
        <v>0</v>
      </c>
      <c r="G18" s="20">
        <f>ROUND(('[7]Changes FY13'!G18),-3)</f>
        <v>0</v>
      </c>
      <c r="H18" s="20">
        <f>ROUND(('[7]Changes FY13'!H18),-3)</f>
        <v>0</v>
      </c>
      <c r="I18" s="28">
        <f t="shared" si="0"/>
        <v>65707000</v>
      </c>
      <c r="J18" s="28"/>
      <c r="K18" s="29">
        <f>ROUND(('[7]Changes FY13'!K18),-3)</f>
        <v>0</v>
      </c>
      <c r="L18" s="31">
        <f>ROUND(('[7]Changes FY13'!L18),-3)</f>
        <v>540000</v>
      </c>
      <c r="M18" s="28">
        <f t="shared" si="1"/>
        <v>66247000</v>
      </c>
    </row>
    <row r="19" spans="1:13" ht="9.75" customHeight="1" x14ac:dyDescent="0.35">
      <c r="A19" s="6" t="s">
        <v>55</v>
      </c>
      <c r="B19" s="20">
        <f>ROUND(('[7]Changes FY13'!B19),-3)</f>
        <v>3303000</v>
      </c>
      <c r="C19" s="20">
        <f>ROUND(('[7]Changes FY13'!C19),-3)</f>
        <v>0</v>
      </c>
      <c r="D19" s="20">
        <f>ROUND(('[7]Changes FY13'!D19),-3)</f>
        <v>946000</v>
      </c>
      <c r="E19" s="30">
        <f>ROUND(('[7]Changes FY13'!E19),-3)</f>
        <v>7865000</v>
      </c>
      <c r="F19" s="20">
        <f>ROUND(('[7]Changes FY13'!F19),-3)</f>
        <v>0</v>
      </c>
      <c r="G19" s="20">
        <f>ROUND(('[7]Changes FY13'!G19),-3)</f>
        <v>0</v>
      </c>
      <c r="H19" s="20">
        <f>ROUND(('[7]Changes FY13'!H19),-3)</f>
        <v>-367000</v>
      </c>
      <c r="I19" s="28">
        <f t="shared" si="0"/>
        <v>11747000</v>
      </c>
      <c r="J19" s="28"/>
      <c r="K19" s="31">
        <v>1000</v>
      </c>
      <c r="L19" s="29">
        <f>ROUND(('[7]Changes FY13'!L19),-3)</f>
        <v>179000</v>
      </c>
      <c r="M19" s="28">
        <f t="shared" si="1"/>
        <v>11927000</v>
      </c>
    </row>
    <row r="20" spans="1:13" ht="9.75" customHeight="1" x14ac:dyDescent="0.35">
      <c r="A20" s="6" t="s">
        <v>54</v>
      </c>
      <c r="B20" s="20">
        <f>ROUND(('[7]Changes FY13'!B20),-3)</f>
        <v>0</v>
      </c>
      <c r="C20" s="20">
        <f>ROUND(('[7]Changes FY13'!C20),-3)</f>
        <v>0</v>
      </c>
      <c r="D20" s="20">
        <f>ROUND(('[7]Changes FY13'!D20),-3)</f>
        <v>-386000</v>
      </c>
      <c r="E20" s="20">
        <f>ROUND(('[7]Changes FY13'!E20),-3)</f>
        <v>-10264000</v>
      </c>
      <c r="F20" s="20">
        <f>ROUND(('[7]Changes FY13'!F20),-3)</f>
        <v>8405000</v>
      </c>
      <c r="G20" s="30">
        <f>ROUND(('[7]Changes FY13'!G20),-3)-1000</f>
        <v>110415000</v>
      </c>
      <c r="H20" s="20">
        <f>ROUND(('[7]Changes FY13'!H20),-3)</f>
        <v>0</v>
      </c>
      <c r="I20" s="28">
        <f t="shared" si="0"/>
        <v>108170000</v>
      </c>
      <c r="J20" s="28"/>
      <c r="K20" s="29">
        <f>ROUND(('[7]Changes FY13'!K20),-3)-1000</f>
        <v>234621000</v>
      </c>
      <c r="L20" s="29">
        <f>ROUND(('[7]Changes FY13'!L20),-3)-1000</f>
        <v>7770000</v>
      </c>
      <c r="M20" s="28">
        <f t="shared" si="1"/>
        <v>350561000</v>
      </c>
    </row>
    <row r="21" spans="1:13" ht="9.75" customHeight="1" x14ac:dyDescent="0.35">
      <c r="A21" s="6" t="s">
        <v>53</v>
      </c>
      <c r="B21" s="20">
        <f>ROUND(('[7]Changes FY13'!B21),-3)</f>
        <v>0</v>
      </c>
      <c r="C21" s="20">
        <f>ROUND(('[7]Changes FY13'!C21),-3)</f>
        <v>0</v>
      </c>
      <c r="D21" s="20">
        <f>ROUND(('[7]Changes FY13'!D21),-3)</f>
        <v>313725000</v>
      </c>
      <c r="E21" s="20">
        <f>ROUND(('[7]Changes FY13'!E21),-3)</f>
        <v>0</v>
      </c>
      <c r="F21" s="20">
        <f>ROUND(('[7]Changes FY13'!F21),-3)</f>
        <v>0</v>
      </c>
      <c r="G21" s="20">
        <f>ROUND(('[7]Changes FY13'!G21),-3)</f>
        <v>0</v>
      </c>
      <c r="H21" s="20">
        <f>ROUND(('[7]Changes FY13'!H21),-3)</f>
        <v>0</v>
      </c>
      <c r="I21" s="28">
        <f t="shared" si="0"/>
        <v>313725000</v>
      </c>
      <c r="J21" s="28"/>
      <c r="K21" s="29">
        <f>ROUND(('[7]Changes FY13'!K21),-3)</f>
        <v>0</v>
      </c>
      <c r="L21" s="29">
        <f>ROUND(('[7]Changes FY13'!L21),-3)</f>
        <v>0</v>
      </c>
      <c r="M21" s="28">
        <f t="shared" si="1"/>
        <v>313725000</v>
      </c>
    </row>
    <row r="22" spans="1:13" ht="9.75" customHeight="1" x14ac:dyDescent="0.35">
      <c r="A22" s="6" t="s">
        <v>52</v>
      </c>
      <c r="B22" s="20">
        <f>ROUND(('[7]Changes FY13'!B22),-3)</f>
        <v>131547000</v>
      </c>
      <c r="C22" s="20">
        <f>ROUND(('[7]Changes FY13'!C22),-3)</f>
        <v>0</v>
      </c>
      <c r="D22" s="20">
        <f>ROUND(('[7]Changes FY13'!D22),-3)</f>
        <v>1373000</v>
      </c>
      <c r="E22" s="20">
        <f>ROUND(('[7]Changes FY13'!E22),-3)</f>
        <v>0</v>
      </c>
      <c r="F22" s="20">
        <f>ROUND(('[7]Changes FY13'!F22),-3)</f>
        <v>0</v>
      </c>
      <c r="G22" s="20">
        <f>ROUND(('[7]Changes FY13'!G22),-3)</f>
        <v>0</v>
      </c>
      <c r="H22" s="20">
        <f>ROUND(('[7]Changes FY13'!H22),-3)</f>
        <v>0</v>
      </c>
      <c r="I22" s="28">
        <f t="shared" si="0"/>
        <v>132920000</v>
      </c>
      <c r="J22" s="28"/>
      <c r="K22" s="29">
        <f>ROUND(('[7]Changes FY13'!K22),-3)</f>
        <v>0</v>
      </c>
      <c r="L22" s="29">
        <f>ROUND(('[7]Changes FY13'!L22),-3)</f>
        <v>0</v>
      </c>
      <c r="M22" s="28">
        <f t="shared" si="1"/>
        <v>132920000</v>
      </c>
    </row>
    <row r="23" spans="1:13" ht="9.75" customHeight="1" x14ac:dyDescent="0.35">
      <c r="A23" s="6" t="s">
        <v>51</v>
      </c>
      <c r="B23" s="20">
        <f>ROUND(('[7]Changes FY13'!B23),-3)</f>
        <v>33089000</v>
      </c>
      <c r="C23" s="20">
        <f>ROUND(('[7]Changes FY13'!C23),-3)</f>
        <v>0</v>
      </c>
      <c r="D23" s="20">
        <f>ROUND(('[7]Changes FY13'!D23),-3)</f>
        <v>269302000</v>
      </c>
      <c r="E23" s="20">
        <f>ROUND(('[7]Changes FY13'!E23),-3)</f>
        <v>30500000</v>
      </c>
      <c r="F23" s="30">
        <f>ROUND(('[7]Changes FY13'!F23),-3)</f>
        <v>0</v>
      </c>
      <c r="G23" s="20">
        <f>ROUND(('[7]Changes FY13'!G23),-3)</f>
        <v>0</v>
      </c>
      <c r="H23" s="20">
        <f>ROUND(('[7]Changes FY13'!H23),-3)</f>
        <v>0</v>
      </c>
      <c r="I23" s="28">
        <f t="shared" si="0"/>
        <v>332891000</v>
      </c>
      <c r="J23" s="28"/>
      <c r="K23" s="29">
        <f>ROUND(('[7]Changes FY13'!K23),-3)</f>
        <v>106660000</v>
      </c>
      <c r="L23" s="29">
        <f>ROUND(('[7]Changes FY13'!L23),-3)</f>
        <v>110600000</v>
      </c>
      <c r="M23" s="28">
        <f t="shared" si="1"/>
        <v>550151000</v>
      </c>
    </row>
    <row r="24" spans="1:13" ht="9.75" customHeight="1" x14ac:dyDescent="0.35">
      <c r="A24" s="6" t="s">
        <v>50</v>
      </c>
      <c r="B24" s="20">
        <f>ROUND(('[7]Changes FY13'!B24),-3)</f>
        <v>28201000</v>
      </c>
      <c r="C24" s="20">
        <f>ROUND(('[7]Changes FY13'!C24),-3)</f>
        <v>0</v>
      </c>
      <c r="D24" s="20">
        <f>ROUND(('[7]Changes FY13'!D24),-3)</f>
        <v>0</v>
      </c>
      <c r="E24" s="20">
        <f>ROUND(('[7]Changes FY13'!E24),-3)</f>
        <v>0</v>
      </c>
      <c r="F24" s="20">
        <f>ROUND(('[7]Changes FY13'!F24),-3)</f>
        <v>0</v>
      </c>
      <c r="G24" s="20">
        <f>ROUND(('[7]Changes FY13'!G24),-3)</f>
        <v>0</v>
      </c>
      <c r="H24" s="20">
        <f>ROUND(('[7]Changes FY13'!H24),-3)</f>
        <v>0</v>
      </c>
      <c r="I24" s="28">
        <f t="shared" si="0"/>
        <v>28201000</v>
      </c>
      <c r="J24" s="28"/>
      <c r="K24" s="29">
        <f>ROUND(('[7]Changes FY13'!K24),-3)</f>
        <v>0</v>
      </c>
      <c r="L24" s="29">
        <f>ROUND(('[7]Changes FY13'!L24),-3)</f>
        <v>0</v>
      </c>
      <c r="M24" s="28">
        <f t="shared" si="1"/>
        <v>28201000</v>
      </c>
    </row>
    <row r="25" spans="1:13" ht="9.75" customHeight="1" x14ac:dyDescent="0.35">
      <c r="A25" s="6" t="s">
        <v>49</v>
      </c>
      <c r="B25" s="20">
        <f>ROUND(('[7]Changes FY13'!B25),-3)</f>
        <v>273224000</v>
      </c>
      <c r="C25" s="20">
        <f>ROUND(('[7]Changes FY13'!C25),-3)</f>
        <v>0</v>
      </c>
      <c r="D25" s="20">
        <f>ROUND(('[7]Changes FY13'!D25),-3)</f>
        <v>0</v>
      </c>
      <c r="E25" s="20">
        <f>ROUND(('[7]Changes FY13'!E25),-3)</f>
        <v>0</v>
      </c>
      <c r="F25" s="20">
        <f>ROUND(('[7]Changes FY13'!F25),-3)</f>
        <v>0</v>
      </c>
      <c r="G25" s="20">
        <f>ROUND(('[7]Changes FY13'!G25),-3)</f>
        <v>0</v>
      </c>
      <c r="H25" s="20">
        <f>ROUND(('[7]Changes FY13'!H25),-3)</f>
        <v>0</v>
      </c>
      <c r="I25" s="28">
        <f t="shared" si="0"/>
        <v>273224000</v>
      </c>
      <c r="J25" s="28"/>
      <c r="K25" s="29">
        <f>ROUND(('[7]Changes FY13'!K25),-3)</f>
        <v>0</v>
      </c>
      <c r="L25" s="29">
        <f>ROUND(('[7]Changes FY13'!L25),-3)</f>
        <v>0</v>
      </c>
      <c r="M25" s="28">
        <f t="shared" si="1"/>
        <v>273224000</v>
      </c>
    </row>
    <row r="26" spans="1:13" ht="9.75" customHeight="1" x14ac:dyDescent="0.35">
      <c r="A26" s="6" t="s">
        <v>92</v>
      </c>
      <c r="B26" s="20"/>
      <c r="C26" s="30">
        <f>ROUND(('[7]Changes FY13'!C26),-3)</f>
        <v>823834000</v>
      </c>
      <c r="D26" s="20"/>
      <c r="E26" s="20"/>
      <c r="F26" s="20"/>
      <c r="G26" s="20"/>
      <c r="H26" s="20"/>
      <c r="I26" s="28">
        <f t="shared" si="0"/>
        <v>823834000</v>
      </c>
      <c r="J26" s="28"/>
      <c r="K26" s="29"/>
      <c r="L26" s="29"/>
      <c r="M26" s="28">
        <f t="shared" si="1"/>
        <v>823834000</v>
      </c>
    </row>
    <row r="27" spans="1:13" ht="9.75" customHeight="1" x14ac:dyDescent="0.35">
      <c r="A27" s="6" t="s">
        <v>48</v>
      </c>
      <c r="B27" s="20">
        <f>ROUND(('[7]Changes FY13'!B27),-3)</f>
        <v>0</v>
      </c>
      <c r="C27" s="20">
        <f>ROUND(('[7]Changes FY13'!C27),-3)</f>
        <v>128136000</v>
      </c>
      <c r="D27" s="20">
        <f>ROUND(('[7]Changes FY13'!D27),-3)</f>
        <v>0</v>
      </c>
      <c r="E27" s="20">
        <f>ROUND(('[7]Changes FY13'!E27),-3)</f>
        <v>0</v>
      </c>
      <c r="F27" s="20">
        <f>ROUND(('[7]Changes FY13'!F27),-3)</f>
        <v>0</v>
      </c>
      <c r="G27" s="20">
        <f>ROUND(('[7]Changes FY13'!G27),-3)</f>
        <v>0</v>
      </c>
      <c r="H27" s="20">
        <f>ROUND(('[7]Changes FY13'!H27),-3)</f>
        <v>0</v>
      </c>
      <c r="I27" s="28">
        <f t="shared" si="0"/>
        <v>128136000</v>
      </c>
      <c r="J27" s="28"/>
      <c r="K27" s="29">
        <f>ROUND(('[7]Changes FY13'!K27),-3)</f>
        <v>0</v>
      </c>
      <c r="L27" s="29">
        <f>ROUND(('[7]Changes FY13'!L27),-3)</f>
        <v>0</v>
      </c>
      <c r="M27" s="28">
        <f t="shared" si="1"/>
        <v>128136000</v>
      </c>
    </row>
    <row r="28" spans="1:13" ht="9.75" customHeight="1" x14ac:dyDescent="0.35">
      <c r="A28" s="6" t="s">
        <v>47</v>
      </c>
      <c r="B28" s="20">
        <f>ROUND(('[7]Changes FY13'!B28),-3)</f>
        <v>0</v>
      </c>
      <c r="C28" s="20">
        <f>ROUND(('[7]Changes FY13'!C28),-3)</f>
        <v>9646000</v>
      </c>
      <c r="D28" s="20">
        <f>ROUND(('[7]Changes FY13'!D28),-3)</f>
        <v>0</v>
      </c>
      <c r="E28" s="20">
        <f>ROUND(('[7]Changes FY13'!E28),-3)</f>
        <v>0</v>
      </c>
      <c r="F28" s="20">
        <f>ROUND(('[7]Changes FY13'!F28),-3)</f>
        <v>0</v>
      </c>
      <c r="G28" s="20">
        <f>ROUND(('[7]Changes FY13'!G28),-3)</f>
        <v>0</v>
      </c>
      <c r="H28" s="20">
        <f>ROUND(('[7]Changes FY13'!H28),-3)</f>
        <v>0</v>
      </c>
      <c r="I28" s="28">
        <f t="shared" si="0"/>
        <v>9646000</v>
      </c>
      <c r="J28" s="28"/>
      <c r="K28" s="29">
        <f>ROUND(('[7]Changes FY13'!K28),-3)</f>
        <v>0</v>
      </c>
      <c r="L28" s="29">
        <f>ROUND(('[7]Changes FY13'!L28),-3)</f>
        <v>0</v>
      </c>
      <c r="M28" s="28">
        <f t="shared" si="1"/>
        <v>9646000</v>
      </c>
    </row>
    <row r="29" spans="1:13" s="2" customFormat="1" ht="10.5" customHeight="1" x14ac:dyDescent="0.35">
      <c r="A29" s="2" t="s">
        <v>46</v>
      </c>
      <c r="B29" s="20">
        <f>ROUND(('[7]Changes FY13'!B29),-3)</f>
        <v>0</v>
      </c>
      <c r="C29" s="20">
        <f>ROUND(('[7]Changes FY13'!C29),-3)</f>
        <v>0</v>
      </c>
      <c r="D29" s="20">
        <f>ROUND(('[7]Changes FY13'!D29),-3)</f>
        <v>0</v>
      </c>
      <c r="E29" s="20">
        <f>ROUND(('[7]Changes FY13'!E29),-3)</f>
        <v>0</v>
      </c>
      <c r="F29" s="20">
        <f>ROUND(('[7]Changes FY13'!F29),-3)</f>
        <v>0</v>
      </c>
      <c r="G29" s="20">
        <f>ROUND(('[7]Changes FY13'!G29),-3)</f>
        <v>0</v>
      </c>
      <c r="H29" s="20">
        <f>ROUND(('[7]Changes FY13'!H29),-3)</f>
        <v>0</v>
      </c>
      <c r="I29" s="28">
        <f t="shared" si="0"/>
        <v>0</v>
      </c>
      <c r="J29" s="28"/>
      <c r="K29" s="29">
        <f>ROUND(('[7]Changes FY13'!K29),-3)</f>
        <v>0</v>
      </c>
      <c r="L29" s="29">
        <f>ROUND(('[7]Changes FY13'!L29),-3)</f>
        <v>0</v>
      </c>
      <c r="M29" s="28">
        <f t="shared" si="1"/>
        <v>0</v>
      </c>
    </row>
    <row r="30" spans="1:13" ht="9.75" customHeight="1" x14ac:dyDescent="0.35">
      <c r="A30" s="6" t="s">
        <v>45</v>
      </c>
      <c r="B30" s="20">
        <f>ROUND(('[7]Changes FY13'!B30),-3)</f>
        <v>93673000</v>
      </c>
      <c r="C30" s="20">
        <f>ROUND(('[7]Changes FY13'!C30),-3)</f>
        <v>0</v>
      </c>
      <c r="D30" s="20">
        <f>ROUND(('[7]Changes FY13'!D30),-3)-1000</f>
        <v>12778000</v>
      </c>
      <c r="E30" s="20">
        <f>ROUND(('[7]Changes FY13'!E30),-3)</f>
        <v>0</v>
      </c>
      <c r="F30" s="20">
        <f>ROUND(('[7]Changes FY13'!F30),-3)</f>
        <v>-452000</v>
      </c>
      <c r="G30" s="20">
        <f>ROUND(('[7]Changes FY13'!G30),-3)</f>
        <v>0</v>
      </c>
      <c r="H30" s="20">
        <f>ROUND(('[7]Changes FY13'!H30),-3)</f>
        <v>0</v>
      </c>
      <c r="I30" s="28">
        <f t="shared" si="0"/>
        <v>105999000</v>
      </c>
      <c r="J30" s="28"/>
      <c r="K30" s="29">
        <f>ROUND(('[7]Changes FY13'!K30),-3)</f>
        <v>0</v>
      </c>
      <c r="L30" s="29">
        <f>ROUND(('[7]Changes FY13'!L30),-3)</f>
        <v>0</v>
      </c>
      <c r="M30" s="28">
        <f t="shared" si="1"/>
        <v>105999000</v>
      </c>
    </row>
    <row r="31" spans="1:13" ht="9.75" customHeight="1" x14ac:dyDescent="0.35">
      <c r="A31" s="6" t="s">
        <v>44</v>
      </c>
      <c r="B31" s="20">
        <f>ROUND(('[7]Changes FY13'!B31),-3)</f>
        <v>0</v>
      </c>
      <c r="C31" s="20">
        <f>ROUND(('[7]Changes FY13'!C31),-3)</f>
        <v>0</v>
      </c>
      <c r="D31" s="20">
        <f>ROUND(('[7]Changes FY13'!D31),-3)</f>
        <v>0</v>
      </c>
      <c r="E31" s="20">
        <f>ROUND(('[7]Changes FY13'!E31),-3)</f>
        <v>0</v>
      </c>
      <c r="F31" s="20">
        <f>ROUND(('[7]Changes FY13'!F31),-3)</f>
        <v>0</v>
      </c>
      <c r="G31" s="20">
        <f>ROUND(('[7]Changes FY13'!G31),-3)</f>
        <v>0</v>
      </c>
      <c r="H31" s="20">
        <f>ROUND(('[7]Changes FY13'!H31),-3)</f>
        <v>0</v>
      </c>
      <c r="I31" s="28"/>
      <c r="J31" s="28"/>
      <c r="K31" s="29">
        <f>ROUND(('[7]Changes FY13'!K31),-3)</f>
        <v>-1355000</v>
      </c>
      <c r="L31" s="29">
        <f>ROUND(('[7]Changes FY13'!L31),-3)</f>
        <v>-6560000</v>
      </c>
      <c r="M31" s="28">
        <f t="shared" si="1"/>
        <v>-7915000</v>
      </c>
    </row>
    <row r="32" spans="1:13" ht="9.75" customHeight="1" x14ac:dyDescent="0.35">
      <c r="A32" s="6" t="s">
        <v>43</v>
      </c>
      <c r="B32" s="20">
        <f>ROUND(('[7]Changes FY13'!B32),-3)</f>
        <v>0</v>
      </c>
      <c r="C32" s="20">
        <f>ROUND(('[7]Changes FY13'!C32),-3)</f>
        <v>0</v>
      </c>
      <c r="D32" s="20">
        <f>ROUND(('[7]Changes FY13'!D32),-3)</f>
        <v>28527000</v>
      </c>
      <c r="E32" s="20">
        <f>ROUND(('[7]Changes FY13'!E32),-3)</f>
        <v>36952000</v>
      </c>
      <c r="F32" s="20">
        <f>ROUND(('[7]Changes FY13'!F32),-3)</f>
        <v>0</v>
      </c>
      <c r="G32" s="20">
        <f>ROUND(('[7]Changes FY13'!G32),-3)</f>
        <v>71134000</v>
      </c>
      <c r="H32" s="20">
        <f>ROUND(('[7]Changes FY13'!H32),-3)</f>
        <v>0</v>
      </c>
      <c r="I32" s="28">
        <f>SUM(B32:H32)</f>
        <v>136613000</v>
      </c>
      <c r="J32" s="28"/>
      <c r="K32" s="29">
        <f>ROUND(('[7]Changes FY13'!K32),-3)</f>
        <v>-140178000</v>
      </c>
      <c r="L32" s="29">
        <f>ROUND(('[7]Changes FY13'!L32),-3)</f>
        <v>3565000</v>
      </c>
      <c r="M32" s="28">
        <f t="shared" si="1"/>
        <v>0</v>
      </c>
    </row>
    <row r="33" spans="1:13" ht="12.95" customHeight="1" x14ac:dyDescent="0.35">
      <c r="A33" s="37" t="s">
        <v>42</v>
      </c>
      <c r="B33" s="57">
        <f t="shared" ref="B33:M33" si="2">SUM(B17:B32)</f>
        <v>1673458000</v>
      </c>
      <c r="C33" s="57">
        <f t="shared" si="2"/>
        <v>961616000</v>
      </c>
      <c r="D33" s="57">
        <f t="shared" si="2"/>
        <v>656362000</v>
      </c>
      <c r="E33" s="57">
        <f t="shared" si="2"/>
        <v>65053000</v>
      </c>
      <c r="F33" s="57">
        <f t="shared" si="2"/>
        <v>7953000</v>
      </c>
      <c r="G33" s="57">
        <f t="shared" si="2"/>
        <v>181549000</v>
      </c>
      <c r="H33" s="57">
        <f t="shared" si="2"/>
        <v>-367000</v>
      </c>
      <c r="I33" s="56">
        <f t="shared" si="2"/>
        <v>3545624000</v>
      </c>
      <c r="J33" s="56">
        <f t="shared" si="2"/>
        <v>0</v>
      </c>
      <c r="K33" s="56">
        <f t="shared" si="2"/>
        <v>199749000</v>
      </c>
      <c r="L33" s="56">
        <f t="shared" si="2"/>
        <v>116094000</v>
      </c>
      <c r="M33" s="56">
        <f t="shared" si="2"/>
        <v>3861467000</v>
      </c>
    </row>
    <row r="34" spans="1:13" ht="12.95" customHeight="1" x14ac:dyDescent="0.35">
      <c r="A34" s="54"/>
      <c r="B34" s="53"/>
      <c r="C34" s="53"/>
      <c r="D34" s="53"/>
      <c r="E34" s="53"/>
      <c r="F34" s="53"/>
      <c r="G34" s="53"/>
      <c r="H34" s="53"/>
      <c r="I34" s="43"/>
      <c r="J34" s="28"/>
      <c r="K34" s="43"/>
      <c r="L34" s="43"/>
      <c r="M34" s="43"/>
    </row>
    <row r="35" spans="1:13" ht="9.75" customHeight="1" x14ac:dyDescent="0.35">
      <c r="A35" s="33" t="s">
        <v>41</v>
      </c>
      <c r="B35" s="20"/>
      <c r="C35" s="20"/>
      <c r="D35" s="20"/>
      <c r="E35" s="20"/>
      <c r="F35" s="20"/>
      <c r="G35" s="20"/>
      <c r="H35" s="20"/>
      <c r="I35" s="28"/>
      <c r="J35" s="28"/>
      <c r="K35" s="28"/>
      <c r="L35" s="28"/>
      <c r="M35" s="28"/>
    </row>
    <row r="36" spans="1:13" s="2" customFormat="1" ht="9.75" customHeight="1" x14ac:dyDescent="0.35">
      <c r="A36" s="6" t="s">
        <v>40</v>
      </c>
      <c r="B36" s="20">
        <f>ROUND(('[7]Changes FY13'!B36),-3)</f>
        <v>1507211000</v>
      </c>
      <c r="C36" s="20">
        <f>ROUND(('[7]Changes FY13'!C36),-3)</f>
        <v>0</v>
      </c>
      <c r="D36" s="20">
        <f>ROUND(('[7]Changes FY13'!D36),-3)</f>
        <v>637354000</v>
      </c>
      <c r="E36" s="20">
        <f>ROUND(('[7]Changes FY13'!E36),-3)</f>
        <v>0</v>
      </c>
      <c r="F36" s="20">
        <f>ROUND(('[7]Changes FY13'!F36),-3)</f>
        <v>0</v>
      </c>
      <c r="G36" s="20">
        <f>ROUND(('[7]Changes FY13'!G36),-3)</f>
        <v>0</v>
      </c>
      <c r="H36" s="20">
        <f>ROUND(('[7]Changes FY13'!H36),-3)</f>
        <v>0</v>
      </c>
      <c r="I36" s="28">
        <f>SUM(B36:H36)</f>
        <v>2144565000</v>
      </c>
      <c r="J36" s="28"/>
      <c r="K36" s="29">
        <f>ROUND(('[7]Changes FY13'!K36),-3)</f>
        <v>0</v>
      </c>
      <c r="L36" s="29">
        <f>ROUND(('[7]Changes FY13'!L36),-3)</f>
        <v>0</v>
      </c>
      <c r="M36" s="28">
        <f>SUM(I36:L36)</f>
        <v>2144565000</v>
      </c>
    </row>
    <row r="37" spans="1:13" s="2" customFormat="1" ht="9.75" customHeight="1" x14ac:dyDescent="0.35">
      <c r="A37" s="2" t="s">
        <v>39</v>
      </c>
      <c r="B37" s="20">
        <f>ROUND(('[7]Changes FY13'!B37),-3)</f>
        <v>0</v>
      </c>
      <c r="C37" s="20">
        <f>ROUND(('[7]Changes FY13'!C37),-3)-1000</f>
        <v>904627000</v>
      </c>
      <c r="D37" s="20">
        <f>ROUND(('[7]Changes FY13'!D37),-3)</f>
        <v>0</v>
      </c>
      <c r="E37" s="20">
        <f>ROUND(('[7]Changes FY13'!E37),-3)</f>
        <v>0</v>
      </c>
      <c r="F37" s="20">
        <f>ROUND(('[7]Changes FY13'!F37),-3)</f>
        <v>0</v>
      </c>
      <c r="G37" s="20">
        <f>ROUND(('[7]Changes FY13'!G37),-3)</f>
        <v>0</v>
      </c>
      <c r="H37" s="20">
        <f>ROUND(('[7]Changes FY13'!H37),-3)</f>
        <v>0</v>
      </c>
      <c r="I37" s="28">
        <f>SUM(B37:H37)</f>
        <v>904627000</v>
      </c>
      <c r="J37" s="28"/>
      <c r="K37" s="29">
        <f>ROUND(('[7]Changes FY13'!K37),-3)</f>
        <v>0</v>
      </c>
      <c r="L37" s="29">
        <f>ROUND(('[7]Changes FY13'!L37),-3)</f>
        <v>0</v>
      </c>
      <c r="M37" s="28">
        <f>SUM(I37:L37)</f>
        <v>904627000</v>
      </c>
    </row>
    <row r="38" spans="1:13" ht="9.75" customHeight="1" x14ac:dyDescent="0.35">
      <c r="A38" s="6" t="s">
        <v>38</v>
      </c>
      <c r="B38" s="20">
        <f>ROUND(('[7]Changes FY13'!B38),-3)</f>
        <v>0</v>
      </c>
      <c r="C38" s="20">
        <f>ROUND(('[7]Changes FY13'!C38),-3)</f>
        <v>22556000</v>
      </c>
      <c r="D38" s="20">
        <f>ROUND(('[7]Changes FY13'!D38),-3)</f>
        <v>0</v>
      </c>
      <c r="E38" s="20">
        <f>ROUND(('[7]Changes FY13'!E38),-3)</f>
        <v>0</v>
      </c>
      <c r="F38" s="20">
        <f>ROUND(('[7]Changes FY13'!F38),-3)</f>
        <v>138729000</v>
      </c>
      <c r="G38" s="20">
        <f>ROUND(('[7]Changes FY13'!G38),-3)</f>
        <v>0</v>
      </c>
      <c r="H38" s="20">
        <f>ROUND(('[7]Changes FY13'!H38),-3)</f>
        <v>0</v>
      </c>
      <c r="I38" s="28">
        <f>SUM(B38:H38)</f>
        <v>161285000</v>
      </c>
      <c r="J38" s="28"/>
      <c r="K38" s="29">
        <f>ROUND(('[7]Changes FY13'!K38),-3)</f>
        <v>0</v>
      </c>
      <c r="L38" s="29">
        <f>ROUND(('[7]Changes FY13'!L38),-3)</f>
        <v>0</v>
      </c>
      <c r="M38" s="28">
        <f>SUM(I38:L38)</f>
        <v>161285000</v>
      </c>
    </row>
    <row r="39" spans="1:13" ht="9.75" customHeight="1" x14ac:dyDescent="0.35">
      <c r="A39" s="6" t="s">
        <v>37</v>
      </c>
      <c r="B39" s="20">
        <f>ROUND(('[7]Changes FY13'!B39),-3)</f>
        <v>0</v>
      </c>
      <c r="C39" s="20">
        <f>ROUND(('[7]Changes FY13'!C39),-3)</f>
        <v>0</v>
      </c>
      <c r="D39" s="20">
        <f>ROUND(('[7]Changes FY13'!D39),-3)</f>
        <v>0</v>
      </c>
      <c r="E39" s="20">
        <f>ROUND(('[7]Changes FY13'!E39),-3)</f>
        <v>63307000</v>
      </c>
      <c r="F39" s="20">
        <f>ROUND(('[7]Changes FY13'!F39),-3)</f>
        <v>0</v>
      </c>
      <c r="G39" s="20">
        <f>ROUND(('[7]Changes FY13'!G39),-3)</f>
        <v>0</v>
      </c>
      <c r="H39" s="20">
        <f>ROUND(('[7]Changes FY13'!H39),-3)</f>
        <v>0</v>
      </c>
      <c r="I39" s="28">
        <f>SUM(B39:H39)</f>
        <v>63307000</v>
      </c>
      <c r="J39" s="28"/>
      <c r="K39" s="29">
        <f>ROUND(('[7]Changes FY13'!K39),-3)</f>
        <v>0</v>
      </c>
      <c r="L39" s="29">
        <f>ROUND(('[7]Changes FY13'!L39),-3)</f>
        <v>0</v>
      </c>
      <c r="M39" s="28">
        <f>SUM(I39:L39)</f>
        <v>63307000</v>
      </c>
    </row>
    <row r="40" spans="1:13" s="9" customFormat="1" ht="12" customHeight="1" x14ac:dyDescent="0.35">
      <c r="A40" s="37" t="s">
        <v>35</v>
      </c>
      <c r="B40" s="57">
        <f t="shared" ref="B40:M40" si="3">SUM(B36:B39)</f>
        <v>1507211000</v>
      </c>
      <c r="C40" s="57">
        <f t="shared" si="3"/>
        <v>927183000</v>
      </c>
      <c r="D40" s="57">
        <f t="shared" si="3"/>
        <v>637354000</v>
      </c>
      <c r="E40" s="57">
        <f t="shared" si="3"/>
        <v>63307000</v>
      </c>
      <c r="F40" s="57">
        <f t="shared" si="3"/>
        <v>138729000</v>
      </c>
      <c r="G40" s="57">
        <f t="shared" si="3"/>
        <v>0</v>
      </c>
      <c r="H40" s="57">
        <f t="shared" si="3"/>
        <v>0</v>
      </c>
      <c r="I40" s="56">
        <f t="shared" si="3"/>
        <v>3273784000</v>
      </c>
      <c r="J40" s="28">
        <f t="shared" si="3"/>
        <v>0</v>
      </c>
      <c r="K40" s="56">
        <f t="shared" si="3"/>
        <v>0</v>
      </c>
      <c r="L40" s="56">
        <f t="shared" si="3"/>
        <v>0</v>
      </c>
      <c r="M40" s="56">
        <f t="shared" si="3"/>
        <v>3273784000</v>
      </c>
    </row>
    <row r="41" spans="1:13" s="15" customFormat="1" ht="12" customHeight="1" x14ac:dyDescent="0.35">
      <c r="A41" s="55"/>
      <c r="B41" s="53"/>
      <c r="C41" s="53"/>
      <c r="D41" s="53"/>
      <c r="E41" s="53"/>
      <c r="F41" s="53"/>
      <c r="G41" s="53"/>
      <c r="H41" s="53"/>
      <c r="I41" s="43"/>
      <c r="J41" s="28"/>
      <c r="K41" s="43"/>
      <c r="L41" s="43"/>
      <c r="M41" s="43"/>
    </row>
    <row r="42" spans="1:13" s="15" customFormat="1" ht="9.75" customHeight="1" x14ac:dyDescent="0.35">
      <c r="A42" s="54" t="s">
        <v>34</v>
      </c>
      <c r="B42" s="53"/>
      <c r="C42" s="53"/>
      <c r="D42" s="53"/>
      <c r="E42" s="53"/>
      <c r="F42" s="53"/>
      <c r="G42" s="53"/>
      <c r="H42" s="53"/>
      <c r="I42" s="43"/>
      <c r="J42" s="28"/>
      <c r="K42" s="28"/>
      <c r="L42" s="28"/>
      <c r="M42" s="28"/>
    </row>
    <row r="43" spans="1:13" ht="12" customHeight="1" x14ac:dyDescent="0.35">
      <c r="A43" s="6" t="s">
        <v>33</v>
      </c>
      <c r="B43" s="20">
        <f>ROUND(('[7]Changes FY13'!B43),-3)</f>
        <v>-59491000</v>
      </c>
      <c r="C43" s="20">
        <f>ROUND(('[7]Changes FY13'!C43),-3)+1000</f>
        <v>-1173000</v>
      </c>
      <c r="D43" s="20">
        <f>ROUND(('[7]Changes FY13'!D43),-3)</f>
        <v>0</v>
      </c>
      <c r="E43" s="20">
        <f>ROUND(('[7]Changes FY13'!E43),-3)</f>
        <v>60664000</v>
      </c>
      <c r="F43" s="20">
        <f>ROUND(('[7]Changes FY13'!F43),-3)</f>
        <v>0</v>
      </c>
      <c r="G43" s="20">
        <f>ROUND(('[7]Changes FY13'!G43),-3)</f>
        <v>0</v>
      </c>
      <c r="H43" s="20">
        <f>ROUND(('[7]Changes FY13'!H43),-3)</f>
        <v>0</v>
      </c>
      <c r="I43" s="28">
        <f t="shared" ref="I43:I51" si="4">SUM(B43:H43)</f>
        <v>0</v>
      </c>
      <c r="J43" s="28"/>
      <c r="K43" s="29">
        <f>ROUND(('[7]Changes FY13'!K43),-3)</f>
        <v>0</v>
      </c>
      <c r="L43" s="29">
        <f>ROUND(('[7]Changes FY13'!L43),-3)</f>
        <v>0</v>
      </c>
      <c r="M43" s="28">
        <f t="shared" ref="M43:M51" si="5">SUM(I43:L43)</f>
        <v>0</v>
      </c>
    </row>
    <row r="44" spans="1:13" ht="9.75" customHeight="1" x14ac:dyDescent="0.35">
      <c r="A44" s="6" t="s">
        <v>32</v>
      </c>
      <c r="B44" s="20">
        <f>ROUND(('[7]Changes FY13'!B44),-3)</f>
        <v>0</v>
      </c>
      <c r="C44" s="20">
        <f>ROUND(('[7]Changes FY13'!C44),-3)</f>
        <v>0</v>
      </c>
      <c r="D44" s="20">
        <f>ROUND(('[7]Changes FY13'!D44),-3)</f>
        <v>0</v>
      </c>
      <c r="E44" s="20">
        <f>ROUND(('[7]Changes FY13'!E44),-3)</f>
        <v>0</v>
      </c>
      <c r="F44" s="20">
        <f>ROUND(('[7]Changes FY13'!F44),-3)</f>
        <v>0</v>
      </c>
      <c r="G44" s="20">
        <f>ROUND(('[7]Changes FY13'!G44),-3)</f>
        <v>0</v>
      </c>
      <c r="H44" s="20">
        <f>ROUND(('[7]Changes FY13'!H44),-3)</f>
        <v>0</v>
      </c>
      <c r="I44" s="28">
        <f t="shared" si="4"/>
        <v>0</v>
      </c>
      <c r="J44" s="28"/>
      <c r="K44" s="29">
        <f>ROUND(('[7]Changes FY13'!K44),-3)</f>
        <v>0</v>
      </c>
      <c r="L44" s="29">
        <f>ROUND(('[7]Changes FY13'!L44),-3)</f>
        <v>0</v>
      </c>
      <c r="M44" s="28">
        <f t="shared" si="5"/>
        <v>0</v>
      </c>
    </row>
    <row r="45" spans="1:13" ht="9.75" customHeight="1" x14ac:dyDescent="0.35">
      <c r="A45" s="6" t="s">
        <v>31</v>
      </c>
      <c r="B45" s="20">
        <f>ROUND(('[7]Changes FY13'!B45),-3)</f>
        <v>-3111000</v>
      </c>
      <c r="C45" s="20">
        <f>ROUND(('[7]Changes FY13'!C45),-3)</f>
        <v>0</v>
      </c>
      <c r="D45" s="20">
        <f>ROUND(('[7]Changes FY13'!D45),-3)</f>
        <v>0</v>
      </c>
      <c r="E45" s="20">
        <f>ROUND(('[7]Changes FY13'!E45),-3)</f>
        <v>0</v>
      </c>
      <c r="F45" s="20">
        <f>ROUND(('[7]Changes FY13'!F45),-3)</f>
        <v>0</v>
      </c>
      <c r="G45" s="20">
        <f>ROUND(('[7]Changes FY13'!G45),-3)</f>
        <v>3111000</v>
      </c>
      <c r="H45" s="20">
        <f>ROUND(('[7]Changes FY13'!H45),-3)</f>
        <v>0</v>
      </c>
      <c r="I45" s="28">
        <f t="shared" si="4"/>
        <v>0</v>
      </c>
      <c r="J45" s="28"/>
      <c r="K45" s="29">
        <f>ROUND(('[7]Changes FY13'!K45),-3)</f>
        <v>0</v>
      </c>
      <c r="L45" s="29">
        <f>ROUND(('[7]Changes FY13'!L45),-3)</f>
        <v>0</v>
      </c>
      <c r="M45" s="28">
        <f t="shared" si="5"/>
        <v>0</v>
      </c>
    </row>
    <row r="46" spans="1:13" ht="9.75" customHeight="1" x14ac:dyDescent="0.35">
      <c r="A46" s="6" t="s">
        <v>30</v>
      </c>
      <c r="B46" s="20">
        <f>ROUND(('[7]Changes FY13'!B46),-3)</f>
        <v>-33009000</v>
      </c>
      <c r="C46" s="20">
        <f>ROUND(('[7]Changes FY13'!C46),-3)</f>
        <v>-1302000</v>
      </c>
      <c r="D46" s="20">
        <f>ROUND(('[7]Changes FY13'!D46),-3)</f>
        <v>-550000</v>
      </c>
      <c r="E46" s="20">
        <f>ROUND(('[7]Changes FY13'!E46),-3)</f>
        <v>34861000</v>
      </c>
      <c r="F46" s="20">
        <f>ROUND(('[7]Changes FY13'!F46),-3)</f>
        <v>0</v>
      </c>
      <c r="G46" s="20">
        <f>ROUND(('[7]Changes FY13'!G46),-3)</f>
        <v>0</v>
      </c>
      <c r="H46" s="20">
        <f>ROUND(('[7]Changes FY13'!H46),-3)</f>
        <v>0</v>
      </c>
      <c r="I46" s="28">
        <f t="shared" si="4"/>
        <v>0</v>
      </c>
      <c r="J46" s="28"/>
      <c r="K46" s="29">
        <f>ROUND(('[7]Changes FY13'!K46),-3)</f>
        <v>0</v>
      </c>
      <c r="L46" s="29">
        <f>ROUND(('[7]Changes FY13'!L46),-3)</f>
        <v>0</v>
      </c>
      <c r="M46" s="28">
        <f t="shared" si="5"/>
        <v>0</v>
      </c>
    </row>
    <row r="47" spans="1:13" ht="9.75" customHeight="1" x14ac:dyDescent="0.35">
      <c r="A47" s="6" t="s">
        <v>29</v>
      </c>
      <c r="B47" s="20">
        <f>ROUND(('[7]Changes FY13'!B47),-3)</f>
        <v>42657000</v>
      </c>
      <c r="C47" s="20">
        <f>ROUND(('[7]Changes FY13'!C47),-3)</f>
        <v>0</v>
      </c>
      <c r="D47" s="20">
        <f>ROUND(('[7]Changes FY13'!D47),-3)</f>
        <v>56613000</v>
      </c>
      <c r="E47" s="20">
        <f>ROUND(('[7]Changes FY13'!E47),-3)</f>
        <v>0</v>
      </c>
      <c r="F47" s="20">
        <f>ROUND(('[7]Changes FY13'!F47),-3)</f>
        <v>0</v>
      </c>
      <c r="G47" s="20">
        <f>ROUND(('[7]Changes FY13'!G47),-3)+1000</f>
        <v>-99270000</v>
      </c>
      <c r="H47" s="20">
        <f>ROUND(('[7]Changes FY13'!H47),-3)</f>
        <v>0</v>
      </c>
      <c r="I47" s="28">
        <f t="shared" si="4"/>
        <v>0</v>
      </c>
      <c r="J47" s="28"/>
      <c r="K47" s="29">
        <f>ROUND(('[7]Changes FY13'!K47),-3)</f>
        <v>0</v>
      </c>
      <c r="L47" s="29">
        <f>ROUND(('[7]Changes FY13'!L47),-3)</f>
        <v>0</v>
      </c>
      <c r="M47" s="28">
        <f t="shared" si="5"/>
        <v>0</v>
      </c>
    </row>
    <row r="48" spans="1:13" ht="9.75" customHeight="1" x14ac:dyDescent="0.35">
      <c r="A48" s="6" t="s">
        <v>28</v>
      </c>
      <c r="B48" s="20">
        <f>ROUND(('[7]Changes FY13'!B48),-3)-1000+1000</f>
        <v>55163000</v>
      </c>
      <c r="C48" s="20">
        <f>ROUND(('[7]Changes FY13'!C48),-3)</f>
        <v>-8000</v>
      </c>
      <c r="D48" s="20">
        <f>ROUND(('[7]Changes FY13'!D48),-3)</f>
        <v>-55155000</v>
      </c>
      <c r="E48" s="20">
        <f>ROUND(('[7]Changes FY13'!E48),-3)</f>
        <v>0</v>
      </c>
      <c r="F48" s="20">
        <f>ROUND(('[7]Changes FY13'!F48),-3)</f>
        <v>0</v>
      </c>
      <c r="G48" s="20">
        <f>ROUND(('[7]Changes FY13'!G48),-3)</f>
        <v>0</v>
      </c>
      <c r="H48" s="20">
        <f>ROUND(('[7]Changes FY13'!H48),-3)</f>
        <v>0</v>
      </c>
      <c r="I48" s="28">
        <f t="shared" si="4"/>
        <v>0</v>
      </c>
      <c r="J48" s="28"/>
      <c r="K48" s="29">
        <f>ROUND(('[7]Changes FY13'!K48),-3)</f>
        <v>0</v>
      </c>
      <c r="L48" s="29">
        <f>ROUND(('[7]Changes FY13'!L48),-3)</f>
        <v>0</v>
      </c>
      <c r="M48" s="28">
        <f t="shared" si="5"/>
        <v>0</v>
      </c>
    </row>
    <row r="49" spans="1:13" ht="9.75" customHeight="1" x14ac:dyDescent="0.35">
      <c r="A49" s="52" t="s">
        <v>27</v>
      </c>
      <c r="B49" s="20">
        <f>ROUND(('[7]Changes FY13'!B49),-3)</f>
        <v>-139545000</v>
      </c>
      <c r="C49" s="20">
        <f>ROUND(('[7]Changes FY13'!C49),-3)</f>
        <v>-44758000</v>
      </c>
      <c r="D49" s="20">
        <f>ROUND(('[7]Changes FY13'!D49),-3)-1000</f>
        <v>41470000</v>
      </c>
      <c r="E49" s="20">
        <f>ROUND(('[7]Changes FY13'!E49),-3)</f>
        <v>121706000</v>
      </c>
      <c r="F49" s="20">
        <f>ROUND(('[7]Changes FY13'!F49),-3)</f>
        <v>0</v>
      </c>
      <c r="G49" s="20">
        <f>ROUND(('[7]Changes FY13'!G49),-3)</f>
        <v>21127000</v>
      </c>
      <c r="H49" s="20">
        <f>ROUND(('[7]Changes FY13'!H49),-3)</f>
        <v>0</v>
      </c>
      <c r="I49" s="28">
        <f t="shared" si="4"/>
        <v>0</v>
      </c>
      <c r="J49" s="28"/>
      <c r="K49" s="29">
        <f>ROUND(('[7]Changes FY13'!K49),-3)</f>
        <v>0</v>
      </c>
      <c r="L49" s="29">
        <f>ROUND(('[7]Changes FY13'!L49),-3)</f>
        <v>0</v>
      </c>
      <c r="M49" s="28">
        <f t="shared" si="5"/>
        <v>0</v>
      </c>
    </row>
    <row r="50" spans="1:13" ht="9.75" customHeight="1" x14ac:dyDescent="0.35">
      <c r="A50" s="52" t="s">
        <v>26</v>
      </c>
      <c r="B50" s="20">
        <f>ROUND(('[7]Changes FY13'!B50),-3)</f>
        <v>0</v>
      </c>
      <c r="C50" s="20">
        <f>ROUND(('[7]Changes FY13'!C50),-3)</f>
        <v>0</v>
      </c>
      <c r="D50" s="20">
        <f>ROUND(('[7]Changes FY13'!D50),-3)</f>
        <v>0</v>
      </c>
      <c r="E50" s="20">
        <f>ROUND(('[7]Changes FY13'!E50),-3)</f>
        <v>0</v>
      </c>
      <c r="F50" s="20">
        <f>ROUND(('[7]Changes FY13'!F50),-3)</f>
        <v>0</v>
      </c>
      <c r="G50" s="20">
        <f>ROUND(('[7]Changes FY13'!G50),-3)</f>
        <v>0</v>
      </c>
      <c r="H50" s="20">
        <f>ROUND(('[7]Changes FY13'!H50),-3)</f>
        <v>0</v>
      </c>
      <c r="I50" s="28">
        <f t="shared" si="4"/>
        <v>0</v>
      </c>
      <c r="J50" s="28"/>
      <c r="K50" s="29"/>
      <c r="L50" s="29"/>
      <c r="M50" s="28">
        <f t="shared" si="5"/>
        <v>0</v>
      </c>
    </row>
    <row r="51" spans="1:13" ht="9.75" customHeight="1" x14ac:dyDescent="0.35">
      <c r="A51" s="6" t="s">
        <v>25</v>
      </c>
      <c r="B51" s="20">
        <f>ROUND(('[7]Changes FY13'!B51),-3)</f>
        <v>-28911000</v>
      </c>
      <c r="C51" s="20">
        <f>ROUND(('[7]Changes FY13'!C51),-3)-1000</f>
        <v>-296000</v>
      </c>
      <c r="D51" s="20">
        <f>ROUND(('[7]Changes FY13'!D51),-3)</f>
        <v>39167000</v>
      </c>
      <c r="E51" s="20">
        <f>ROUND(('[7]Changes FY13'!E51),-3)+1000</f>
        <v>-209185000</v>
      </c>
      <c r="F51" s="20">
        <f>ROUND(('[7]Changes FY13'!F51),-3)+1000</f>
        <v>199225000</v>
      </c>
      <c r="G51" s="20">
        <f>ROUND(('[7]Changes FY13'!G51),-3)</f>
        <v>0</v>
      </c>
      <c r="H51" s="20">
        <f>ROUND(('[7]Changes FY13'!H51),-3)</f>
        <v>0</v>
      </c>
      <c r="I51" s="28">
        <f t="shared" si="4"/>
        <v>0</v>
      </c>
      <c r="J51" s="28"/>
      <c r="K51" s="29">
        <f>ROUND(('[7]Changes FY13'!K51),-3)</f>
        <v>0</v>
      </c>
      <c r="L51" s="29">
        <f>ROUND(('[7]Changes FY13'!L51),-3)</f>
        <v>0</v>
      </c>
      <c r="M51" s="28">
        <f t="shared" si="5"/>
        <v>0</v>
      </c>
    </row>
    <row r="52" spans="1:13" s="15" customFormat="1" ht="11.7" x14ac:dyDescent="0.4">
      <c r="A52" s="49" t="s">
        <v>21</v>
      </c>
      <c r="B52" s="83">
        <f t="shared" ref="B52:I52" si="6">+B33-B40+SUM(B43:B51)</f>
        <v>0</v>
      </c>
      <c r="C52" s="83">
        <f t="shared" si="6"/>
        <v>-13104000</v>
      </c>
      <c r="D52" s="83">
        <f t="shared" si="6"/>
        <v>100553000</v>
      </c>
      <c r="E52" s="83">
        <f t="shared" si="6"/>
        <v>9792000</v>
      </c>
      <c r="F52" s="83">
        <f t="shared" si="6"/>
        <v>68449000</v>
      </c>
      <c r="G52" s="83">
        <f t="shared" si="6"/>
        <v>106517000</v>
      </c>
      <c r="H52" s="83">
        <f t="shared" si="6"/>
        <v>-367000</v>
      </c>
      <c r="I52" s="56">
        <f t="shared" si="6"/>
        <v>271840000</v>
      </c>
      <c r="J52" s="47"/>
      <c r="K52" s="56">
        <f>+K33-K40+SUM(K43:K51)</f>
        <v>199749000</v>
      </c>
      <c r="L52" s="56">
        <f>+L33-L40+SUM(L43:L51)</f>
        <v>116094000</v>
      </c>
      <c r="M52" s="56">
        <f>+M33-M40+SUM(M43:M51)</f>
        <v>587683000</v>
      </c>
    </row>
    <row r="53" spans="1:13" s="15" customFormat="1" ht="11.7" x14ac:dyDescent="0.4">
      <c r="A53" s="49" t="s">
        <v>91</v>
      </c>
      <c r="B53" s="86"/>
      <c r="C53" s="86"/>
      <c r="D53" s="86"/>
      <c r="E53" s="86"/>
      <c r="F53" s="86"/>
      <c r="G53" s="20">
        <f>ROUND(('[7]Changes FY13'!G53),-3)</f>
        <v>0</v>
      </c>
      <c r="H53" s="86"/>
      <c r="I53" s="28">
        <f>SUM(B53:H53)</f>
        <v>0</v>
      </c>
      <c r="J53" s="47"/>
      <c r="K53" s="29">
        <f>ROUND(('[7]Changes FY13'!K53),-3)</f>
        <v>0</v>
      </c>
      <c r="L53" s="43"/>
      <c r="M53" s="28">
        <f>SUM(I53:L53)</f>
        <v>0</v>
      </c>
    </row>
    <row r="54" spans="1:13" s="15" customFormat="1" ht="11.35" x14ac:dyDescent="0.35">
      <c r="A54" s="45" t="s">
        <v>20</v>
      </c>
      <c r="B54" s="40">
        <f>ROUND(('[7]Changes FY13'!B54),-3)</f>
        <v>0</v>
      </c>
      <c r="C54" s="44">
        <f>ROUND(('[7]Changes FY13'!C54),-3)</f>
        <v>0</v>
      </c>
      <c r="D54" s="40">
        <f>ROUND(('[7]Changes FY13'!D54),-3)</f>
        <v>0</v>
      </c>
      <c r="E54" s="44">
        <f>ROUND(('[7]Changes FY13'!E54),-3)</f>
        <v>0</v>
      </c>
      <c r="F54" s="44">
        <f>ROUND(('[7]Changes FY13'!F54),-3)</f>
        <v>0</v>
      </c>
      <c r="G54" s="44">
        <f>ROUND(('[7]Changes FY13'!G54),-3)</f>
        <v>0</v>
      </c>
      <c r="H54" s="44">
        <f>ROUND(('[7]Changes FY13'!H54),-3)</f>
        <v>0</v>
      </c>
      <c r="I54" s="28">
        <f>SUM(B54:H54)</f>
        <v>0</v>
      </c>
      <c r="J54" s="28"/>
      <c r="K54" s="28"/>
      <c r="L54" s="43"/>
      <c r="M54" s="28">
        <f>SUM(I54:L54)</f>
        <v>0</v>
      </c>
    </row>
    <row r="55" spans="1:13" ht="12" customHeight="1" x14ac:dyDescent="0.35">
      <c r="A55" s="41" t="s">
        <v>19</v>
      </c>
      <c r="B55" s="40">
        <f>ROUND(('[7]Changes FY13'!B55),-3)</f>
        <v>0</v>
      </c>
      <c r="C55" s="40">
        <f>ROUND(('[7]Changes FY13'!C55),-3)</f>
        <v>-184320000</v>
      </c>
      <c r="D55" s="40">
        <f>ROUND(('[7]Changes FY13'!D55),-3)</f>
        <v>787392000</v>
      </c>
      <c r="E55" s="40">
        <f>ROUND(('[7]Changes FY13'!E55),-3)</f>
        <v>211231000</v>
      </c>
      <c r="F55" s="40">
        <f>ROUND(('[7]Changes FY13'!F55),-3)</f>
        <v>806840000</v>
      </c>
      <c r="G55" s="40">
        <f>ROUND(('[7]Changes FY13'!G55),-3)</f>
        <v>1027846000</v>
      </c>
      <c r="H55" s="40">
        <f>ROUND(('[7]Changes FY13'!H55),-3)</f>
        <v>-12392000</v>
      </c>
      <c r="I55" s="39">
        <f>SUM(B55:H55)</f>
        <v>2636597000</v>
      </c>
      <c r="J55" s="28"/>
      <c r="K55" s="38">
        <f>ROUND(('[7]Changes FY13'!K55),-3)</f>
        <v>1386818000</v>
      </c>
      <c r="L55" s="38">
        <f>ROUND(('[7]Changes FY13'!L55),-3)</f>
        <v>1773761000</v>
      </c>
      <c r="M55" s="38">
        <f>SUM(I55:L55)</f>
        <v>5797176000</v>
      </c>
    </row>
    <row r="56" spans="1:13" s="9" customFormat="1" ht="12" customHeight="1" x14ac:dyDescent="0.35">
      <c r="A56" s="37" t="s">
        <v>18</v>
      </c>
      <c r="B56" s="85">
        <f t="shared" ref="B56:M56" si="7">SUM(B52:B55)</f>
        <v>0</v>
      </c>
      <c r="C56" s="85">
        <f t="shared" si="7"/>
        <v>-197424000</v>
      </c>
      <c r="D56" s="85">
        <f t="shared" si="7"/>
        <v>887945000</v>
      </c>
      <c r="E56" s="85">
        <f t="shared" si="7"/>
        <v>221023000</v>
      </c>
      <c r="F56" s="85">
        <f t="shared" si="7"/>
        <v>875289000</v>
      </c>
      <c r="G56" s="85">
        <f t="shared" si="7"/>
        <v>1134363000</v>
      </c>
      <c r="H56" s="85">
        <f t="shared" si="7"/>
        <v>-12759000</v>
      </c>
      <c r="I56" s="23">
        <f t="shared" si="7"/>
        <v>2908437000</v>
      </c>
      <c r="J56" s="32">
        <f t="shared" si="7"/>
        <v>0</v>
      </c>
      <c r="K56" s="23">
        <f t="shared" si="7"/>
        <v>1586567000</v>
      </c>
      <c r="L56" s="23">
        <f t="shared" si="7"/>
        <v>1889855000</v>
      </c>
      <c r="M56" s="23">
        <f t="shared" si="7"/>
        <v>6384859000</v>
      </c>
    </row>
    <row r="57" spans="1:13" s="7" customFormat="1" ht="2.1" customHeight="1" x14ac:dyDescent="0.35">
      <c r="B57" s="35"/>
      <c r="C57" s="35"/>
      <c r="D57" s="35"/>
      <c r="E57" s="35"/>
      <c r="F57" s="35"/>
      <c r="G57" s="35"/>
      <c r="H57" s="35"/>
      <c r="I57" s="34"/>
      <c r="J57" s="28"/>
      <c r="K57" s="34"/>
      <c r="L57" s="34"/>
      <c r="M57" s="34"/>
    </row>
    <row r="58" spans="1:13" ht="9.9499999999999993" customHeight="1" x14ac:dyDescent="0.35">
      <c r="A58" s="2"/>
      <c r="B58" s="20"/>
      <c r="C58" s="20"/>
      <c r="D58" s="20"/>
      <c r="E58" s="20"/>
      <c r="F58" s="20"/>
      <c r="G58" s="20"/>
      <c r="H58" s="20"/>
      <c r="I58" s="28"/>
      <c r="J58" s="28"/>
      <c r="K58" s="28"/>
      <c r="L58" s="28"/>
      <c r="M58" s="28"/>
    </row>
    <row r="59" spans="1:13" ht="9.9499999999999993" customHeight="1" x14ac:dyDescent="0.35">
      <c r="A59" s="33" t="s">
        <v>17</v>
      </c>
      <c r="B59" s="20"/>
      <c r="C59" s="20"/>
      <c r="D59" s="20"/>
      <c r="E59" s="20"/>
      <c r="F59" s="20"/>
      <c r="G59" s="20"/>
      <c r="H59" s="20"/>
      <c r="I59" s="28"/>
      <c r="J59" s="28"/>
      <c r="K59" s="28"/>
      <c r="L59" s="28"/>
      <c r="M59" s="28"/>
    </row>
    <row r="60" spans="1:13" s="2" customFormat="1" ht="9.9499999999999993" customHeight="1" x14ac:dyDescent="0.35">
      <c r="A60" s="6" t="s">
        <v>16</v>
      </c>
      <c r="B60" s="20">
        <f>ROUND(('[7]Changes FY13'!B60),-3)</f>
        <v>0</v>
      </c>
      <c r="C60" s="30">
        <f>ROUND(('[7]Changes FY13'!C60),-3)</f>
        <v>-37286000</v>
      </c>
      <c r="D60" s="30">
        <f>ROUND(('[7]Changes FY13'!D60),-3)</f>
        <v>92044000</v>
      </c>
      <c r="E60" s="20">
        <f>ROUND(('[7]Changes FY13'!E60),-3)</f>
        <v>0</v>
      </c>
      <c r="F60" s="30">
        <f>ROUND(('[7]Changes FY13'!F60),-3)</f>
        <v>0</v>
      </c>
      <c r="G60" s="20">
        <f>ROUND(('[7]Changes FY13'!G60),-3)</f>
        <v>0</v>
      </c>
      <c r="H60" s="30">
        <f>ROUND(('[7]Changes FY13'!H60),-3)-1000</f>
        <v>-17403000</v>
      </c>
      <c r="I60" s="32">
        <f t="shared" ref="I60:I75" si="8">SUM(B60:H60)</f>
        <v>37355000</v>
      </c>
      <c r="J60" s="28"/>
      <c r="K60" s="29">
        <f>ROUND(('[7]Changes FY13'!K60),-3)</f>
        <v>0</v>
      </c>
      <c r="L60" s="29">
        <f>ROUND(('[7]Changes FY13'!L60),-3)</f>
        <v>0</v>
      </c>
      <c r="M60" s="32">
        <f t="shared" ref="M60:M75" si="9">SUM(I60:L60)</f>
        <v>37355000</v>
      </c>
    </row>
    <row r="61" spans="1:13" s="2" customFormat="1" ht="9.9499999999999993" customHeight="1" x14ac:dyDescent="0.35">
      <c r="A61" s="6" t="s">
        <v>15</v>
      </c>
      <c r="B61" s="20">
        <f>ROUND(('[7]Changes FY13'!B61),-3)</f>
        <v>0</v>
      </c>
      <c r="C61" s="20">
        <f>ROUND(('[7]Changes FY13'!C61),-3)</f>
        <v>-160138000</v>
      </c>
      <c r="D61" s="20">
        <f>ROUND(('[7]Changes FY13'!D61),-3)</f>
        <v>606851000</v>
      </c>
      <c r="E61" s="30">
        <f>ROUND(('[7]Changes FY13'!E61),-3)+1000</f>
        <v>150694000</v>
      </c>
      <c r="F61" s="20">
        <f>ROUND(('[7]Changes FY13'!F61),-3)</f>
        <v>0</v>
      </c>
      <c r="G61" s="20">
        <f>ROUND(('[7]Changes FY13'!G61),-3)</f>
        <v>0</v>
      </c>
      <c r="H61" s="20">
        <f>ROUND(('[7]Changes FY13'!H61),-3)</f>
        <v>4644000</v>
      </c>
      <c r="I61" s="28">
        <f t="shared" si="8"/>
        <v>602051000</v>
      </c>
      <c r="J61" s="28"/>
      <c r="K61" s="29">
        <f>ROUND(('[7]Changes FY13'!K61),-3)</f>
        <v>0</v>
      </c>
      <c r="L61" s="29">
        <f>ROUND(('[7]Changes FY13'!L61),-3)</f>
        <v>0</v>
      </c>
      <c r="M61" s="28">
        <f t="shared" si="9"/>
        <v>602051000</v>
      </c>
    </row>
    <row r="62" spans="1:13" s="2" customFormat="1" x14ac:dyDescent="0.35">
      <c r="A62" s="6" t="s">
        <v>14</v>
      </c>
      <c r="B62" s="20">
        <f>ROUND(('[7]Changes FY13'!B62),-3)</f>
        <v>0</v>
      </c>
      <c r="C62" s="20">
        <f>ROUND(('[7]Changes FY13'!C62),-3)</f>
        <v>0</v>
      </c>
      <c r="D62" s="20">
        <f>ROUND(('[7]Changes FY13'!D62),-3)</f>
        <v>0</v>
      </c>
      <c r="E62" s="20">
        <f>ROUND(('[7]Changes FY13'!E62),-3)</f>
        <v>0</v>
      </c>
      <c r="F62" s="20">
        <f>ROUND(('[7]Changes FY13'!F62),-3)</f>
        <v>0</v>
      </c>
      <c r="G62" s="20">
        <f>ROUND(('[7]Changes FY13'!G62),-3)</f>
        <v>0</v>
      </c>
      <c r="H62" s="20">
        <f>ROUND(('[7]Changes FY13'!H62),-3)</f>
        <v>0</v>
      </c>
      <c r="I62" s="28">
        <f t="shared" si="8"/>
        <v>0</v>
      </c>
      <c r="J62" s="28"/>
      <c r="K62" s="31">
        <f>ROUND(('[7]Changes FY13'!K62),-3)</f>
        <v>64799000</v>
      </c>
      <c r="L62" s="31">
        <f>ROUND(('[7]Changes FY13'!L62),-3)</f>
        <v>35242000</v>
      </c>
      <c r="M62" s="28">
        <f t="shared" si="9"/>
        <v>100041000</v>
      </c>
    </row>
    <row r="63" spans="1:13" s="2" customFormat="1" ht="9.9499999999999993" customHeight="1" x14ac:dyDescent="0.35">
      <c r="A63" s="6" t="s">
        <v>13</v>
      </c>
      <c r="B63" s="20">
        <f>ROUND(('[7]Changes FY13'!B63),-3)</f>
        <v>0</v>
      </c>
      <c r="C63" s="20">
        <f>ROUND(('[7]Changes FY13'!C63),-3)</f>
        <v>0</v>
      </c>
      <c r="D63" s="20">
        <f>ROUND(('[7]Changes FY13'!D63),-3)</f>
        <v>0</v>
      </c>
      <c r="E63" s="20">
        <f>ROUND(('[7]Changes FY13'!E63),-3)</f>
        <v>0</v>
      </c>
      <c r="F63" s="20">
        <f>ROUND(('[7]Changes FY13'!F63),-3)</f>
        <v>0</v>
      </c>
      <c r="G63" s="30">
        <f>ROUND(('[7]Changes FY13'!G63),-3)</f>
        <v>0</v>
      </c>
      <c r="H63" s="20">
        <f>ROUND(('[7]Changes FY13'!H63),-3)</f>
        <v>0</v>
      </c>
      <c r="I63" s="28">
        <f t="shared" si="8"/>
        <v>0</v>
      </c>
      <c r="J63" s="28"/>
      <c r="K63" s="29">
        <f>ROUND(('[7]Changes FY13'!K63),-3)</f>
        <v>280789000</v>
      </c>
      <c r="L63" s="29">
        <f>ROUND(('[7]Changes FY13'!L63),-3)</f>
        <v>239133000</v>
      </c>
      <c r="M63" s="28">
        <f t="shared" si="9"/>
        <v>519922000</v>
      </c>
    </row>
    <row r="64" spans="1:13" s="2" customFormat="1" ht="9.9499999999999993" customHeight="1" x14ac:dyDescent="0.35">
      <c r="A64" s="6" t="s">
        <v>90</v>
      </c>
      <c r="B64" s="20"/>
      <c r="C64" s="30">
        <f>ROUND(('[7]Changes FY13'!C64),-3)</f>
        <v>0</v>
      </c>
      <c r="D64" s="20"/>
      <c r="E64" s="20"/>
      <c r="F64" s="20"/>
      <c r="G64" s="30"/>
      <c r="H64" s="20"/>
      <c r="I64" s="28">
        <f t="shared" si="8"/>
        <v>0</v>
      </c>
      <c r="J64" s="28"/>
      <c r="K64" s="29"/>
      <c r="L64" s="29"/>
      <c r="M64" s="28">
        <f t="shared" si="9"/>
        <v>0</v>
      </c>
    </row>
    <row r="65" spans="1:13" s="2" customFormat="1" ht="9.9499999999999993" customHeight="1" x14ac:dyDescent="0.35">
      <c r="A65" s="6" t="s">
        <v>12</v>
      </c>
      <c r="B65" s="20">
        <f>ROUND(('[7]Changes FY13'!B65),-3)</f>
        <v>0</v>
      </c>
      <c r="C65" s="20">
        <f>ROUND(('[7]Changes FY13'!C65),-3)</f>
        <v>0</v>
      </c>
      <c r="D65" s="20">
        <f>ROUND(('[7]Changes FY13'!D65),-3)</f>
        <v>0</v>
      </c>
      <c r="E65" s="20">
        <f>ROUND(('[7]Changes FY13'!E65),-3)</f>
        <v>0</v>
      </c>
      <c r="F65" s="20">
        <f>ROUND(('[7]Changes FY13'!F65),-3)</f>
        <v>0</v>
      </c>
      <c r="G65" s="20">
        <f>ROUND(('[7]Changes FY13'!G65),-3)</f>
        <v>0</v>
      </c>
      <c r="H65" s="20">
        <f>ROUND(('[7]Changes FY13'!H65),-3)</f>
        <v>0</v>
      </c>
      <c r="I65" s="28">
        <f t="shared" si="8"/>
        <v>0</v>
      </c>
      <c r="J65" s="28"/>
      <c r="K65" s="29">
        <f>ROUND(('[7]Changes FY13'!K65),-3)</f>
        <v>0</v>
      </c>
      <c r="L65" s="29">
        <f>ROUND(('[7]Changes FY13'!L65),-3)</f>
        <v>0</v>
      </c>
      <c r="M65" s="28">
        <f t="shared" si="9"/>
        <v>0</v>
      </c>
    </row>
    <row r="66" spans="1:13" s="2" customFormat="1" ht="9.9499999999999993" customHeight="1" x14ac:dyDescent="0.35">
      <c r="A66" s="6" t="s">
        <v>11</v>
      </c>
      <c r="B66" s="20">
        <f>ROUND(('[7]Changes FY13'!B66),-3)</f>
        <v>0</v>
      </c>
      <c r="C66" s="20">
        <f>ROUND(('[7]Changes FY13'!C66),-3)</f>
        <v>0</v>
      </c>
      <c r="D66" s="20">
        <f>ROUND(('[7]Changes FY13'!D66),-3)</f>
        <v>189050000</v>
      </c>
      <c r="E66" s="20">
        <f>ROUND(('[7]Changes FY13'!E66),-3)</f>
        <v>0</v>
      </c>
      <c r="F66" s="20">
        <f>ROUND(('[7]Changes FY13'!F66),-3)</f>
        <v>0</v>
      </c>
      <c r="G66" s="20">
        <f>ROUND(('[7]Changes FY13'!G66),-3)</f>
        <v>0</v>
      </c>
      <c r="H66" s="20">
        <f>ROUND(('[7]Changes FY13'!H66),-3)</f>
        <v>0</v>
      </c>
      <c r="I66" s="28">
        <f t="shared" si="8"/>
        <v>189050000</v>
      </c>
      <c r="J66" s="28"/>
      <c r="K66" s="29">
        <f>ROUND(('[7]Changes FY13'!K66),-3)</f>
        <v>0</v>
      </c>
      <c r="L66" s="29">
        <f>ROUND(('[7]Changes FY13'!L66),-3)</f>
        <v>0</v>
      </c>
      <c r="M66" s="28">
        <f t="shared" si="9"/>
        <v>189050000</v>
      </c>
    </row>
    <row r="67" spans="1:13" s="2" customFormat="1" ht="9.9499999999999993" customHeight="1" x14ac:dyDescent="0.35">
      <c r="A67" s="6" t="s">
        <v>10</v>
      </c>
      <c r="B67" s="20">
        <f>ROUND(('[7]Changes FY13'!B67),-3)</f>
        <v>0</v>
      </c>
      <c r="C67" s="20">
        <f>ROUND(('[7]Changes FY13'!C67),-3)</f>
        <v>0</v>
      </c>
      <c r="D67" s="20">
        <f>ROUND(('[7]Changes FY13'!D67),-3)</f>
        <v>0</v>
      </c>
      <c r="E67" s="20">
        <f>ROUND(('[7]Changes FY13'!E67),-3)</f>
        <v>0</v>
      </c>
      <c r="F67" s="20">
        <f>ROUND(('[7]Changes FY13'!F67),-3)</f>
        <v>0</v>
      </c>
      <c r="G67" s="20">
        <f>ROUND(('[7]Changes FY13'!G67),-3)</f>
        <v>0</v>
      </c>
      <c r="H67" s="20">
        <f>ROUND(('[7]Changes FY13'!H67),-3)</f>
        <v>0</v>
      </c>
      <c r="I67" s="28">
        <f t="shared" si="8"/>
        <v>0</v>
      </c>
      <c r="J67" s="28"/>
      <c r="K67" s="29">
        <f>ROUND(('[7]Changes FY13'!K67),-3)</f>
        <v>43653000</v>
      </c>
      <c r="L67" s="29">
        <f>ROUND(('[7]Changes FY13'!L67),-3)</f>
        <v>78814000</v>
      </c>
      <c r="M67" s="28">
        <f t="shared" si="9"/>
        <v>122467000</v>
      </c>
    </row>
    <row r="68" spans="1:13" s="2" customFormat="1" ht="9.9499999999999993" customHeight="1" x14ac:dyDescent="0.35">
      <c r="A68" s="6" t="s">
        <v>9</v>
      </c>
      <c r="B68" s="20">
        <f>ROUND(('[7]Changes FY13'!B68),-3)</f>
        <v>0</v>
      </c>
      <c r="C68" s="20">
        <f>ROUND(('[7]Changes FY13'!C68),-3)</f>
        <v>0</v>
      </c>
      <c r="D68" s="20">
        <f>ROUND(('[7]Changes FY13'!D68),-3)</f>
        <v>0</v>
      </c>
      <c r="E68" s="20">
        <f>ROUND(('[7]Changes FY13'!E68),-3)</f>
        <v>0</v>
      </c>
      <c r="F68" s="20">
        <f>ROUND(('[7]Changes FY13'!F68),-3)</f>
        <v>0</v>
      </c>
      <c r="G68" s="20">
        <f>ROUND(('[7]Changes FY13'!G68),-3)</f>
        <v>0</v>
      </c>
      <c r="H68" s="20">
        <f>ROUND(('[7]Changes FY13'!H68),-3)</f>
        <v>0</v>
      </c>
      <c r="I68" s="28">
        <f t="shared" si="8"/>
        <v>0</v>
      </c>
      <c r="J68" s="28"/>
      <c r="K68" s="29">
        <f>ROUND(('[7]Changes FY13'!K68),-3)</f>
        <v>1197326000</v>
      </c>
      <c r="L68" s="29">
        <f>ROUND(('[7]Changes FY13'!L68),-3)</f>
        <v>1536666000</v>
      </c>
      <c r="M68" s="28">
        <f t="shared" si="9"/>
        <v>2733992000</v>
      </c>
    </row>
    <row r="69" spans="1:13" s="2" customFormat="1" x14ac:dyDescent="0.35">
      <c r="A69" s="6" t="s">
        <v>8</v>
      </c>
      <c r="B69" s="20">
        <f>ROUND(('[7]Changes FY13'!B69),-3)</f>
        <v>0</v>
      </c>
      <c r="C69" s="20">
        <f>ROUND(('[7]Changes FY13'!C69),-3)</f>
        <v>0</v>
      </c>
      <c r="D69" s="20">
        <f>ROUND(('[7]Changes FY13'!D69),-3)</f>
        <v>0</v>
      </c>
      <c r="E69" s="20">
        <f>ROUND(('[7]Changes FY13'!E69),-3)</f>
        <v>0</v>
      </c>
      <c r="F69" s="20">
        <f>ROUND(('[7]Changes FY13'!F69),-3)</f>
        <v>0</v>
      </c>
      <c r="G69" s="20">
        <f>ROUND(('[7]Changes FY13'!G69),-3)</f>
        <v>0</v>
      </c>
      <c r="H69" s="20">
        <f>ROUND(('[7]Changes FY13'!H69),-3)</f>
        <v>0</v>
      </c>
      <c r="I69" s="28">
        <f t="shared" si="8"/>
        <v>0</v>
      </c>
      <c r="J69" s="28"/>
      <c r="K69" s="29">
        <f>ROUND(('[7]Changes FY13'!K69),-3)</f>
        <v>0</v>
      </c>
      <c r="L69" s="29">
        <f>ROUND(('[7]Changes FY13'!L69),-3)</f>
        <v>0</v>
      </c>
      <c r="M69" s="28">
        <f t="shared" si="9"/>
        <v>0</v>
      </c>
    </row>
    <row r="70" spans="1:13" s="2" customFormat="1" x14ac:dyDescent="0.35">
      <c r="A70" s="6" t="s">
        <v>7</v>
      </c>
      <c r="B70" s="20">
        <f>ROUND(('[7]Changes FY13'!B70),-3)</f>
        <v>0</v>
      </c>
      <c r="C70" s="20">
        <f>ROUND(('[7]Changes FY13'!C70),-3)</f>
        <v>0</v>
      </c>
      <c r="D70" s="20">
        <f>ROUND(('[7]Changes FY13'!D70),-3)</f>
        <v>0</v>
      </c>
      <c r="E70" s="20">
        <f>ROUND(('[7]Changes FY13'!E70),-3)</f>
        <v>0</v>
      </c>
      <c r="F70" s="20">
        <f>ROUND(('[7]Changes FY13'!F70),-3)</f>
        <v>0</v>
      </c>
      <c r="G70" s="20">
        <f>ROUND(('[7]Changes FY13'!G70),-3)</f>
        <v>1134363000</v>
      </c>
      <c r="H70" s="20">
        <f>ROUND(('[7]Changes FY13'!H70),-3)</f>
        <v>0</v>
      </c>
      <c r="I70" s="28">
        <f t="shared" si="8"/>
        <v>1134363000</v>
      </c>
      <c r="J70" s="28"/>
      <c r="K70" s="29">
        <f>ROUND(('[7]Changes FY13'!K70),-3)</f>
        <v>0</v>
      </c>
      <c r="L70" s="29">
        <f>ROUND(('[7]Changes FY13'!L70),-3)</f>
        <v>0</v>
      </c>
      <c r="M70" s="28">
        <f t="shared" si="9"/>
        <v>1134363000</v>
      </c>
    </row>
    <row r="71" spans="1:13" s="2" customFormat="1" x14ac:dyDescent="0.35">
      <c r="A71" s="6" t="s">
        <v>6</v>
      </c>
      <c r="B71" s="20">
        <f>ROUND(('[7]Changes FY13'!B71),-3)</f>
        <v>0</v>
      </c>
      <c r="C71" s="20">
        <f>ROUND(('[7]Changes FY13'!C71),-3)</f>
        <v>0</v>
      </c>
      <c r="D71" s="20">
        <f>ROUND(('[7]Changes FY13'!D71),-3)</f>
        <v>0</v>
      </c>
      <c r="E71" s="20">
        <f>ROUND(('[7]Changes FY13'!E71),-3)</f>
        <v>0</v>
      </c>
      <c r="F71" s="20">
        <f>ROUND(('[7]Changes FY13'!F71),-3)</f>
        <v>0</v>
      </c>
      <c r="G71" s="20">
        <f>ROUND(('[7]Changes FY13'!G71),-3)</f>
        <v>0</v>
      </c>
      <c r="H71" s="20">
        <f>ROUND(('[7]Changes FY13'!H71),-3)</f>
        <v>0</v>
      </c>
      <c r="I71" s="28">
        <f t="shared" si="8"/>
        <v>0</v>
      </c>
      <c r="J71" s="28"/>
      <c r="K71" s="29">
        <f>ROUND(('[7]Changes FY13'!K71),-3)</f>
        <v>0</v>
      </c>
      <c r="L71" s="29">
        <f>ROUND(('[7]Changes FY13'!L71),-3)</f>
        <v>0</v>
      </c>
      <c r="M71" s="28">
        <f t="shared" si="9"/>
        <v>0</v>
      </c>
    </row>
    <row r="72" spans="1:13" s="2" customFormat="1" x14ac:dyDescent="0.35">
      <c r="A72" s="6" t="s">
        <v>5</v>
      </c>
      <c r="B72" s="20">
        <f>ROUND(('[7]Changes FY13'!B72),-3)</f>
        <v>0</v>
      </c>
      <c r="C72" s="20">
        <f>ROUND(('[7]Changes FY13'!C72),-3)</f>
        <v>0</v>
      </c>
      <c r="D72" s="20">
        <f>ROUND(('[7]Changes FY13'!D72),-3)</f>
        <v>0</v>
      </c>
      <c r="E72" s="20">
        <f>ROUND(('[7]Changes FY13'!E72),-3)</f>
        <v>0</v>
      </c>
      <c r="F72" s="20">
        <f>ROUND(('[7]Changes FY13'!F72),-3)</f>
        <v>0</v>
      </c>
      <c r="G72" s="20">
        <f>ROUND(('[7]Changes FY13'!G72),-3)</f>
        <v>0</v>
      </c>
      <c r="H72" s="20">
        <f>ROUND(('[7]Changes FY13'!H72),-3)</f>
        <v>0</v>
      </c>
      <c r="I72" s="28">
        <f t="shared" si="8"/>
        <v>0</v>
      </c>
      <c r="J72" s="28"/>
      <c r="K72" s="29">
        <f>ROUND(('[7]Changes FY13'!K72),-3)</f>
        <v>0</v>
      </c>
      <c r="L72" s="29">
        <f>ROUND(('[7]Changes FY13'!L72),-3)</f>
        <v>0</v>
      </c>
      <c r="M72" s="28">
        <f t="shared" si="9"/>
        <v>0</v>
      </c>
    </row>
    <row r="73" spans="1:13" s="2" customFormat="1" x14ac:dyDescent="0.35">
      <c r="A73" s="6" t="s">
        <v>4</v>
      </c>
      <c r="B73" s="20">
        <f>ROUND(('[7]Changes FY13'!B73),-3)</f>
        <v>0</v>
      </c>
      <c r="C73" s="20">
        <f>ROUND(('[7]Changes FY13'!C73),-3)</f>
        <v>0</v>
      </c>
      <c r="D73" s="20">
        <f>ROUND(('[7]Changes FY13'!D73),-3)</f>
        <v>0</v>
      </c>
      <c r="E73" s="20">
        <f>ROUND(('[7]Changes FY13'!E73),-3)</f>
        <v>0</v>
      </c>
      <c r="F73" s="20">
        <f>ROUND(('[7]Changes FY13'!F73),-3)</f>
        <v>0</v>
      </c>
      <c r="G73" s="20">
        <f>ROUND(('[7]Changes FY13'!G73),-3)</f>
        <v>0</v>
      </c>
      <c r="H73" s="20">
        <f>ROUND(('[7]Changes FY13'!H73),-3)</f>
        <v>0</v>
      </c>
      <c r="I73" s="28">
        <f t="shared" si="8"/>
        <v>0</v>
      </c>
      <c r="J73" s="28"/>
      <c r="K73" s="29">
        <f>ROUND(('[7]Changes FY13'!K73),-3)</f>
        <v>0</v>
      </c>
      <c r="L73" s="29">
        <f>ROUND(('[7]Changes FY13'!L73),-3)</f>
        <v>0</v>
      </c>
      <c r="M73" s="28">
        <f t="shared" si="9"/>
        <v>0</v>
      </c>
    </row>
    <row r="74" spans="1:13" s="2" customFormat="1" x14ac:dyDescent="0.35">
      <c r="A74" s="6" t="s">
        <v>3</v>
      </c>
      <c r="B74" s="20">
        <f>ROUND(('[7]Changes FY13'!B74),-3)</f>
        <v>0</v>
      </c>
      <c r="C74" s="20">
        <f>ROUND(('[7]Changes FY13'!C74),-3)</f>
        <v>0</v>
      </c>
      <c r="D74" s="20">
        <f>ROUND(('[7]Changes FY13'!D74),-3)</f>
        <v>0</v>
      </c>
      <c r="E74" s="20">
        <f>ROUND(('[7]Changes FY13'!E74),-3)</f>
        <v>70329000</v>
      </c>
      <c r="F74" s="20">
        <f>ROUND(('[7]Changes FY13'!F74),-3)</f>
        <v>0</v>
      </c>
      <c r="G74" s="20">
        <f>ROUND(('[7]Changes FY13'!G74),-3)</f>
        <v>0</v>
      </c>
      <c r="H74" s="20">
        <f>ROUND(('[7]Changes FY13'!H74),-3)</f>
        <v>0</v>
      </c>
      <c r="I74" s="28">
        <f t="shared" si="8"/>
        <v>70329000</v>
      </c>
      <c r="J74" s="28"/>
      <c r="K74" s="29">
        <f>ROUND(('[7]Changes FY13'!K74),-3)</f>
        <v>0</v>
      </c>
      <c r="L74" s="29">
        <f>ROUND(('[7]Changes FY13'!L74),-3)</f>
        <v>0</v>
      </c>
      <c r="M74" s="28">
        <f t="shared" si="9"/>
        <v>70329000</v>
      </c>
    </row>
    <row r="75" spans="1:13" s="2" customFormat="1" x14ac:dyDescent="0.35">
      <c r="A75" s="6" t="s">
        <v>2</v>
      </c>
      <c r="B75" s="20">
        <f>ROUND(('[7]Changes FY13'!B75),-3)</f>
        <v>0</v>
      </c>
      <c r="C75" s="20">
        <f>ROUND(('[7]Changes FY13'!C75),-3)</f>
        <v>0</v>
      </c>
      <c r="D75" s="20">
        <f>ROUND(('[7]Changes FY13'!D75),-3)</f>
        <v>0</v>
      </c>
      <c r="E75" s="20">
        <f>ROUND(('[7]Changes FY13'!E75),-3)</f>
        <v>0</v>
      </c>
      <c r="F75" s="20">
        <f>ROUND(('[7]Changes FY13'!F75),-3)</f>
        <v>875289000</v>
      </c>
      <c r="G75" s="20">
        <f>ROUND(('[7]Changes FY13'!G75),-3)</f>
        <v>0</v>
      </c>
      <c r="H75" s="20">
        <f>ROUND(('[7]Changes FY13'!H75),-3)</f>
        <v>0</v>
      </c>
      <c r="I75" s="28">
        <f t="shared" si="8"/>
        <v>875289000</v>
      </c>
      <c r="J75" s="28"/>
      <c r="K75" s="29">
        <f>ROUND(('[7]Changes FY13'!K75),-3)</f>
        <v>0</v>
      </c>
      <c r="L75" s="29">
        <f>ROUND(('[7]Changes FY13'!L75),-3)</f>
        <v>0</v>
      </c>
      <c r="M75" s="28">
        <f t="shared" si="9"/>
        <v>875289000</v>
      </c>
    </row>
    <row r="76" spans="1:13" s="2" customFormat="1" ht="12" thickBot="1" x14ac:dyDescent="0.45">
      <c r="A76" s="27"/>
      <c r="B76" s="26">
        <f t="shared" ref="B76:I76" si="10">SUM(B60:B75)</f>
        <v>0</v>
      </c>
      <c r="C76" s="25">
        <f t="shared" si="10"/>
        <v>-197424000</v>
      </c>
      <c r="D76" s="25">
        <f t="shared" si="10"/>
        <v>887945000</v>
      </c>
      <c r="E76" s="25">
        <f t="shared" si="10"/>
        <v>221023000</v>
      </c>
      <c r="F76" s="25">
        <f t="shared" si="10"/>
        <v>875289000</v>
      </c>
      <c r="G76" s="25">
        <f t="shared" si="10"/>
        <v>1134363000</v>
      </c>
      <c r="H76" s="25">
        <f t="shared" si="10"/>
        <v>-12759000</v>
      </c>
      <c r="I76" s="23">
        <f t="shared" si="10"/>
        <v>2908437000</v>
      </c>
      <c r="J76" s="24"/>
      <c r="K76" s="23">
        <f>SUM(K60:K75)</f>
        <v>1586567000</v>
      </c>
      <c r="L76" s="23">
        <f>SUM(L60:L75)</f>
        <v>1889855000</v>
      </c>
      <c r="M76" s="23">
        <f>SUM(M60:M75)</f>
        <v>6384859000</v>
      </c>
    </row>
    <row r="77" spans="1:13" s="2" customFormat="1" ht="10.7" thickTop="1" x14ac:dyDescent="0.35">
      <c r="A77" s="21" t="s">
        <v>1</v>
      </c>
      <c r="B77" s="19"/>
      <c r="C77" s="19"/>
      <c r="D77" s="19"/>
      <c r="E77" s="19"/>
      <c r="F77" s="19"/>
      <c r="G77" s="19"/>
      <c r="H77" s="19"/>
      <c r="I77" s="19"/>
      <c r="J77" s="20"/>
      <c r="K77" s="19"/>
      <c r="L77" s="19"/>
      <c r="M77" s="19"/>
    </row>
    <row r="78" spans="1:13" s="2" customFormat="1" x14ac:dyDescent="0.35">
      <c r="A78" s="2" t="s">
        <v>0</v>
      </c>
      <c r="B78" s="18">
        <f t="shared" ref="B78:M78" si="11">B56-B76</f>
        <v>0</v>
      </c>
      <c r="C78" s="18">
        <f t="shared" si="11"/>
        <v>0</v>
      </c>
      <c r="D78" s="18">
        <f t="shared" si="11"/>
        <v>0</v>
      </c>
      <c r="E78" s="18">
        <f t="shared" si="11"/>
        <v>0</v>
      </c>
      <c r="F78" s="18">
        <f t="shared" si="11"/>
        <v>0</v>
      </c>
      <c r="G78" s="18">
        <f t="shared" si="11"/>
        <v>0</v>
      </c>
      <c r="H78" s="18">
        <f t="shared" si="11"/>
        <v>0</v>
      </c>
      <c r="I78" s="18">
        <f t="shared" si="11"/>
        <v>0</v>
      </c>
      <c r="J78" s="18">
        <f t="shared" si="11"/>
        <v>0</v>
      </c>
      <c r="K78" s="18">
        <f t="shared" si="11"/>
        <v>0</v>
      </c>
      <c r="L78" s="18">
        <f t="shared" si="11"/>
        <v>0</v>
      </c>
      <c r="M78" s="18">
        <f t="shared" si="11"/>
        <v>0</v>
      </c>
    </row>
    <row r="79" spans="1:13" s="2" customFormat="1" x14ac:dyDescent="0.35"/>
    <row r="80" spans="1:13" s="2" customFormat="1" x14ac:dyDescent="0.35">
      <c r="D80" s="17"/>
    </row>
    <row r="81" spans="1:13" s="2" customFormat="1" x14ac:dyDescent="0.35">
      <c r="G81" s="14"/>
      <c r="H81" s="14"/>
      <c r="I81" s="14"/>
      <c r="J81" s="14"/>
      <c r="K81" s="14"/>
    </row>
    <row r="82" spans="1:13" s="2" customFormat="1" x14ac:dyDescent="0.35">
      <c r="G82" s="14"/>
      <c r="H82" s="16"/>
      <c r="I82" s="16"/>
      <c r="J82" s="14"/>
      <c r="K82" s="14"/>
    </row>
    <row r="83" spans="1:13" ht="11.1" customHeight="1" x14ac:dyDescent="0.35">
      <c r="A83" s="2"/>
      <c r="B83" s="2"/>
      <c r="C83" s="2"/>
      <c r="D83" s="2"/>
      <c r="E83" s="2"/>
      <c r="G83" s="15"/>
      <c r="H83" s="15"/>
      <c r="I83" s="15"/>
      <c r="J83" s="14"/>
      <c r="K83" s="15"/>
      <c r="L83" s="2"/>
      <c r="M83" s="2"/>
    </row>
    <row r="84" spans="1:13" x14ac:dyDescent="0.35">
      <c r="A84" s="2"/>
      <c r="B84" s="2"/>
      <c r="C84" s="2"/>
      <c r="D84" s="2"/>
      <c r="E84" s="2"/>
      <c r="G84" s="15"/>
      <c r="H84" s="15"/>
      <c r="I84" s="15"/>
      <c r="J84" s="14"/>
      <c r="K84" s="14"/>
      <c r="L84" s="2"/>
      <c r="M84" s="2"/>
    </row>
    <row r="85" spans="1:13" x14ac:dyDescent="0.35">
      <c r="A85" s="2"/>
      <c r="B85" s="2"/>
      <c r="C85" s="2"/>
      <c r="D85" s="2"/>
      <c r="E85" s="2"/>
      <c r="G85" s="15"/>
      <c r="H85" s="15"/>
      <c r="I85" s="15"/>
      <c r="J85" s="14"/>
      <c r="K85" s="15"/>
      <c r="L85" s="2"/>
      <c r="M85" s="2"/>
    </row>
    <row r="86" spans="1:13" ht="11.1" customHeight="1" x14ac:dyDescent="0.35">
      <c r="A86" s="2"/>
      <c r="B86" s="2"/>
      <c r="C86" s="2"/>
      <c r="D86" s="2"/>
      <c r="E86" s="2"/>
      <c r="G86" s="15"/>
      <c r="H86" s="15"/>
      <c r="I86" s="15"/>
      <c r="J86" s="14"/>
      <c r="K86" s="14"/>
      <c r="L86" s="2"/>
      <c r="M86" s="2"/>
    </row>
    <row r="87" spans="1:13" x14ac:dyDescent="0.35">
      <c r="A87" s="2"/>
      <c r="B87" s="2"/>
      <c r="C87" s="2"/>
      <c r="D87" s="2"/>
      <c r="E87" s="2"/>
      <c r="G87" s="15"/>
      <c r="H87" s="15"/>
      <c r="I87" s="15"/>
      <c r="J87" s="14"/>
      <c r="K87" s="14"/>
      <c r="L87" s="2"/>
      <c r="M87" s="2"/>
    </row>
    <row r="88" spans="1:13" x14ac:dyDescent="0.35">
      <c r="A88" s="2"/>
      <c r="B88" s="2"/>
      <c r="C88" s="2"/>
      <c r="D88" s="2"/>
      <c r="E88" s="2"/>
      <c r="K88" s="2"/>
      <c r="L88" s="2"/>
      <c r="M88" s="2"/>
    </row>
    <row r="89" spans="1:13" x14ac:dyDescent="0.35">
      <c r="A89" s="2"/>
      <c r="B89" s="2"/>
      <c r="C89" s="2"/>
      <c r="D89" s="2"/>
      <c r="E89" s="2"/>
      <c r="K89" s="2"/>
      <c r="L89" s="2"/>
      <c r="M89" s="2"/>
    </row>
    <row r="90" spans="1:13" x14ac:dyDescent="0.35">
      <c r="A90" s="2"/>
      <c r="B90" s="2"/>
      <c r="C90" s="2"/>
      <c r="D90" s="2"/>
      <c r="E90" s="2"/>
      <c r="K90" s="2"/>
      <c r="L90" s="2"/>
      <c r="M90" s="2"/>
    </row>
    <row r="91" spans="1:13" x14ac:dyDescent="0.35">
      <c r="A91" s="2"/>
      <c r="B91" s="2"/>
      <c r="C91" s="2"/>
      <c r="D91" s="2"/>
      <c r="E91" s="2"/>
      <c r="K91" s="2"/>
      <c r="L91" s="2"/>
      <c r="M91" s="2"/>
    </row>
    <row r="92" spans="1:13" x14ac:dyDescent="0.35">
      <c r="A92" s="2"/>
      <c r="B92" s="2"/>
      <c r="C92" s="2"/>
      <c r="D92" s="2"/>
      <c r="E92" s="2"/>
      <c r="K92" s="2"/>
      <c r="L92" s="2"/>
      <c r="M92" s="2"/>
    </row>
    <row r="93" spans="1:13" x14ac:dyDescent="0.35">
      <c r="A93" s="2"/>
      <c r="B93" s="2"/>
      <c r="C93" s="2"/>
      <c r="D93" s="2"/>
      <c r="E93" s="2"/>
      <c r="K93" s="2"/>
      <c r="L93" s="2"/>
      <c r="M93" s="2"/>
    </row>
    <row r="94" spans="1:13" x14ac:dyDescent="0.35">
      <c r="A94" s="2"/>
      <c r="B94" s="2"/>
      <c r="C94" s="2"/>
      <c r="D94" s="2"/>
      <c r="E94" s="2"/>
      <c r="K94" s="2"/>
      <c r="L94" s="2"/>
      <c r="M94" s="2"/>
    </row>
    <row r="95" spans="1:13" x14ac:dyDescent="0.35">
      <c r="A95" s="2"/>
      <c r="B95" s="2"/>
      <c r="C95" s="2"/>
      <c r="D95" s="2"/>
      <c r="E95" s="2"/>
      <c r="K95" s="2"/>
      <c r="L95" s="2"/>
      <c r="M95" s="2"/>
    </row>
    <row r="96" spans="1:13" x14ac:dyDescent="0.35">
      <c r="A96" s="2"/>
      <c r="B96" s="2"/>
      <c r="C96" s="2"/>
      <c r="D96" s="2"/>
      <c r="E96" s="2"/>
      <c r="K96" s="2"/>
      <c r="L96" s="2"/>
      <c r="M96" s="2"/>
    </row>
    <row r="97" spans="1:13" x14ac:dyDescent="0.35">
      <c r="A97" s="2"/>
      <c r="B97" s="2"/>
      <c r="C97" s="2"/>
      <c r="D97" s="2"/>
      <c r="E97" s="2"/>
      <c r="K97" s="2"/>
      <c r="L97" s="2"/>
      <c r="M97" s="2"/>
    </row>
    <row r="98" spans="1:13" x14ac:dyDescent="0.35">
      <c r="A98" s="2"/>
      <c r="B98" s="2"/>
      <c r="C98" s="2"/>
      <c r="D98" s="2"/>
      <c r="E98" s="2"/>
      <c r="K98" s="2"/>
      <c r="L98" s="2"/>
      <c r="M98" s="2"/>
    </row>
    <row r="99" spans="1:13" x14ac:dyDescent="0.35">
      <c r="A99" s="2"/>
      <c r="B99" s="2"/>
      <c r="C99" s="2"/>
      <c r="D99" s="2"/>
      <c r="E99" s="2"/>
      <c r="K99" s="2"/>
      <c r="L99" s="2"/>
      <c r="M99" s="2"/>
    </row>
    <row r="100" spans="1:13" x14ac:dyDescent="0.35">
      <c r="A100" s="2"/>
      <c r="B100" s="2"/>
      <c r="C100" s="2"/>
      <c r="D100" s="2"/>
      <c r="E100" s="2"/>
      <c r="K100" s="2"/>
      <c r="L100" s="2"/>
      <c r="M100" s="2"/>
    </row>
    <row r="101" spans="1:13" x14ac:dyDescent="0.35">
      <c r="A101" s="2"/>
      <c r="B101" s="2"/>
      <c r="C101" s="2"/>
      <c r="D101" s="2"/>
      <c r="E101" s="2"/>
      <c r="F101" s="5"/>
      <c r="G101" s="5"/>
      <c r="H101" s="5"/>
      <c r="I101" s="5"/>
      <c r="K101" s="2"/>
      <c r="L101" s="2"/>
      <c r="M101" s="2"/>
    </row>
    <row r="102" spans="1:13" x14ac:dyDescent="0.35">
      <c r="A102" s="2"/>
      <c r="B102" s="2"/>
      <c r="C102" s="2"/>
      <c r="D102" s="2"/>
      <c r="E102" s="2"/>
      <c r="F102" s="5"/>
      <c r="G102" s="5"/>
      <c r="H102" s="5"/>
      <c r="I102" s="5"/>
      <c r="K102" s="2"/>
      <c r="L102" s="2"/>
      <c r="M102" s="2"/>
    </row>
    <row r="103" spans="1:13" x14ac:dyDescent="0.35">
      <c r="A103" s="2"/>
      <c r="B103" s="2"/>
      <c r="C103" s="2"/>
      <c r="D103" s="2"/>
      <c r="E103" s="2"/>
      <c r="F103" s="2"/>
      <c r="G103" s="2"/>
      <c r="H103" s="2"/>
      <c r="I103" s="13"/>
      <c r="K103" s="2"/>
      <c r="L103" s="2"/>
      <c r="M103" s="2"/>
    </row>
    <row r="104" spans="1:13" x14ac:dyDescent="0.35">
      <c r="A104" s="2"/>
      <c r="B104" s="2"/>
      <c r="C104" s="2"/>
      <c r="D104" s="2"/>
      <c r="E104" s="2"/>
      <c r="F104" s="2"/>
      <c r="G104" s="2"/>
      <c r="H104" s="2"/>
      <c r="I104" s="13"/>
      <c r="K104" s="2"/>
      <c r="L104" s="2"/>
      <c r="M104" s="2"/>
    </row>
    <row r="105" spans="1:13" x14ac:dyDescent="0.35">
      <c r="A105" s="2"/>
      <c r="B105" s="2"/>
      <c r="C105" s="2"/>
      <c r="D105" s="2"/>
      <c r="E105" s="2"/>
      <c r="F105" s="2"/>
      <c r="G105" s="2"/>
      <c r="H105" s="2"/>
      <c r="K105" s="2"/>
      <c r="L105" s="2"/>
      <c r="M105" s="2"/>
    </row>
    <row r="106" spans="1:13" x14ac:dyDescent="0.35">
      <c r="A106" s="2"/>
      <c r="B106" s="2"/>
      <c r="C106" s="2"/>
      <c r="D106" s="2"/>
      <c r="E106" s="2"/>
      <c r="F106" s="2"/>
      <c r="G106" s="2"/>
      <c r="H106" s="2"/>
      <c r="I106" s="12"/>
      <c r="K106" s="2"/>
      <c r="L106" s="2"/>
      <c r="M106" s="2"/>
    </row>
    <row r="107" spans="1:13" x14ac:dyDescent="0.35">
      <c r="A107" s="2"/>
      <c r="B107" s="2"/>
      <c r="C107" s="2"/>
      <c r="D107" s="2"/>
      <c r="E107" s="2"/>
      <c r="F107" s="2"/>
      <c r="G107" s="2"/>
      <c r="H107" s="2"/>
      <c r="I107" s="12"/>
      <c r="K107" s="2"/>
      <c r="L107" s="2"/>
      <c r="M107" s="2"/>
    </row>
    <row r="108" spans="1:13" x14ac:dyDescent="0.35">
      <c r="A108" s="2"/>
      <c r="B108" s="2"/>
      <c r="C108" s="2"/>
      <c r="D108" s="2"/>
      <c r="E108" s="2"/>
      <c r="F108" s="2"/>
      <c r="G108" s="2"/>
      <c r="H108" s="2"/>
      <c r="I108" s="12"/>
      <c r="K108" s="2"/>
      <c r="L108" s="2"/>
      <c r="M108" s="2"/>
    </row>
    <row r="109" spans="1:13" x14ac:dyDescent="0.35">
      <c r="A109" s="2"/>
      <c r="B109" s="2"/>
      <c r="C109" s="2"/>
      <c r="D109" s="2"/>
      <c r="E109" s="2"/>
      <c r="F109" s="2"/>
      <c r="G109" s="2"/>
      <c r="H109" s="2"/>
      <c r="I109" s="12"/>
      <c r="K109" s="2"/>
      <c r="L109" s="2"/>
      <c r="M109" s="2"/>
    </row>
    <row r="110" spans="1:13" ht="11.1" customHeight="1" x14ac:dyDescent="0.35">
      <c r="A110" s="2"/>
      <c r="B110" s="2"/>
      <c r="C110" s="2"/>
      <c r="D110" s="2"/>
      <c r="E110" s="2"/>
      <c r="F110" s="2"/>
      <c r="G110" s="2"/>
      <c r="H110" s="2"/>
      <c r="I110" s="12"/>
      <c r="K110" s="2"/>
      <c r="L110" s="2"/>
      <c r="M110" s="2"/>
    </row>
    <row r="111" spans="1:13" ht="11.1" customHeight="1" x14ac:dyDescent="0.35">
      <c r="A111" s="2"/>
      <c r="B111" s="2"/>
      <c r="C111" s="2"/>
      <c r="D111" s="2"/>
      <c r="E111" s="2"/>
      <c r="F111" s="2"/>
      <c r="G111" s="2"/>
      <c r="H111" s="2"/>
      <c r="I111" s="12"/>
      <c r="K111" s="2"/>
      <c r="L111" s="2"/>
      <c r="M111" s="2"/>
    </row>
    <row r="112" spans="1:13" ht="11.1" customHeight="1" x14ac:dyDescent="0.35">
      <c r="A112" s="2"/>
      <c r="B112" s="2"/>
      <c r="C112" s="2"/>
      <c r="D112" s="2"/>
      <c r="E112" s="2"/>
      <c r="F112" s="2"/>
      <c r="G112" s="2"/>
      <c r="H112" s="2"/>
      <c r="I112" s="12"/>
      <c r="K112" s="2"/>
      <c r="L112" s="2"/>
      <c r="M112" s="2"/>
    </row>
    <row r="113" spans="1:13" ht="11.1" customHeight="1" x14ac:dyDescent="0.35">
      <c r="A113" s="2"/>
      <c r="B113" s="2"/>
      <c r="C113" s="2"/>
      <c r="D113" s="2"/>
      <c r="E113" s="2"/>
      <c r="F113" s="2"/>
      <c r="G113" s="2"/>
      <c r="H113" s="2"/>
      <c r="I113" s="12"/>
      <c r="K113" s="2"/>
      <c r="L113" s="2"/>
      <c r="M113" s="2"/>
    </row>
    <row r="114" spans="1:13" ht="2.1" customHeight="1" x14ac:dyDescent="0.35">
      <c r="A114" s="2"/>
      <c r="B114" s="2"/>
      <c r="C114" s="2"/>
      <c r="D114" s="2"/>
      <c r="E114" s="2"/>
      <c r="F114" s="2"/>
      <c r="G114" s="2"/>
      <c r="H114" s="2"/>
      <c r="I114" s="12"/>
      <c r="K114" s="2"/>
      <c r="L114" s="2"/>
      <c r="M114" s="2"/>
    </row>
    <row r="115" spans="1:13" x14ac:dyDescent="0.35">
      <c r="A115" s="2"/>
      <c r="B115" s="2"/>
      <c r="C115" s="2"/>
      <c r="D115" s="2"/>
      <c r="E115" s="2"/>
      <c r="F115" s="2"/>
      <c r="G115" s="2"/>
      <c r="H115" s="2"/>
      <c r="I115" s="12"/>
      <c r="K115" s="2"/>
      <c r="L115" s="2"/>
      <c r="M115" s="2"/>
    </row>
    <row r="116" spans="1:13" x14ac:dyDescent="0.35">
      <c r="A116" s="2"/>
      <c r="B116" s="2"/>
      <c r="C116" s="2"/>
      <c r="D116" s="2"/>
      <c r="E116" s="2"/>
      <c r="F116" s="2"/>
      <c r="G116" s="2"/>
      <c r="H116" s="2"/>
      <c r="I116" s="2"/>
      <c r="K116" s="2"/>
      <c r="L116" s="2"/>
      <c r="M116" s="2"/>
    </row>
    <row r="117" spans="1:13" x14ac:dyDescent="0.35">
      <c r="A117" s="2"/>
      <c r="B117" s="2"/>
      <c r="C117" s="2"/>
      <c r="D117" s="2"/>
      <c r="E117" s="2"/>
      <c r="F117" s="2"/>
      <c r="G117" s="2"/>
      <c r="H117" s="2"/>
      <c r="I117" s="2"/>
      <c r="K117" s="2"/>
      <c r="L117" s="2"/>
      <c r="M117" s="2"/>
    </row>
    <row r="118" spans="1:13" x14ac:dyDescent="0.35">
      <c r="A118" s="2"/>
      <c r="B118" s="2"/>
      <c r="C118" s="2"/>
      <c r="D118" s="2"/>
      <c r="E118" s="2"/>
      <c r="F118" s="2"/>
      <c r="G118" s="2"/>
      <c r="H118" s="2"/>
      <c r="I118" s="2"/>
      <c r="K118" s="2"/>
      <c r="L118" s="2"/>
      <c r="M118" s="2"/>
    </row>
    <row r="119" spans="1:13" x14ac:dyDescent="0.35">
      <c r="A119" s="2"/>
      <c r="B119" s="2"/>
      <c r="C119" s="2"/>
      <c r="D119" s="2"/>
      <c r="E119" s="2"/>
      <c r="F119" s="2"/>
      <c r="G119" s="2"/>
      <c r="H119" s="2"/>
      <c r="I119" s="2"/>
      <c r="K119" s="2"/>
      <c r="L119" s="2"/>
      <c r="M119" s="2"/>
    </row>
    <row r="120" spans="1:13" x14ac:dyDescent="0.35">
      <c r="A120" s="2"/>
      <c r="B120" s="2"/>
      <c r="C120" s="2"/>
      <c r="D120" s="2"/>
      <c r="E120" s="2"/>
      <c r="F120" s="2"/>
      <c r="G120" s="2"/>
      <c r="H120" s="2"/>
      <c r="I120" s="2"/>
      <c r="K120" s="2"/>
      <c r="L120" s="2"/>
      <c r="M120" s="2"/>
    </row>
    <row r="121" spans="1:13" x14ac:dyDescent="0.35">
      <c r="A121" s="2"/>
      <c r="B121" s="2"/>
      <c r="C121" s="2"/>
      <c r="D121" s="2"/>
      <c r="E121" s="2"/>
      <c r="F121" s="2"/>
      <c r="G121" s="2"/>
      <c r="H121" s="2"/>
      <c r="I121" s="2"/>
      <c r="K121" s="2"/>
      <c r="L121" s="2"/>
      <c r="M121" s="2"/>
    </row>
    <row r="122" spans="1:13" x14ac:dyDescent="0.35">
      <c r="A122" s="2"/>
      <c r="B122" s="2"/>
      <c r="C122" s="2"/>
      <c r="D122" s="2"/>
      <c r="E122" s="2"/>
      <c r="F122" s="2"/>
      <c r="G122" s="2"/>
      <c r="H122" s="2"/>
      <c r="I122" s="2"/>
      <c r="K122" s="2"/>
      <c r="L122" s="2"/>
      <c r="M122" s="2"/>
    </row>
    <row r="123" spans="1:13" x14ac:dyDescent="0.35">
      <c r="A123" s="2"/>
      <c r="B123" s="2"/>
      <c r="C123" s="2"/>
      <c r="D123" s="2"/>
      <c r="E123" s="2"/>
      <c r="F123" s="2"/>
      <c r="G123" s="2"/>
      <c r="H123" s="2"/>
      <c r="I123" s="2"/>
      <c r="K123" s="2"/>
      <c r="L123" s="2"/>
      <c r="M123" s="2"/>
    </row>
    <row r="124" spans="1:13" x14ac:dyDescent="0.35">
      <c r="A124" s="2"/>
      <c r="B124" s="2"/>
      <c r="C124" s="2"/>
      <c r="D124" s="2"/>
      <c r="E124" s="2"/>
      <c r="F124" s="2"/>
      <c r="G124" s="2"/>
      <c r="H124" s="2"/>
      <c r="I124" s="2"/>
      <c r="K124" s="2"/>
      <c r="L124" s="2"/>
      <c r="M124" s="2"/>
    </row>
    <row r="125" spans="1:13" x14ac:dyDescent="0.35">
      <c r="A125" s="2"/>
      <c r="B125" s="2"/>
      <c r="C125" s="2"/>
      <c r="D125" s="2"/>
      <c r="E125" s="2"/>
      <c r="F125" s="2"/>
      <c r="G125" s="2"/>
      <c r="H125" s="2"/>
      <c r="I125" s="2"/>
      <c r="K125" s="2"/>
      <c r="L125" s="2"/>
      <c r="M125" s="2"/>
    </row>
    <row r="126" spans="1:13" x14ac:dyDescent="0.35">
      <c r="A126" s="2"/>
      <c r="B126" s="2"/>
      <c r="C126" s="2"/>
      <c r="D126" s="2"/>
      <c r="E126" s="2"/>
      <c r="F126" s="2"/>
      <c r="G126" s="2"/>
      <c r="H126" s="2"/>
      <c r="I126" s="2"/>
      <c r="K126" s="2"/>
      <c r="L126" s="2"/>
      <c r="M126" s="2"/>
    </row>
    <row r="127" spans="1:13" x14ac:dyDescent="0.35">
      <c r="A127" s="2"/>
      <c r="B127" s="2"/>
      <c r="C127" s="2"/>
      <c r="D127" s="2"/>
      <c r="E127" s="2"/>
      <c r="F127" s="2"/>
      <c r="G127" s="2"/>
      <c r="H127" s="2"/>
      <c r="I127" s="2"/>
      <c r="K127" s="2"/>
      <c r="L127" s="2"/>
      <c r="M127" s="2"/>
    </row>
    <row r="128" spans="1:13" x14ac:dyDescent="0.35">
      <c r="A128" s="2"/>
      <c r="B128" s="2"/>
      <c r="C128" s="2"/>
      <c r="D128" s="2"/>
      <c r="E128" s="2"/>
      <c r="F128" s="2"/>
      <c r="G128" s="2"/>
      <c r="H128" s="2"/>
      <c r="I128" s="2"/>
      <c r="K128" s="2"/>
      <c r="L128" s="2"/>
      <c r="M128" s="2"/>
    </row>
    <row r="129" spans="1:225" x14ac:dyDescent="0.35">
      <c r="A129" s="2"/>
      <c r="B129" s="2"/>
      <c r="C129" s="2"/>
      <c r="D129" s="2"/>
      <c r="E129" s="2"/>
      <c r="F129" s="2"/>
      <c r="G129" s="2"/>
      <c r="H129" s="2"/>
      <c r="I129" s="2"/>
      <c r="K129" s="2"/>
      <c r="L129" s="2"/>
      <c r="M129" s="2"/>
    </row>
    <row r="130" spans="1:225" x14ac:dyDescent="0.35">
      <c r="A130" s="2"/>
      <c r="B130" s="2"/>
      <c r="C130" s="2"/>
      <c r="D130" s="2"/>
      <c r="E130" s="2"/>
      <c r="F130" s="2"/>
      <c r="G130" s="2"/>
      <c r="H130" s="2"/>
      <c r="I130" s="2"/>
      <c r="K130" s="2"/>
      <c r="L130" s="2"/>
      <c r="M130" s="2"/>
    </row>
    <row r="131" spans="1:225" x14ac:dyDescent="0.35">
      <c r="A131" s="2"/>
      <c r="B131" s="2"/>
      <c r="C131" s="2"/>
      <c r="D131" s="2"/>
      <c r="E131" s="2"/>
      <c r="F131" s="2"/>
      <c r="G131" s="2"/>
      <c r="H131" s="2"/>
      <c r="I131" s="2"/>
      <c r="K131" s="2"/>
      <c r="L131" s="2"/>
      <c r="M131" s="2"/>
    </row>
    <row r="132" spans="1:225" x14ac:dyDescent="0.35">
      <c r="A132" s="2"/>
      <c r="B132" s="2"/>
      <c r="C132" s="2"/>
      <c r="D132" s="2"/>
      <c r="E132" s="2"/>
      <c r="F132" s="2"/>
      <c r="G132" s="2"/>
      <c r="H132" s="2"/>
      <c r="I132" s="2"/>
      <c r="K132" s="2"/>
      <c r="L132" s="2"/>
      <c r="M132" s="2"/>
    </row>
    <row r="133" spans="1:225" x14ac:dyDescent="0.35">
      <c r="A133" s="2"/>
      <c r="B133" s="2"/>
      <c r="C133" s="2"/>
      <c r="D133" s="2"/>
      <c r="E133" s="2"/>
      <c r="F133" s="2"/>
      <c r="G133" s="2"/>
      <c r="H133" s="2"/>
      <c r="I133" s="2"/>
      <c r="K133" s="2"/>
      <c r="L133" s="2"/>
      <c r="M133" s="2"/>
    </row>
    <row r="134" spans="1:225" x14ac:dyDescent="0.35">
      <c r="A134" s="2"/>
      <c r="B134" s="2"/>
      <c r="C134" s="2"/>
      <c r="D134" s="2"/>
      <c r="E134" s="2"/>
      <c r="F134" s="2"/>
      <c r="G134" s="2"/>
      <c r="H134" s="2"/>
      <c r="I134" s="2"/>
      <c r="K134" s="2"/>
      <c r="L134" s="2"/>
      <c r="M134" s="2"/>
    </row>
    <row r="135" spans="1:225" x14ac:dyDescent="0.35">
      <c r="A135" s="2"/>
      <c r="B135" s="2"/>
      <c r="C135" s="2"/>
      <c r="D135" s="2"/>
      <c r="E135" s="2"/>
      <c r="F135" s="2"/>
      <c r="G135" s="2"/>
      <c r="H135" s="2"/>
      <c r="I135" s="2"/>
      <c r="K135" s="2"/>
      <c r="L135" s="2"/>
      <c r="M135" s="2"/>
    </row>
    <row r="136" spans="1:225" x14ac:dyDescent="0.35">
      <c r="A136" s="2"/>
      <c r="B136" s="2"/>
      <c r="C136" s="2"/>
      <c r="D136" s="2"/>
      <c r="E136" s="2"/>
      <c r="F136" s="2"/>
      <c r="G136" s="2"/>
      <c r="H136" s="2"/>
      <c r="I136" s="2"/>
      <c r="K136" s="2"/>
      <c r="L136" s="2"/>
      <c r="M136" s="2"/>
    </row>
    <row r="137" spans="1:225" x14ac:dyDescent="0.35">
      <c r="A137" s="2"/>
      <c r="B137" s="2"/>
      <c r="C137" s="2"/>
      <c r="D137" s="2"/>
      <c r="E137" s="2"/>
      <c r="F137" s="2"/>
      <c r="G137" s="2"/>
      <c r="H137" s="2"/>
      <c r="I137" s="2"/>
      <c r="K137" s="2"/>
      <c r="L137" s="2"/>
      <c r="M137" s="2"/>
    </row>
    <row r="138" spans="1:225" x14ac:dyDescent="0.35">
      <c r="A138" s="2"/>
      <c r="B138" s="2"/>
      <c r="C138" s="2"/>
      <c r="D138" s="2"/>
      <c r="E138" s="2"/>
      <c r="F138" s="2"/>
      <c r="G138" s="2"/>
      <c r="H138" s="2"/>
      <c r="I138" s="2"/>
      <c r="K138" s="2"/>
      <c r="L138" s="2"/>
      <c r="M138" s="2"/>
    </row>
    <row r="139" spans="1:225" x14ac:dyDescent="0.35">
      <c r="A139" s="2"/>
      <c r="B139" s="2"/>
      <c r="C139" s="2"/>
      <c r="D139" s="2"/>
      <c r="E139" s="2"/>
      <c r="F139" s="2"/>
      <c r="G139" s="2"/>
      <c r="H139" s="2"/>
      <c r="I139" s="2"/>
      <c r="K139" s="2"/>
      <c r="L139" s="2"/>
      <c r="M139" s="2"/>
    </row>
    <row r="140" spans="1:225" x14ac:dyDescent="0.35">
      <c r="A140" s="2"/>
      <c r="B140" s="2"/>
      <c r="C140" s="2"/>
      <c r="D140" s="2"/>
      <c r="E140" s="2"/>
      <c r="F140" s="2"/>
      <c r="G140" s="2"/>
      <c r="H140" s="2"/>
      <c r="I140" s="2"/>
      <c r="K140" s="2"/>
      <c r="L140" s="2"/>
      <c r="M140" s="2"/>
    </row>
    <row r="141" spans="1:225" x14ac:dyDescent="0.35">
      <c r="A141" s="2"/>
      <c r="B141" s="2"/>
      <c r="C141" s="2"/>
      <c r="D141" s="2"/>
      <c r="E141" s="2"/>
      <c r="F141" s="2"/>
      <c r="G141" s="2"/>
      <c r="H141" s="2"/>
      <c r="I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</row>
    <row r="142" spans="1:225" x14ac:dyDescent="0.35">
      <c r="A142" s="2"/>
      <c r="B142" s="2"/>
      <c r="C142" s="2"/>
      <c r="D142" s="2"/>
      <c r="E142" s="2"/>
      <c r="F142" s="2"/>
      <c r="G142" s="2"/>
      <c r="H142" s="2"/>
      <c r="I142" s="2"/>
      <c r="K142" s="2"/>
      <c r="L142" s="2"/>
      <c r="M142" s="2"/>
    </row>
    <row r="143" spans="1:225" x14ac:dyDescent="0.35">
      <c r="A143" s="2"/>
      <c r="B143" s="2"/>
      <c r="C143" s="2"/>
      <c r="D143" s="2"/>
      <c r="E143" s="2"/>
      <c r="F143" s="2"/>
      <c r="G143" s="2"/>
      <c r="H143" s="2"/>
      <c r="I143" s="2"/>
      <c r="K143" s="2"/>
      <c r="L143" s="2"/>
      <c r="M143" s="2"/>
    </row>
    <row r="144" spans="1:225" x14ac:dyDescent="0.35">
      <c r="A144" s="2"/>
      <c r="B144" s="2"/>
      <c r="C144" s="2"/>
      <c r="D144" s="2"/>
      <c r="E144" s="2"/>
      <c r="F144" s="2"/>
      <c r="G144" s="2"/>
      <c r="H144" s="2"/>
      <c r="I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</row>
    <row r="145" spans="1:225" x14ac:dyDescent="0.35">
      <c r="A145" s="2"/>
      <c r="B145" s="2"/>
      <c r="C145" s="2"/>
      <c r="D145" s="2"/>
      <c r="E145" s="2"/>
      <c r="F145" s="2"/>
      <c r="G145" s="2"/>
      <c r="H145" s="2"/>
      <c r="I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</row>
    <row r="146" spans="1:225" x14ac:dyDescent="0.35">
      <c r="A146" s="2"/>
      <c r="B146" s="2"/>
      <c r="C146" s="2"/>
      <c r="D146" s="2"/>
      <c r="E146" s="2"/>
      <c r="F146" s="2"/>
      <c r="G146" s="2"/>
      <c r="H146" s="2"/>
      <c r="I146" s="2"/>
      <c r="K146" s="2"/>
      <c r="L146" s="2"/>
      <c r="M146" s="2"/>
    </row>
    <row r="147" spans="1:225" x14ac:dyDescent="0.35">
      <c r="A147" s="2"/>
      <c r="B147" s="2"/>
      <c r="C147" s="2"/>
      <c r="D147" s="2"/>
      <c r="E147" s="2"/>
      <c r="F147" s="2"/>
      <c r="G147" s="2"/>
      <c r="H147" s="2"/>
      <c r="I147" s="2"/>
      <c r="K147" s="2"/>
      <c r="L147" s="2"/>
      <c r="M147" s="2"/>
    </row>
    <row r="148" spans="1:225" x14ac:dyDescent="0.35">
      <c r="A148" s="2"/>
      <c r="B148" s="2"/>
      <c r="C148" s="2"/>
      <c r="D148" s="2"/>
      <c r="E148" s="2"/>
      <c r="F148" s="2"/>
      <c r="G148" s="2"/>
      <c r="H148" s="2"/>
      <c r="I148" s="2"/>
      <c r="K148" s="2"/>
      <c r="L148" s="2"/>
      <c r="M148" s="2"/>
    </row>
    <row r="149" spans="1:225" x14ac:dyDescent="0.35">
      <c r="A149" s="2"/>
      <c r="B149" s="2"/>
      <c r="C149" s="2"/>
      <c r="D149" s="2"/>
      <c r="E149" s="2"/>
      <c r="F149" s="2"/>
      <c r="G149" s="2"/>
      <c r="H149" s="2"/>
      <c r="I149" s="2"/>
      <c r="K149" s="2"/>
      <c r="L149" s="2"/>
      <c r="M149" s="2"/>
    </row>
    <row r="150" spans="1:225" x14ac:dyDescent="0.35">
      <c r="A150" s="2"/>
      <c r="B150" s="2"/>
      <c r="C150" s="2"/>
      <c r="D150" s="2"/>
      <c r="E150" s="2"/>
      <c r="F150" s="2"/>
      <c r="G150" s="2"/>
      <c r="H150" s="2"/>
      <c r="I150" s="2"/>
      <c r="K150" s="2"/>
      <c r="L150" s="2"/>
      <c r="M150" s="2"/>
    </row>
    <row r="151" spans="1:225" x14ac:dyDescent="0.35">
      <c r="A151" s="2"/>
      <c r="B151" s="2"/>
      <c r="C151" s="2"/>
      <c r="D151" s="2"/>
      <c r="E151" s="2"/>
      <c r="F151" s="2"/>
      <c r="G151" s="2"/>
      <c r="H151" s="2"/>
      <c r="I151" s="2"/>
      <c r="K151" s="2"/>
      <c r="L151" s="2"/>
      <c r="M151" s="2"/>
    </row>
    <row r="152" spans="1:225" x14ac:dyDescent="0.35">
      <c r="A152" s="2"/>
      <c r="B152" s="2"/>
      <c r="C152" s="2"/>
      <c r="D152" s="2"/>
      <c r="E152" s="2"/>
      <c r="F152" s="2"/>
      <c r="G152" s="2"/>
      <c r="H152" s="2"/>
      <c r="I152" s="2"/>
      <c r="K152" s="2"/>
      <c r="L152" s="2"/>
      <c r="M152" s="2"/>
    </row>
    <row r="153" spans="1:225" x14ac:dyDescent="0.35">
      <c r="A153" s="2"/>
      <c r="B153" s="2"/>
      <c r="C153" s="2"/>
      <c r="D153" s="2"/>
      <c r="E153" s="2"/>
      <c r="F153" s="2"/>
      <c r="G153" s="2"/>
      <c r="H153" s="2"/>
      <c r="I153" s="2"/>
      <c r="K153" s="2"/>
      <c r="L153" s="2"/>
      <c r="M153" s="2"/>
    </row>
    <row r="154" spans="1:225" x14ac:dyDescent="0.35">
      <c r="A154" s="2"/>
      <c r="B154" s="2"/>
      <c r="C154" s="2"/>
      <c r="D154" s="2"/>
      <c r="E154" s="2"/>
      <c r="F154" s="2"/>
      <c r="G154" s="2"/>
      <c r="H154" s="2"/>
      <c r="I154" s="2"/>
      <c r="K154" s="2"/>
      <c r="L154" s="2"/>
      <c r="M154" s="2"/>
    </row>
    <row r="155" spans="1:225" x14ac:dyDescent="0.35">
      <c r="A155" s="2"/>
      <c r="B155" s="2"/>
      <c r="C155" s="2"/>
      <c r="D155" s="2"/>
      <c r="E155" s="2"/>
      <c r="F155" s="2"/>
      <c r="G155" s="2"/>
      <c r="H155" s="2"/>
      <c r="I155" s="2"/>
      <c r="K155" s="2"/>
      <c r="L155" s="2"/>
      <c r="M155" s="2"/>
    </row>
    <row r="156" spans="1:225" x14ac:dyDescent="0.35">
      <c r="A156" s="2"/>
      <c r="B156" s="2"/>
      <c r="C156" s="2"/>
      <c r="D156" s="2"/>
      <c r="E156" s="2"/>
      <c r="F156" s="2"/>
      <c r="G156" s="2"/>
      <c r="H156" s="2"/>
      <c r="I156" s="2"/>
      <c r="K156" s="2"/>
      <c r="L156" s="2"/>
      <c r="M156" s="2"/>
    </row>
    <row r="157" spans="1:225" x14ac:dyDescent="0.35">
      <c r="A157" s="2"/>
      <c r="B157" s="2"/>
      <c r="C157" s="2"/>
      <c r="D157" s="2"/>
      <c r="E157" s="2"/>
      <c r="F157" s="2"/>
      <c r="G157" s="2"/>
      <c r="H157" s="2"/>
      <c r="I157" s="2"/>
      <c r="K157" s="2"/>
      <c r="L157" s="2"/>
      <c r="M157" s="2"/>
    </row>
    <row r="158" spans="1:225" x14ac:dyDescent="0.35">
      <c r="A158" s="2"/>
      <c r="B158" s="2"/>
      <c r="C158" s="2"/>
      <c r="D158" s="2"/>
      <c r="E158" s="2"/>
      <c r="F158" s="2"/>
      <c r="G158" s="2"/>
      <c r="H158" s="2"/>
      <c r="I158" s="2"/>
      <c r="K158" s="2"/>
      <c r="L158" s="2"/>
      <c r="M158" s="2"/>
    </row>
    <row r="159" spans="1:225" x14ac:dyDescent="0.35">
      <c r="A159" s="2"/>
      <c r="B159" s="2"/>
      <c r="C159" s="2"/>
      <c r="D159" s="2"/>
      <c r="E159" s="2"/>
      <c r="F159" s="2"/>
      <c r="G159" s="2"/>
      <c r="H159" s="2"/>
      <c r="I159" s="2"/>
      <c r="K159" s="2"/>
      <c r="L159" s="2"/>
      <c r="M159" s="2"/>
    </row>
    <row r="160" spans="1:225" x14ac:dyDescent="0.35">
      <c r="A160" s="2"/>
      <c r="B160" s="2"/>
      <c r="C160" s="2"/>
      <c r="D160" s="2"/>
      <c r="E160" s="2"/>
      <c r="F160" s="2"/>
      <c r="G160" s="2"/>
      <c r="H160" s="2"/>
      <c r="I160" s="2"/>
      <c r="K160" s="2"/>
      <c r="L160" s="2"/>
      <c r="M160" s="2"/>
    </row>
    <row r="161" spans="1:13" x14ac:dyDescent="0.35">
      <c r="A161" s="2"/>
      <c r="B161" s="2"/>
      <c r="C161" s="2"/>
      <c r="D161" s="2"/>
      <c r="E161" s="2"/>
      <c r="F161" s="2"/>
      <c r="G161" s="2"/>
      <c r="H161" s="2"/>
      <c r="I161" s="2"/>
      <c r="K161" s="2"/>
      <c r="L161" s="2"/>
      <c r="M161" s="2"/>
    </row>
    <row r="162" spans="1:13" x14ac:dyDescent="0.35">
      <c r="A162" s="2"/>
      <c r="B162" s="2"/>
      <c r="C162" s="2"/>
      <c r="D162" s="2"/>
      <c r="E162" s="2"/>
      <c r="F162" s="2"/>
      <c r="G162" s="2"/>
      <c r="H162" s="2"/>
      <c r="I162" s="2"/>
      <c r="K162" s="2"/>
      <c r="L162" s="2"/>
      <c r="M162" s="2"/>
    </row>
    <row r="163" spans="1:13" x14ac:dyDescent="0.35">
      <c r="A163" s="2"/>
      <c r="B163" s="2"/>
      <c r="C163" s="2"/>
      <c r="D163" s="2"/>
      <c r="E163" s="2"/>
      <c r="F163" s="2"/>
      <c r="G163" s="2"/>
      <c r="H163" s="2"/>
      <c r="I163" s="2"/>
      <c r="K163" s="2"/>
      <c r="L163" s="2"/>
      <c r="M163" s="2"/>
    </row>
    <row r="164" spans="1:13" x14ac:dyDescent="0.35">
      <c r="A164" s="2"/>
      <c r="B164" s="2"/>
      <c r="C164" s="2"/>
      <c r="D164" s="2"/>
      <c r="E164" s="2"/>
      <c r="F164" s="2"/>
      <c r="G164" s="2"/>
      <c r="H164" s="2"/>
      <c r="I164" s="2"/>
      <c r="K164" s="2"/>
      <c r="L164" s="2"/>
      <c r="M164" s="2"/>
    </row>
    <row r="165" spans="1:13" x14ac:dyDescent="0.35">
      <c r="A165" s="2"/>
      <c r="B165" s="2"/>
      <c r="C165" s="2"/>
      <c r="D165" s="2"/>
      <c r="E165" s="2"/>
      <c r="F165" s="2"/>
      <c r="G165" s="2"/>
      <c r="H165" s="2"/>
      <c r="I165" s="2"/>
      <c r="K165" s="2"/>
      <c r="L165" s="2"/>
      <c r="M165" s="2"/>
    </row>
    <row r="166" spans="1:13" x14ac:dyDescent="0.35">
      <c r="A166" s="2"/>
      <c r="B166" s="2"/>
      <c r="C166" s="2"/>
      <c r="D166" s="2"/>
      <c r="E166" s="2"/>
      <c r="F166" s="2"/>
      <c r="G166" s="2"/>
      <c r="H166" s="2"/>
      <c r="I166" s="2"/>
      <c r="K166" s="2"/>
      <c r="L166" s="2"/>
      <c r="M166" s="2"/>
    </row>
    <row r="167" spans="1:13" x14ac:dyDescent="0.35">
      <c r="A167" s="2"/>
      <c r="B167" s="2"/>
      <c r="C167" s="2"/>
      <c r="D167" s="2"/>
      <c r="E167" s="2"/>
      <c r="F167" s="2"/>
      <c r="G167" s="2"/>
      <c r="H167" s="2"/>
      <c r="I167" s="2"/>
      <c r="K167" s="2"/>
      <c r="L167" s="2"/>
      <c r="M167" s="2"/>
    </row>
    <row r="168" spans="1:13" x14ac:dyDescent="0.35">
      <c r="A168" s="2"/>
      <c r="B168" s="2"/>
      <c r="C168" s="2"/>
      <c r="D168" s="2"/>
      <c r="E168" s="2"/>
      <c r="F168" s="2"/>
      <c r="G168" s="2"/>
      <c r="H168" s="2"/>
      <c r="I168" s="2"/>
      <c r="K168" s="2"/>
      <c r="L168" s="2"/>
      <c r="M168" s="2"/>
    </row>
    <row r="169" spans="1:13" x14ac:dyDescent="0.35">
      <c r="A169" s="2"/>
      <c r="B169" s="2"/>
      <c r="C169" s="2"/>
      <c r="D169" s="2"/>
      <c r="E169" s="2"/>
      <c r="F169" s="2"/>
      <c r="G169" s="2"/>
      <c r="H169" s="2"/>
      <c r="I169" s="2"/>
      <c r="K169" s="2"/>
      <c r="L169" s="2"/>
      <c r="M169" s="2"/>
    </row>
    <row r="170" spans="1:13" x14ac:dyDescent="0.35">
      <c r="A170" s="2"/>
      <c r="B170" s="2"/>
      <c r="C170" s="2"/>
      <c r="D170" s="2"/>
      <c r="E170" s="2"/>
      <c r="F170" s="2"/>
      <c r="G170" s="2"/>
      <c r="H170" s="2"/>
      <c r="I170" s="2"/>
      <c r="K170" s="2"/>
      <c r="L170" s="2"/>
      <c r="M170" s="2"/>
    </row>
    <row r="171" spans="1:13" x14ac:dyDescent="0.35">
      <c r="A171" s="2"/>
      <c r="B171" s="2"/>
      <c r="C171" s="2"/>
      <c r="D171" s="2"/>
      <c r="E171" s="2"/>
      <c r="F171" s="2"/>
      <c r="G171" s="2"/>
      <c r="H171" s="2"/>
      <c r="I171" s="2"/>
      <c r="K171" s="2"/>
      <c r="L171" s="2"/>
      <c r="M171" s="2"/>
    </row>
    <row r="172" spans="1:13" x14ac:dyDescent="0.35">
      <c r="A172" s="2"/>
      <c r="B172" s="2"/>
      <c r="C172" s="2"/>
      <c r="D172" s="2"/>
      <c r="E172" s="2"/>
      <c r="F172" s="2"/>
      <c r="G172" s="2"/>
      <c r="H172" s="2"/>
      <c r="I172" s="2"/>
      <c r="K172" s="2"/>
      <c r="L172" s="2"/>
      <c r="M172" s="2"/>
    </row>
    <row r="173" spans="1:13" x14ac:dyDescent="0.35">
      <c r="A173" s="2"/>
      <c r="B173" s="2"/>
      <c r="C173" s="2"/>
      <c r="D173" s="2"/>
      <c r="E173" s="2"/>
      <c r="F173" s="2"/>
      <c r="G173" s="2"/>
      <c r="H173" s="2"/>
      <c r="I173" s="2"/>
      <c r="K173" s="2"/>
      <c r="L173" s="2"/>
      <c r="M173" s="2"/>
    </row>
    <row r="174" spans="1:13" x14ac:dyDescent="0.35">
      <c r="A174" s="2"/>
      <c r="B174" s="2"/>
      <c r="C174" s="2"/>
      <c r="D174" s="2"/>
      <c r="E174" s="2"/>
      <c r="F174" s="2"/>
      <c r="G174" s="2"/>
      <c r="H174" s="2"/>
      <c r="I174" s="2"/>
      <c r="K174" s="2"/>
      <c r="L174" s="2"/>
      <c r="M174" s="2"/>
    </row>
    <row r="175" spans="1:13" x14ac:dyDescent="0.35">
      <c r="A175" s="2"/>
      <c r="B175" s="2"/>
      <c r="C175" s="2"/>
      <c r="D175" s="2"/>
      <c r="E175" s="2"/>
      <c r="F175" s="2"/>
      <c r="G175" s="2"/>
      <c r="H175" s="2"/>
      <c r="I175" s="2"/>
      <c r="K175" s="2"/>
      <c r="L175" s="2"/>
      <c r="M175" s="2"/>
    </row>
    <row r="176" spans="1:13" x14ac:dyDescent="0.35">
      <c r="A176" s="2"/>
      <c r="B176" s="2"/>
      <c r="C176" s="2"/>
      <c r="D176" s="2"/>
      <c r="E176" s="2"/>
      <c r="F176" s="2"/>
      <c r="G176" s="2"/>
      <c r="H176" s="2"/>
      <c r="I176" s="2"/>
      <c r="K176" s="2"/>
      <c r="L176" s="2"/>
      <c r="M176" s="2"/>
    </row>
    <row r="177" spans="1:13" x14ac:dyDescent="0.35">
      <c r="A177" s="2"/>
      <c r="B177" s="2"/>
      <c r="C177" s="2"/>
      <c r="D177" s="2"/>
      <c r="E177" s="2"/>
      <c r="F177" s="2"/>
      <c r="G177" s="2"/>
      <c r="H177" s="2"/>
      <c r="I177" s="2"/>
      <c r="K177" s="2"/>
      <c r="L177" s="2"/>
      <c r="M177" s="2"/>
    </row>
    <row r="178" spans="1:13" x14ac:dyDescent="0.35">
      <c r="A178" s="2"/>
      <c r="B178" s="2"/>
      <c r="C178" s="2"/>
      <c r="D178" s="2"/>
      <c r="E178" s="2"/>
      <c r="F178" s="2"/>
      <c r="G178" s="2"/>
      <c r="H178" s="2"/>
      <c r="I178" s="2"/>
      <c r="K178" s="2"/>
      <c r="L178" s="2"/>
      <c r="M178" s="2"/>
    </row>
    <row r="179" spans="1:13" x14ac:dyDescent="0.35">
      <c r="A179" s="2"/>
      <c r="B179" s="2"/>
      <c r="C179" s="2"/>
      <c r="D179" s="2"/>
      <c r="E179" s="2"/>
      <c r="F179" s="2"/>
      <c r="G179" s="2"/>
      <c r="H179" s="2"/>
      <c r="I179" s="2"/>
      <c r="K179" s="2"/>
      <c r="L179" s="2"/>
      <c r="M179" s="2"/>
    </row>
    <row r="180" spans="1:13" x14ac:dyDescent="0.35">
      <c r="A180" s="2"/>
      <c r="B180" s="2"/>
      <c r="C180" s="2"/>
      <c r="D180" s="2"/>
      <c r="E180" s="2"/>
      <c r="F180" s="2"/>
      <c r="G180" s="2"/>
      <c r="H180" s="2"/>
      <c r="I180" s="2"/>
      <c r="K180" s="2"/>
      <c r="L180" s="2"/>
      <c r="M180" s="2"/>
    </row>
    <row r="181" spans="1:13" x14ac:dyDescent="0.35">
      <c r="A181" s="2"/>
      <c r="B181" s="2"/>
      <c r="C181" s="2"/>
      <c r="D181" s="2"/>
      <c r="E181" s="2"/>
      <c r="F181" s="2"/>
      <c r="G181" s="2"/>
      <c r="H181" s="2"/>
      <c r="I181" s="2"/>
      <c r="K181" s="2"/>
      <c r="L181" s="2"/>
      <c r="M181" s="2"/>
    </row>
    <row r="182" spans="1:13" x14ac:dyDescent="0.35">
      <c r="A182" s="2"/>
      <c r="B182" s="2"/>
      <c r="C182" s="2"/>
      <c r="D182" s="2"/>
      <c r="E182" s="2"/>
      <c r="F182" s="2"/>
      <c r="G182" s="2"/>
      <c r="H182" s="2"/>
      <c r="I182" s="2"/>
      <c r="K182" s="2"/>
      <c r="L182" s="2"/>
      <c r="M182" s="2"/>
    </row>
    <row r="183" spans="1:13" x14ac:dyDescent="0.35">
      <c r="A183" s="2"/>
      <c r="B183" s="2"/>
      <c r="C183" s="2"/>
      <c r="D183" s="2"/>
      <c r="E183" s="2"/>
      <c r="F183" s="2"/>
      <c r="G183" s="2"/>
      <c r="H183" s="2"/>
      <c r="I183" s="2"/>
      <c r="K183" s="2"/>
      <c r="L183" s="2"/>
      <c r="M183" s="2"/>
    </row>
    <row r="184" spans="1:13" x14ac:dyDescent="0.35">
      <c r="A184" s="2"/>
      <c r="B184" s="2"/>
      <c r="C184" s="2"/>
      <c r="D184" s="2"/>
      <c r="E184" s="2"/>
      <c r="F184" s="2"/>
      <c r="G184" s="2"/>
      <c r="H184" s="2"/>
      <c r="I184" s="2"/>
      <c r="K184" s="2"/>
      <c r="L184" s="2"/>
      <c r="M184" s="2"/>
    </row>
    <row r="185" spans="1:13" x14ac:dyDescent="0.35">
      <c r="A185" s="2"/>
      <c r="B185" s="2"/>
      <c r="C185" s="2"/>
      <c r="D185" s="2"/>
      <c r="E185" s="2"/>
      <c r="F185" s="2"/>
      <c r="G185" s="2"/>
      <c r="H185" s="2"/>
      <c r="I185" s="2"/>
      <c r="K185" s="2"/>
      <c r="L185" s="2"/>
      <c r="M185" s="2"/>
    </row>
    <row r="186" spans="1:13" x14ac:dyDescent="0.35">
      <c r="A186" s="2"/>
      <c r="B186" s="2"/>
      <c r="C186" s="2"/>
      <c r="D186" s="2"/>
      <c r="E186" s="2"/>
      <c r="F186" s="2"/>
      <c r="G186" s="2"/>
      <c r="H186" s="2"/>
      <c r="I186" s="2"/>
      <c r="K186" s="2"/>
      <c r="L186" s="2"/>
      <c r="M186" s="2"/>
    </row>
    <row r="187" spans="1:13" x14ac:dyDescent="0.35">
      <c r="A187" s="2"/>
      <c r="B187" s="2"/>
      <c r="C187" s="2"/>
      <c r="D187" s="2"/>
      <c r="E187" s="2"/>
      <c r="F187" s="2"/>
      <c r="G187" s="2"/>
      <c r="H187" s="2"/>
      <c r="I187" s="2"/>
      <c r="K187" s="2"/>
      <c r="L187" s="2"/>
      <c r="M187" s="2"/>
    </row>
    <row r="188" spans="1:13" x14ac:dyDescent="0.35">
      <c r="A188" s="2"/>
      <c r="B188" s="2"/>
      <c r="C188" s="2"/>
      <c r="D188" s="2"/>
      <c r="E188" s="2"/>
      <c r="F188" s="2"/>
      <c r="G188" s="2"/>
      <c r="H188" s="2"/>
      <c r="I188" s="2"/>
      <c r="K188" s="2"/>
      <c r="L188" s="2"/>
      <c r="M188" s="2"/>
    </row>
    <row r="189" spans="1:13" x14ac:dyDescent="0.35">
      <c r="A189" s="2"/>
      <c r="B189" s="2"/>
      <c r="C189" s="2"/>
      <c r="D189" s="2"/>
      <c r="E189" s="2"/>
      <c r="F189" s="2"/>
      <c r="G189" s="2"/>
      <c r="H189" s="2"/>
      <c r="I189" s="2"/>
      <c r="K189" s="2"/>
      <c r="L189" s="2"/>
      <c r="M189" s="2"/>
    </row>
    <row r="190" spans="1:13" x14ac:dyDescent="0.35">
      <c r="A190" s="2"/>
      <c r="B190" s="2"/>
      <c r="C190" s="2"/>
      <c r="D190" s="2"/>
      <c r="E190" s="2"/>
      <c r="F190" s="2"/>
      <c r="G190" s="2"/>
      <c r="H190" s="2"/>
      <c r="I190" s="2"/>
      <c r="K190" s="2"/>
      <c r="L190" s="2"/>
      <c r="M190" s="2"/>
    </row>
    <row r="191" spans="1:13" x14ac:dyDescent="0.35">
      <c r="A191" s="2"/>
      <c r="B191" s="2"/>
      <c r="C191" s="2"/>
      <c r="D191" s="2"/>
      <c r="E191" s="2"/>
      <c r="F191" s="2"/>
      <c r="G191" s="2"/>
      <c r="H191" s="2"/>
      <c r="I191" s="2"/>
      <c r="K191" s="2"/>
      <c r="L191" s="2"/>
      <c r="M191" s="2"/>
    </row>
    <row r="192" spans="1:13" x14ac:dyDescent="0.35">
      <c r="A192" s="2"/>
      <c r="B192" s="2"/>
      <c r="C192" s="2"/>
      <c r="D192" s="2"/>
      <c r="E192" s="2"/>
      <c r="F192" s="2"/>
      <c r="G192" s="2"/>
      <c r="H192" s="2"/>
      <c r="I192" s="2"/>
      <c r="K192" s="2"/>
      <c r="L192" s="2"/>
      <c r="M192" s="2"/>
    </row>
    <row r="193" spans="1:225" x14ac:dyDescent="0.35">
      <c r="A193" s="2"/>
      <c r="B193" s="2"/>
      <c r="C193" s="2"/>
      <c r="D193" s="2"/>
      <c r="E193" s="2"/>
      <c r="F193" s="2"/>
      <c r="G193" s="2"/>
      <c r="H193" s="2"/>
      <c r="I193" s="2"/>
      <c r="K193" s="2"/>
      <c r="L193" s="2"/>
      <c r="M193" s="2"/>
    </row>
    <row r="194" spans="1:225" x14ac:dyDescent="0.35">
      <c r="A194" s="2"/>
      <c r="B194" s="2"/>
      <c r="C194" s="2"/>
      <c r="D194" s="2"/>
      <c r="E194" s="2"/>
      <c r="F194" s="2"/>
      <c r="G194" s="2"/>
      <c r="H194" s="2"/>
      <c r="I194" s="2"/>
      <c r="K194" s="2"/>
      <c r="L194" s="2"/>
      <c r="M194" s="2"/>
    </row>
    <row r="195" spans="1:225" x14ac:dyDescent="0.35">
      <c r="A195" s="2"/>
      <c r="B195" s="2"/>
      <c r="C195" s="2"/>
      <c r="D195" s="2"/>
      <c r="E195" s="2"/>
      <c r="F195" s="2"/>
      <c r="G195" s="2"/>
      <c r="H195" s="2"/>
      <c r="I195" s="2"/>
      <c r="K195" s="2"/>
      <c r="L195" s="2"/>
      <c r="M195" s="2"/>
    </row>
    <row r="196" spans="1:225" x14ac:dyDescent="0.35">
      <c r="A196" s="2"/>
      <c r="B196" s="2"/>
      <c r="C196" s="2"/>
      <c r="D196" s="2"/>
      <c r="E196" s="2"/>
      <c r="F196" s="2"/>
      <c r="G196" s="2"/>
      <c r="H196" s="2"/>
      <c r="I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  <c r="GZ196" s="2"/>
      <c r="HA196" s="2"/>
      <c r="HB196" s="2"/>
      <c r="HC196" s="2"/>
      <c r="HD196" s="2"/>
      <c r="HE196" s="2"/>
      <c r="HF196" s="2"/>
      <c r="HG196" s="2"/>
      <c r="HH196" s="2"/>
      <c r="HI196" s="2"/>
      <c r="HJ196" s="2"/>
      <c r="HK196" s="2"/>
      <c r="HL196" s="2"/>
      <c r="HM196" s="2"/>
      <c r="HN196" s="2"/>
      <c r="HO196" s="2"/>
      <c r="HP196" s="2"/>
      <c r="HQ196" s="2"/>
    </row>
    <row r="197" spans="1:225" x14ac:dyDescent="0.35">
      <c r="A197" s="2"/>
      <c r="B197" s="2"/>
      <c r="C197" s="2"/>
      <c r="D197" s="2"/>
      <c r="E197" s="2"/>
      <c r="F197" s="2"/>
      <c r="G197" s="2"/>
      <c r="H197" s="2"/>
      <c r="I197" s="2"/>
      <c r="K197" s="2"/>
      <c r="L197" s="2"/>
      <c r="M197" s="2"/>
    </row>
    <row r="198" spans="1:225" x14ac:dyDescent="0.35">
      <c r="A198" s="2"/>
      <c r="B198" s="2"/>
      <c r="C198" s="2"/>
      <c r="D198" s="2"/>
      <c r="E198" s="2"/>
      <c r="F198" s="2"/>
      <c r="G198" s="2"/>
      <c r="H198" s="2"/>
      <c r="I198" s="2"/>
      <c r="K198" s="2"/>
      <c r="L198" s="2"/>
      <c r="M198" s="2"/>
    </row>
    <row r="199" spans="1:225" x14ac:dyDescent="0.35">
      <c r="A199" s="2"/>
      <c r="B199" s="2"/>
      <c r="C199" s="2"/>
      <c r="D199" s="2"/>
      <c r="E199" s="2"/>
      <c r="F199" s="2"/>
      <c r="G199" s="2"/>
      <c r="H199" s="2"/>
      <c r="I199" s="2"/>
      <c r="K199" s="2"/>
      <c r="L199" s="2"/>
      <c r="M199" s="2"/>
    </row>
    <row r="200" spans="1:225" x14ac:dyDescent="0.35">
      <c r="A200" s="2"/>
      <c r="B200" s="2"/>
      <c r="C200" s="2"/>
      <c r="D200" s="2"/>
      <c r="E200" s="2"/>
      <c r="F200" s="2"/>
      <c r="G200" s="2"/>
      <c r="H200" s="2"/>
      <c r="I200" s="2"/>
      <c r="K200" s="2"/>
      <c r="L200" s="2"/>
      <c r="M200" s="2"/>
    </row>
    <row r="201" spans="1:225" x14ac:dyDescent="0.35">
      <c r="A201" s="2"/>
      <c r="B201" s="2"/>
      <c r="C201" s="2"/>
      <c r="D201" s="2"/>
      <c r="E201" s="2"/>
      <c r="F201" s="2"/>
      <c r="G201" s="2"/>
      <c r="H201" s="2"/>
      <c r="I201" s="2"/>
      <c r="K201" s="2"/>
      <c r="L201" s="2"/>
      <c r="M201" s="2"/>
    </row>
    <row r="202" spans="1:225" x14ac:dyDescent="0.35">
      <c r="A202" s="2"/>
      <c r="B202" s="2"/>
      <c r="C202" s="2"/>
      <c r="D202" s="2"/>
      <c r="E202" s="2"/>
      <c r="F202" s="2"/>
      <c r="G202" s="2"/>
      <c r="H202" s="2"/>
      <c r="I202" s="2"/>
      <c r="K202" s="2"/>
      <c r="L202" s="2"/>
      <c r="M202" s="2"/>
    </row>
    <row r="203" spans="1:225" x14ac:dyDescent="0.35">
      <c r="A203" s="2"/>
      <c r="B203" s="2"/>
      <c r="C203" s="2"/>
      <c r="D203" s="2"/>
      <c r="E203" s="2"/>
      <c r="F203" s="2"/>
      <c r="G203" s="2"/>
      <c r="H203" s="2"/>
      <c r="I203" s="2"/>
      <c r="K203" s="2"/>
      <c r="L203" s="2"/>
      <c r="M203" s="2"/>
    </row>
    <row r="204" spans="1:225" x14ac:dyDescent="0.35">
      <c r="A204" s="2"/>
      <c r="B204" s="2"/>
      <c r="C204" s="2"/>
      <c r="D204" s="2"/>
      <c r="E204" s="2"/>
      <c r="F204" s="2"/>
      <c r="G204" s="2"/>
      <c r="H204" s="2"/>
      <c r="I204" s="2"/>
      <c r="K204" s="2"/>
      <c r="L204" s="2"/>
      <c r="M204" s="2"/>
    </row>
    <row r="205" spans="1:225" x14ac:dyDescent="0.35">
      <c r="A205" s="2"/>
      <c r="B205" s="2"/>
      <c r="C205" s="2"/>
      <c r="D205" s="2"/>
      <c r="E205" s="2"/>
      <c r="F205" s="2"/>
      <c r="G205" s="2"/>
      <c r="H205" s="2"/>
      <c r="I205" s="2"/>
      <c r="K205" s="2"/>
      <c r="L205" s="2"/>
      <c r="M205" s="2"/>
    </row>
    <row r="206" spans="1:225" x14ac:dyDescent="0.35">
      <c r="A206" s="2"/>
      <c r="B206" s="2"/>
      <c r="C206" s="2"/>
      <c r="D206" s="2"/>
      <c r="E206" s="2"/>
      <c r="F206" s="2"/>
      <c r="G206" s="2"/>
      <c r="H206" s="2"/>
      <c r="I206" s="2"/>
      <c r="K206" s="2"/>
      <c r="L206" s="2"/>
      <c r="M206" s="2"/>
    </row>
    <row r="207" spans="1:225" x14ac:dyDescent="0.35">
      <c r="A207" s="2"/>
      <c r="B207" s="2"/>
      <c r="C207" s="2"/>
      <c r="D207" s="2"/>
      <c r="E207" s="2"/>
      <c r="F207" s="2"/>
      <c r="G207" s="2"/>
      <c r="H207" s="2"/>
      <c r="I207" s="2"/>
      <c r="K207" s="2"/>
      <c r="L207" s="2"/>
      <c r="M207" s="2"/>
    </row>
    <row r="208" spans="1:225" x14ac:dyDescent="0.35">
      <c r="A208" s="2"/>
      <c r="B208" s="2"/>
      <c r="C208" s="2"/>
      <c r="D208" s="2"/>
      <c r="E208" s="2"/>
      <c r="F208" s="2"/>
      <c r="G208" s="2"/>
      <c r="H208" s="2"/>
      <c r="I208" s="2"/>
      <c r="K208" s="2"/>
      <c r="L208" s="2"/>
      <c r="M208" s="2"/>
    </row>
    <row r="209" spans="1:13" x14ac:dyDescent="0.35">
      <c r="A209" s="2"/>
      <c r="B209" s="2"/>
      <c r="C209" s="2"/>
      <c r="D209" s="2"/>
      <c r="E209" s="2"/>
      <c r="F209" s="2"/>
      <c r="G209" s="2"/>
      <c r="H209" s="2"/>
      <c r="I209" s="2"/>
      <c r="K209" s="2"/>
      <c r="L209" s="2"/>
      <c r="M209" s="2"/>
    </row>
    <row r="210" spans="1:13" x14ac:dyDescent="0.35">
      <c r="A210" s="2"/>
      <c r="B210" s="2"/>
      <c r="C210" s="2"/>
      <c r="D210" s="2"/>
      <c r="E210" s="2"/>
      <c r="F210" s="2"/>
      <c r="G210" s="2"/>
      <c r="H210" s="2"/>
      <c r="I210" s="2"/>
      <c r="K210" s="2"/>
      <c r="L210" s="2"/>
      <c r="M210" s="2"/>
    </row>
    <row r="211" spans="1:13" x14ac:dyDescent="0.35">
      <c r="A211" s="2"/>
      <c r="B211" s="2"/>
      <c r="C211" s="2"/>
      <c r="D211" s="2"/>
      <c r="E211" s="2"/>
      <c r="F211" s="2"/>
      <c r="G211" s="2"/>
      <c r="H211" s="2"/>
      <c r="I211" s="2"/>
      <c r="K211" s="2"/>
      <c r="L211" s="2"/>
      <c r="M211" s="2"/>
    </row>
    <row r="212" spans="1:13" x14ac:dyDescent="0.35">
      <c r="A212" s="2"/>
      <c r="B212" s="2"/>
      <c r="C212" s="2"/>
      <c r="D212" s="2"/>
      <c r="E212" s="2"/>
      <c r="F212" s="2"/>
      <c r="G212" s="2"/>
      <c r="H212" s="2"/>
      <c r="I212" s="2"/>
      <c r="K212" s="2"/>
      <c r="L212" s="2"/>
      <c r="M212" s="2"/>
    </row>
    <row r="213" spans="1:13" x14ac:dyDescent="0.35">
      <c r="A213" s="2"/>
      <c r="B213" s="2"/>
      <c r="C213" s="2"/>
      <c r="D213" s="2"/>
      <c r="E213" s="2"/>
      <c r="F213" s="2"/>
      <c r="G213" s="2"/>
      <c r="H213" s="2"/>
      <c r="I213" s="2"/>
      <c r="K213" s="2"/>
      <c r="L213" s="2"/>
      <c r="M213" s="2"/>
    </row>
    <row r="214" spans="1:13" x14ac:dyDescent="0.35">
      <c r="A214" s="2"/>
      <c r="B214" s="2"/>
      <c r="C214" s="2"/>
      <c r="D214" s="2"/>
      <c r="E214" s="2"/>
      <c r="F214" s="2"/>
      <c r="G214" s="2"/>
      <c r="H214" s="2"/>
      <c r="I214" s="2"/>
      <c r="K214" s="2"/>
      <c r="L214" s="2"/>
      <c r="M214" s="2"/>
    </row>
    <row r="215" spans="1:13" x14ac:dyDescent="0.35">
      <c r="A215" s="2"/>
      <c r="B215" s="2"/>
      <c r="C215" s="2"/>
      <c r="D215" s="2"/>
      <c r="E215" s="2"/>
      <c r="F215" s="2"/>
      <c r="G215" s="2"/>
      <c r="H215" s="2"/>
      <c r="I215" s="2"/>
      <c r="K215" s="2"/>
      <c r="L215" s="2"/>
      <c r="M215" s="2"/>
    </row>
    <row r="216" spans="1:13" x14ac:dyDescent="0.35">
      <c r="A216" s="2"/>
      <c r="B216" s="2"/>
      <c r="C216" s="2"/>
      <c r="D216" s="2"/>
      <c r="E216" s="2"/>
      <c r="F216" s="2"/>
      <c r="G216" s="2"/>
      <c r="H216" s="2"/>
      <c r="I216" s="2"/>
      <c r="K216" s="2"/>
      <c r="L216" s="2"/>
      <c r="M216" s="2"/>
    </row>
    <row r="217" spans="1:13" x14ac:dyDescent="0.35">
      <c r="A217" s="2"/>
      <c r="B217" s="2"/>
      <c r="C217" s="2"/>
      <c r="D217" s="2"/>
      <c r="E217" s="2"/>
      <c r="F217" s="2"/>
      <c r="G217" s="2"/>
      <c r="H217" s="2"/>
      <c r="I217" s="2"/>
      <c r="K217" s="2"/>
      <c r="L217" s="2"/>
      <c r="M217" s="2"/>
    </row>
    <row r="218" spans="1:13" x14ac:dyDescent="0.35">
      <c r="A218" s="2"/>
      <c r="B218" s="2"/>
      <c r="C218" s="2"/>
      <c r="D218" s="2"/>
      <c r="E218" s="2"/>
      <c r="F218" s="2"/>
      <c r="G218" s="2"/>
      <c r="H218" s="2"/>
      <c r="I218" s="2"/>
      <c r="K218" s="2"/>
      <c r="L218" s="2"/>
      <c r="M218" s="2"/>
    </row>
    <row r="219" spans="1:13" x14ac:dyDescent="0.35">
      <c r="A219" s="2"/>
      <c r="B219" s="2"/>
      <c r="C219" s="2"/>
      <c r="D219" s="2"/>
      <c r="E219" s="2"/>
      <c r="F219" s="2"/>
      <c r="G219" s="2"/>
      <c r="H219" s="2"/>
      <c r="I219" s="2"/>
      <c r="K219" s="2"/>
      <c r="L219" s="2"/>
      <c r="M219" s="2"/>
    </row>
    <row r="220" spans="1:13" x14ac:dyDescent="0.35">
      <c r="A220" s="2"/>
      <c r="B220" s="2"/>
      <c r="C220" s="2"/>
      <c r="D220" s="2"/>
      <c r="E220" s="2"/>
      <c r="F220" s="2"/>
      <c r="G220" s="2"/>
      <c r="H220" s="2"/>
      <c r="I220" s="2"/>
      <c r="K220" s="2"/>
      <c r="L220" s="2"/>
      <c r="M220" s="2"/>
    </row>
    <row r="221" spans="1:13" x14ac:dyDescent="0.35">
      <c r="A221" s="2"/>
      <c r="B221" s="2"/>
      <c r="C221" s="2"/>
      <c r="D221" s="2"/>
      <c r="E221" s="2"/>
      <c r="F221" s="2"/>
      <c r="G221" s="2"/>
      <c r="H221" s="2"/>
      <c r="I221" s="2"/>
      <c r="K221" s="2"/>
      <c r="L221" s="2"/>
      <c r="M221" s="2"/>
    </row>
    <row r="222" spans="1:13" x14ac:dyDescent="0.35">
      <c r="A222" s="2"/>
      <c r="B222" s="2"/>
      <c r="C222" s="2"/>
      <c r="D222" s="2"/>
      <c r="E222" s="2"/>
      <c r="F222" s="2"/>
      <c r="G222" s="2"/>
      <c r="H222" s="2"/>
      <c r="I222" s="2"/>
      <c r="K222" s="2"/>
      <c r="L222" s="2"/>
      <c r="M222" s="2"/>
    </row>
    <row r="223" spans="1:13" x14ac:dyDescent="0.35">
      <c r="A223" s="2"/>
      <c r="B223" s="2"/>
      <c r="C223" s="2"/>
      <c r="D223" s="2"/>
      <c r="E223" s="2"/>
      <c r="F223" s="2"/>
      <c r="G223" s="2"/>
      <c r="H223" s="2"/>
      <c r="I223" s="2"/>
      <c r="K223" s="2"/>
      <c r="L223" s="2"/>
      <c r="M223" s="2"/>
    </row>
    <row r="224" spans="1:13" x14ac:dyDescent="0.35">
      <c r="A224" s="2"/>
      <c r="B224" s="2"/>
      <c r="C224" s="2"/>
      <c r="D224" s="2"/>
      <c r="E224" s="2"/>
      <c r="F224" s="2"/>
      <c r="G224" s="2"/>
      <c r="H224" s="2"/>
      <c r="I224" s="2"/>
      <c r="K224" s="2"/>
      <c r="L224" s="2"/>
      <c r="M224" s="2"/>
    </row>
    <row r="225" spans="1:13" x14ac:dyDescent="0.35">
      <c r="A225" s="2"/>
      <c r="B225" s="2"/>
      <c r="C225" s="2"/>
      <c r="D225" s="2"/>
      <c r="E225" s="2"/>
      <c r="F225" s="2"/>
      <c r="G225" s="2"/>
      <c r="H225" s="2"/>
      <c r="I225" s="2"/>
      <c r="K225" s="2"/>
      <c r="L225" s="2"/>
      <c r="M225" s="2"/>
    </row>
    <row r="226" spans="1:13" x14ac:dyDescent="0.35">
      <c r="A226" s="2"/>
      <c r="B226" s="2"/>
      <c r="C226" s="2"/>
      <c r="D226" s="2"/>
      <c r="E226" s="2"/>
      <c r="F226" s="2"/>
      <c r="G226" s="2"/>
      <c r="H226" s="2"/>
      <c r="I226" s="2"/>
      <c r="K226" s="2"/>
      <c r="L226" s="2"/>
      <c r="M226" s="2"/>
    </row>
    <row r="227" spans="1:13" x14ac:dyDescent="0.35">
      <c r="A227" s="2"/>
      <c r="B227" s="2"/>
      <c r="C227" s="2"/>
      <c r="D227" s="2"/>
      <c r="E227" s="2"/>
      <c r="F227" s="2"/>
      <c r="G227" s="2"/>
      <c r="H227" s="2"/>
      <c r="I227" s="2"/>
      <c r="K227" s="2"/>
      <c r="L227" s="2"/>
      <c r="M227" s="2"/>
    </row>
    <row r="228" spans="1:13" x14ac:dyDescent="0.35">
      <c r="A228" s="2"/>
      <c r="B228" s="2"/>
      <c r="C228" s="2"/>
      <c r="D228" s="2"/>
      <c r="E228" s="2"/>
      <c r="F228" s="2"/>
      <c r="G228" s="2"/>
      <c r="H228" s="2"/>
      <c r="I228" s="2"/>
      <c r="K228" s="2"/>
      <c r="L228" s="2"/>
      <c r="M228" s="2"/>
    </row>
    <row r="229" spans="1:13" x14ac:dyDescent="0.35">
      <c r="A229" s="2"/>
      <c r="B229" s="2"/>
      <c r="C229" s="2"/>
      <c r="D229" s="2"/>
      <c r="E229" s="2"/>
      <c r="F229" s="2"/>
      <c r="G229" s="2"/>
      <c r="H229" s="2"/>
      <c r="I229" s="2"/>
      <c r="K229" s="2"/>
      <c r="L229" s="2"/>
      <c r="M229" s="2"/>
    </row>
    <row r="230" spans="1:13" x14ac:dyDescent="0.35">
      <c r="A230" s="2"/>
      <c r="B230" s="2"/>
      <c r="C230" s="2"/>
      <c r="D230" s="2"/>
      <c r="E230" s="2"/>
      <c r="F230" s="2"/>
      <c r="G230" s="2"/>
      <c r="H230" s="2"/>
      <c r="I230" s="2"/>
      <c r="K230" s="2"/>
      <c r="L230" s="2"/>
      <c r="M230" s="2"/>
    </row>
    <row r="231" spans="1:13" x14ac:dyDescent="0.35">
      <c r="A231" s="2"/>
      <c r="B231" s="2"/>
      <c r="C231" s="2"/>
      <c r="D231" s="2"/>
      <c r="E231" s="2"/>
      <c r="F231" s="2"/>
      <c r="G231" s="2"/>
      <c r="H231" s="2"/>
      <c r="I231" s="2"/>
      <c r="K231" s="2"/>
      <c r="L231" s="2"/>
      <c r="M231" s="2"/>
    </row>
    <row r="232" spans="1:13" x14ac:dyDescent="0.35">
      <c r="A232" s="2"/>
      <c r="B232" s="2"/>
      <c r="C232" s="2"/>
      <c r="D232" s="2"/>
      <c r="E232" s="2"/>
      <c r="F232" s="2"/>
      <c r="G232" s="2"/>
      <c r="H232" s="2"/>
      <c r="I232" s="2"/>
      <c r="K232" s="2"/>
      <c r="L232" s="2"/>
      <c r="M232" s="2"/>
    </row>
    <row r="233" spans="1:13" x14ac:dyDescent="0.35">
      <c r="A233" s="2"/>
      <c r="B233" s="2"/>
      <c r="C233" s="2"/>
      <c r="D233" s="2"/>
      <c r="E233" s="2"/>
      <c r="F233" s="2"/>
      <c r="G233" s="2"/>
      <c r="H233" s="2"/>
      <c r="I233" s="2"/>
      <c r="K233" s="2"/>
      <c r="L233" s="2"/>
      <c r="M233" s="2"/>
    </row>
    <row r="234" spans="1:13" x14ac:dyDescent="0.35">
      <c r="A234" s="2"/>
      <c r="B234" s="2"/>
      <c r="C234" s="2"/>
      <c r="D234" s="2"/>
      <c r="E234" s="2"/>
      <c r="F234" s="2"/>
      <c r="G234" s="2"/>
      <c r="H234" s="2"/>
      <c r="I234" s="2"/>
      <c r="K234" s="2"/>
      <c r="L234" s="2"/>
      <c r="M234" s="2"/>
    </row>
    <row r="235" spans="1:13" x14ac:dyDescent="0.35">
      <c r="A235" s="2"/>
      <c r="B235" s="2"/>
      <c r="C235" s="2"/>
      <c r="D235" s="2"/>
      <c r="E235" s="2"/>
      <c r="F235" s="2"/>
      <c r="G235" s="2"/>
      <c r="H235" s="2"/>
      <c r="I235" s="2"/>
      <c r="K235" s="2"/>
      <c r="L235" s="2"/>
      <c r="M235" s="2"/>
    </row>
    <row r="236" spans="1:13" x14ac:dyDescent="0.35">
      <c r="A236" s="2"/>
      <c r="B236" s="2"/>
      <c r="C236" s="2"/>
      <c r="D236" s="2"/>
      <c r="E236" s="2"/>
      <c r="F236" s="2"/>
      <c r="G236" s="2"/>
      <c r="H236" s="2"/>
      <c r="I236" s="2"/>
      <c r="K236" s="2"/>
      <c r="L236" s="2"/>
      <c r="M236" s="2"/>
    </row>
    <row r="237" spans="1:13" x14ac:dyDescent="0.35">
      <c r="A237" s="2"/>
      <c r="B237" s="2"/>
      <c r="C237" s="2"/>
      <c r="D237" s="2"/>
      <c r="E237" s="2"/>
      <c r="F237" s="2"/>
      <c r="G237" s="2"/>
      <c r="H237" s="2"/>
      <c r="I237" s="2"/>
      <c r="K237" s="2"/>
      <c r="L237" s="2"/>
      <c r="M237" s="2"/>
    </row>
    <row r="238" spans="1:13" x14ac:dyDescent="0.35">
      <c r="A238" s="2"/>
      <c r="B238" s="2"/>
      <c r="C238" s="2"/>
      <c r="D238" s="2"/>
      <c r="E238" s="2"/>
      <c r="F238" s="2"/>
      <c r="G238" s="2"/>
      <c r="H238" s="2"/>
      <c r="I238" s="2"/>
      <c r="K238" s="2"/>
      <c r="L238" s="2"/>
      <c r="M238" s="2"/>
    </row>
    <row r="239" spans="1:13" x14ac:dyDescent="0.35">
      <c r="A239" s="2"/>
      <c r="B239" s="2"/>
      <c r="C239" s="2"/>
      <c r="D239" s="2"/>
      <c r="E239" s="2"/>
      <c r="F239" s="2"/>
      <c r="G239" s="2"/>
      <c r="H239" s="2"/>
      <c r="I239" s="2"/>
      <c r="K239" s="2"/>
      <c r="L239" s="2"/>
      <c r="M239" s="2"/>
    </row>
    <row r="240" spans="1:13" x14ac:dyDescent="0.35">
      <c r="A240" s="2"/>
      <c r="B240" s="2"/>
      <c r="C240" s="2"/>
      <c r="D240" s="2"/>
      <c r="E240" s="2"/>
      <c r="F240" s="2"/>
      <c r="G240" s="2"/>
      <c r="H240" s="2"/>
      <c r="I240" s="2"/>
      <c r="K240" s="2"/>
      <c r="L240" s="2"/>
      <c r="M240" s="2"/>
    </row>
    <row r="241" spans="1:13" x14ac:dyDescent="0.35">
      <c r="A241" s="2"/>
      <c r="B241" s="2"/>
      <c r="C241" s="2"/>
      <c r="D241" s="2"/>
      <c r="E241" s="2"/>
      <c r="F241" s="2"/>
      <c r="G241" s="2"/>
      <c r="H241" s="2"/>
      <c r="I241" s="2"/>
      <c r="K241" s="2"/>
      <c r="L241" s="2"/>
      <c r="M241" s="2"/>
    </row>
    <row r="242" spans="1:13" x14ac:dyDescent="0.35">
      <c r="A242" s="2"/>
      <c r="B242" s="2"/>
      <c r="C242" s="2"/>
      <c r="D242" s="2"/>
      <c r="E242" s="2"/>
      <c r="F242" s="2"/>
      <c r="G242" s="2"/>
      <c r="H242" s="2"/>
      <c r="I242" s="2"/>
      <c r="K242" s="2"/>
      <c r="L242" s="2"/>
      <c r="M242" s="2"/>
    </row>
    <row r="243" spans="1:13" x14ac:dyDescent="0.35">
      <c r="A243" s="2"/>
      <c r="B243" s="2"/>
      <c r="C243" s="2"/>
      <c r="D243" s="2"/>
      <c r="E243" s="2"/>
      <c r="F243" s="2"/>
      <c r="G243" s="2"/>
      <c r="H243" s="2"/>
      <c r="I243" s="2"/>
      <c r="K243" s="2"/>
      <c r="L243" s="2"/>
      <c r="M243" s="2"/>
    </row>
    <row r="244" spans="1:13" x14ac:dyDescent="0.35">
      <c r="A244" s="2"/>
      <c r="B244" s="2"/>
      <c r="C244" s="2"/>
      <c r="D244" s="2"/>
      <c r="E244" s="2"/>
      <c r="F244" s="2"/>
      <c r="G244" s="2"/>
      <c r="H244" s="2"/>
      <c r="I244" s="2"/>
      <c r="K244" s="2"/>
      <c r="L244" s="2"/>
      <c r="M244" s="2"/>
    </row>
    <row r="245" spans="1:13" x14ac:dyDescent="0.35">
      <c r="A245" s="2"/>
      <c r="B245" s="2"/>
      <c r="C245" s="2"/>
      <c r="D245" s="2"/>
      <c r="E245" s="2"/>
      <c r="F245" s="2"/>
      <c r="G245" s="2"/>
      <c r="H245" s="2"/>
      <c r="I245" s="2"/>
      <c r="K245" s="2"/>
      <c r="L245" s="2"/>
      <c r="M245" s="2"/>
    </row>
    <row r="246" spans="1:13" x14ac:dyDescent="0.35">
      <c r="A246" s="2"/>
      <c r="B246" s="2"/>
      <c r="C246" s="2"/>
      <c r="D246" s="2"/>
      <c r="E246" s="2"/>
      <c r="F246" s="2"/>
      <c r="G246" s="2"/>
      <c r="H246" s="2"/>
      <c r="I246" s="2"/>
      <c r="K246" s="2"/>
      <c r="L246" s="2"/>
      <c r="M246" s="2"/>
    </row>
    <row r="247" spans="1:13" x14ac:dyDescent="0.35">
      <c r="A247" s="2"/>
      <c r="B247" s="2"/>
      <c r="C247" s="2"/>
      <c r="D247" s="2"/>
      <c r="E247" s="2"/>
      <c r="F247" s="2"/>
      <c r="G247" s="2"/>
      <c r="H247" s="2"/>
      <c r="I247" s="2"/>
      <c r="K247" s="2"/>
      <c r="L247" s="2"/>
      <c r="M247" s="2"/>
    </row>
    <row r="248" spans="1:13" x14ac:dyDescent="0.35">
      <c r="A248" s="2"/>
      <c r="B248" s="2"/>
      <c r="C248" s="2"/>
      <c r="D248" s="2"/>
      <c r="E248" s="2"/>
      <c r="F248" s="2"/>
      <c r="G248" s="2"/>
      <c r="H248" s="2"/>
      <c r="I248" s="2"/>
      <c r="K248" s="2"/>
      <c r="L248" s="2"/>
      <c r="M248" s="2"/>
    </row>
    <row r="249" spans="1:13" x14ac:dyDescent="0.35">
      <c r="A249" s="2"/>
      <c r="B249" s="2"/>
      <c r="C249" s="2"/>
      <c r="D249" s="2"/>
      <c r="E249" s="2"/>
      <c r="F249" s="2"/>
      <c r="G249" s="2"/>
      <c r="H249" s="2"/>
      <c r="I249" s="2"/>
      <c r="K249" s="2"/>
      <c r="L249" s="2"/>
      <c r="M249" s="2"/>
    </row>
    <row r="250" spans="1:13" x14ac:dyDescent="0.35">
      <c r="A250" s="2"/>
      <c r="B250" s="2"/>
      <c r="C250" s="2"/>
      <c r="D250" s="2"/>
      <c r="E250" s="2"/>
      <c r="F250" s="2"/>
      <c r="G250" s="2"/>
      <c r="H250" s="2"/>
      <c r="I250" s="2"/>
      <c r="K250" s="2"/>
      <c r="L250" s="2"/>
      <c r="M250" s="2"/>
    </row>
    <row r="251" spans="1:13" x14ac:dyDescent="0.35">
      <c r="A251" s="2"/>
      <c r="B251" s="2"/>
      <c r="C251" s="2"/>
      <c r="D251" s="2"/>
      <c r="E251" s="2"/>
      <c r="F251" s="2"/>
      <c r="G251" s="2"/>
      <c r="H251" s="2"/>
      <c r="I251" s="2"/>
      <c r="K251" s="2"/>
      <c r="L251" s="2"/>
      <c r="M251" s="2"/>
    </row>
    <row r="252" spans="1:13" x14ac:dyDescent="0.35">
      <c r="A252" s="2"/>
      <c r="B252" s="2"/>
      <c r="C252" s="2"/>
      <c r="D252" s="2"/>
      <c r="E252" s="2"/>
      <c r="F252" s="2"/>
      <c r="G252" s="2"/>
      <c r="H252" s="2"/>
      <c r="I252" s="2"/>
      <c r="K252" s="2"/>
      <c r="L252" s="2"/>
      <c r="M252" s="2"/>
    </row>
    <row r="253" spans="1:13" x14ac:dyDescent="0.35">
      <c r="A253" s="2"/>
      <c r="B253" s="2"/>
      <c r="C253" s="2"/>
      <c r="D253" s="2"/>
      <c r="E253" s="2"/>
      <c r="F253" s="2"/>
      <c r="G253" s="2"/>
      <c r="H253" s="2"/>
      <c r="I253" s="2"/>
      <c r="K253" s="2"/>
      <c r="L253" s="2"/>
      <c r="M253" s="2"/>
    </row>
    <row r="254" spans="1:13" x14ac:dyDescent="0.35">
      <c r="A254" s="2"/>
      <c r="B254" s="2"/>
      <c r="C254" s="2"/>
      <c r="D254" s="2"/>
      <c r="E254" s="2"/>
      <c r="F254" s="2"/>
      <c r="G254" s="2"/>
      <c r="H254" s="2"/>
      <c r="I254" s="2"/>
      <c r="K254" s="2"/>
      <c r="L254" s="2"/>
      <c r="M254" s="2"/>
    </row>
    <row r="255" spans="1:13" x14ac:dyDescent="0.35">
      <c r="A255" s="2"/>
      <c r="B255" s="2"/>
      <c r="C255" s="2"/>
      <c r="D255" s="2"/>
      <c r="E255" s="2"/>
      <c r="F255" s="2"/>
      <c r="G255" s="2"/>
      <c r="H255" s="2"/>
      <c r="I255" s="2"/>
      <c r="K255" s="2"/>
      <c r="L255" s="2"/>
      <c r="M255" s="2"/>
    </row>
    <row r="256" spans="1:13" x14ac:dyDescent="0.35">
      <c r="A256" s="2"/>
      <c r="B256" s="2"/>
      <c r="C256" s="2"/>
      <c r="D256" s="2"/>
      <c r="E256" s="2"/>
      <c r="F256" s="2"/>
      <c r="G256" s="2"/>
      <c r="H256" s="2"/>
      <c r="I256" s="2"/>
      <c r="K256" s="2"/>
      <c r="L256" s="2"/>
      <c r="M256" s="2"/>
    </row>
    <row r="257" spans="1:13" x14ac:dyDescent="0.35">
      <c r="A257" s="2"/>
      <c r="B257" s="2"/>
      <c r="C257" s="2"/>
      <c r="D257" s="2"/>
      <c r="E257" s="2"/>
      <c r="F257" s="2"/>
      <c r="G257" s="2"/>
      <c r="H257" s="2"/>
      <c r="I257" s="2"/>
      <c r="K257" s="2"/>
      <c r="L257" s="2"/>
      <c r="M257" s="2"/>
    </row>
    <row r="258" spans="1:13" x14ac:dyDescent="0.35">
      <c r="A258" s="2"/>
      <c r="B258" s="2"/>
      <c r="C258" s="2"/>
      <c r="D258" s="2"/>
      <c r="E258" s="2"/>
      <c r="F258" s="2"/>
      <c r="G258" s="2"/>
      <c r="H258" s="2"/>
      <c r="I258" s="2"/>
      <c r="K258" s="2"/>
      <c r="L258" s="2"/>
      <c r="M258" s="2"/>
    </row>
    <row r="259" spans="1:13" x14ac:dyDescent="0.35">
      <c r="A259" s="2"/>
      <c r="B259" s="2"/>
      <c r="C259" s="2"/>
      <c r="D259" s="2"/>
      <c r="E259" s="2"/>
      <c r="F259" s="2"/>
      <c r="G259" s="2"/>
      <c r="H259" s="2"/>
      <c r="I259" s="2"/>
      <c r="K259" s="2"/>
      <c r="L259" s="2"/>
      <c r="M259" s="2"/>
    </row>
    <row r="260" spans="1:13" x14ac:dyDescent="0.35">
      <c r="A260" s="2"/>
      <c r="B260" s="2"/>
      <c r="C260" s="2"/>
      <c r="D260" s="2"/>
      <c r="E260" s="2"/>
      <c r="F260" s="2"/>
      <c r="G260" s="2"/>
      <c r="H260" s="2"/>
      <c r="I260" s="2"/>
      <c r="K260" s="2"/>
      <c r="L260" s="2"/>
      <c r="M260" s="2"/>
    </row>
    <row r="261" spans="1:13" x14ac:dyDescent="0.35">
      <c r="A261" s="2"/>
      <c r="B261" s="2"/>
      <c r="C261" s="2"/>
      <c r="D261" s="2"/>
      <c r="E261" s="2"/>
      <c r="F261" s="2"/>
      <c r="G261" s="2"/>
      <c r="H261" s="2"/>
      <c r="I261" s="2"/>
      <c r="K261" s="2"/>
      <c r="L261" s="2"/>
      <c r="M261" s="2"/>
    </row>
    <row r="262" spans="1:13" x14ac:dyDescent="0.35">
      <c r="A262" s="2"/>
      <c r="B262" s="2"/>
      <c r="C262" s="2"/>
      <c r="D262" s="2"/>
      <c r="E262" s="2"/>
      <c r="F262" s="2"/>
      <c r="G262" s="2"/>
      <c r="H262" s="2"/>
      <c r="I262" s="2"/>
      <c r="K262" s="2"/>
      <c r="L262" s="2"/>
      <c r="M262" s="2"/>
    </row>
    <row r="263" spans="1:13" x14ac:dyDescent="0.35">
      <c r="A263" s="2"/>
      <c r="B263" s="2"/>
      <c r="C263" s="2"/>
      <c r="D263" s="2"/>
      <c r="E263" s="2"/>
      <c r="F263" s="2"/>
      <c r="G263" s="2"/>
      <c r="H263" s="2"/>
      <c r="I263" s="2"/>
      <c r="K263" s="2"/>
      <c r="L263" s="2"/>
      <c r="M263" s="2"/>
    </row>
    <row r="264" spans="1:13" x14ac:dyDescent="0.35">
      <c r="A264" s="2"/>
      <c r="B264" s="2"/>
      <c r="C264" s="2"/>
      <c r="D264" s="2"/>
      <c r="E264" s="2"/>
      <c r="F264" s="2"/>
      <c r="G264" s="2"/>
      <c r="H264" s="2"/>
      <c r="I264" s="2"/>
      <c r="K264" s="2"/>
      <c r="L264" s="2"/>
      <c r="M264" s="2"/>
    </row>
    <row r="265" spans="1:13" x14ac:dyDescent="0.35">
      <c r="A265" s="2"/>
      <c r="B265" s="2"/>
      <c r="C265" s="2"/>
      <c r="D265" s="2"/>
      <c r="E265" s="2"/>
      <c r="F265" s="2"/>
      <c r="G265" s="2"/>
      <c r="H265" s="2"/>
      <c r="I265" s="2"/>
      <c r="K265" s="2"/>
      <c r="L265" s="2"/>
      <c r="M265" s="2"/>
    </row>
    <row r="266" spans="1:13" x14ac:dyDescent="0.35">
      <c r="A266" s="2"/>
      <c r="B266" s="2"/>
      <c r="C266" s="2"/>
      <c r="D266" s="2"/>
      <c r="E266" s="2"/>
      <c r="F266" s="2"/>
      <c r="G266" s="2"/>
      <c r="H266" s="2"/>
      <c r="I266" s="2"/>
      <c r="K266" s="2"/>
      <c r="L266" s="2"/>
      <c r="M266" s="2"/>
    </row>
    <row r="267" spans="1:13" x14ac:dyDescent="0.35">
      <c r="A267" s="2"/>
      <c r="B267" s="2"/>
      <c r="C267" s="2"/>
      <c r="D267" s="2"/>
      <c r="E267" s="2"/>
      <c r="F267" s="2"/>
      <c r="G267" s="2"/>
      <c r="H267" s="2"/>
      <c r="I267" s="2"/>
      <c r="K267" s="2"/>
      <c r="L267" s="2"/>
      <c r="M267" s="2"/>
    </row>
    <row r="268" spans="1:13" x14ac:dyDescent="0.35">
      <c r="A268" s="2"/>
      <c r="B268" s="2"/>
      <c r="C268" s="2"/>
      <c r="D268" s="2"/>
      <c r="E268" s="2"/>
      <c r="F268" s="2"/>
      <c r="G268" s="2"/>
      <c r="H268" s="2"/>
      <c r="I268" s="2"/>
      <c r="K268" s="2"/>
      <c r="L268" s="2"/>
      <c r="M268" s="2"/>
    </row>
    <row r="269" spans="1:13" x14ac:dyDescent="0.35">
      <c r="A269" s="2"/>
      <c r="B269" s="2"/>
      <c r="C269" s="2"/>
      <c r="D269" s="2"/>
      <c r="E269" s="2"/>
      <c r="F269" s="2"/>
      <c r="G269" s="2"/>
      <c r="H269" s="2"/>
      <c r="I269" s="2"/>
      <c r="K269" s="2"/>
      <c r="L269" s="2"/>
      <c r="M269" s="2"/>
    </row>
    <row r="270" spans="1:13" x14ac:dyDescent="0.35">
      <c r="A270" s="2"/>
      <c r="B270" s="2"/>
      <c r="C270" s="2"/>
      <c r="D270" s="2"/>
      <c r="E270" s="2"/>
      <c r="F270" s="2"/>
      <c r="G270" s="2"/>
      <c r="H270" s="2"/>
      <c r="I270" s="2"/>
      <c r="K270" s="2"/>
      <c r="L270" s="2"/>
      <c r="M270" s="2"/>
    </row>
    <row r="271" spans="1:13" x14ac:dyDescent="0.35">
      <c r="A271" s="2"/>
      <c r="B271" s="2"/>
      <c r="C271" s="2"/>
      <c r="D271" s="2"/>
      <c r="E271" s="2"/>
      <c r="F271" s="2"/>
      <c r="G271" s="2"/>
      <c r="H271" s="2"/>
      <c r="I271" s="2"/>
      <c r="K271" s="2"/>
      <c r="L271" s="2"/>
      <c r="M271" s="2"/>
    </row>
    <row r="272" spans="1:13" x14ac:dyDescent="0.35">
      <c r="A272" s="2"/>
      <c r="B272" s="2"/>
      <c r="C272" s="2"/>
      <c r="D272" s="2"/>
      <c r="E272" s="2"/>
      <c r="F272" s="2"/>
      <c r="G272" s="2"/>
      <c r="H272" s="2"/>
      <c r="I272" s="2"/>
      <c r="K272" s="2"/>
      <c r="L272" s="2"/>
      <c r="M272" s="2"/>
    </row>
    <row r="273" spans="1:13" x14ac:dyDescent="0.35">
      <c r="A273" s="2"/>
      <c r="B273" s="2"/>
      <c r="C273" s="2"/>
      <c r="D273" s="2"/>
      <c r="E273" s="2"/>
      <c r="F273" s="2"/>
      <c r="G273" s="2"/>
      <c r="H273" s="2"/>
      <c r="I273" s="2"/>
      <c r="K273" s="2"/>
      <c r="L273" s="2"/>
      <c r="M273" s="2"/>
    </row>
    <row r="274" spans="1:13" x14ac:dyDescent="0.35">
      <c r="A274" s="2"/>
      <c r="B274" s="2"/>
      <c r="C274" s="2"/>
      <c r="D274" s="2"/>
      <c r="E274" s="2"/>
      <c r="F274" s="2"/>
      <c r="G274" s="2"/>
      <c r="H274" s="2"/>
      <c r="I274" s="2"/>
      <c r="K274" s="2"/>
      <c r="L274" s="2"/>
      <c r="M274" s="2"/>
    </row>
  </sheetData>
  <printOptions horizontalCentered="1"/>
  <pageMargins left="0" right="0.15" top="0.63" bottom="0.36" header="0.22" footer="0.17"/>
  <pageSetup scale="66" orientation="landscape" r:id="rId1"/>
  <headerFooter alignWithMargins="0">
    <oddHeader xml:space="preserve">&amp;L&amp;"Times New Roman,Bold"&amp;12REVISED AS OF &amp;D&amp;C&amp;"Times New Roman,Bold"UNIVERSITY of SOUTHERN CALIFORNIA
Statement of Activities
USC, Norris, REDC,  USC Care, AMI-USC, ICT Productions and APF
Restated for Publication &amp;R
</oddHeader>
    <oddFooter>&amp;Cpage &amp;P+1&amp;R&amp;Z&amp;F\&amp;A : &amp;D</oddFooter>
  </headerFooter>
  <colBreaks count="1" manualBreakCount="1">
    <brk id="6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Q274"/>
  <sheetViews>
    <sheetView showZeros="0" topLeftCell="A8" zoomScaleNormal="100" workbookViewId="0">
      <pane xSplit="1" ySplit="6" topLeftCell="B14" activePane="bottomRight" state="frozen"/>
      <selection activeCell="A8" sqref="A8"/>
      <selection pane="topRight" activeCell="B8" sqref="B8"/>
      <selection pane="bottomLeft" activeCell="A14" sqref="A14"/>
      <selection pane="bottomRight" activeCell="M8" sqref="M1:M1048576"/>
    </sheetView>
  </sheetViews>
  <sheetFormatPr defaultColWidth="9.1171875" defaultRowHeight="10.35" x14ac:dyDescent="0.35"/>
  <cols>
    <col min="1" max="1" width="35.87890625" style="1" customWidth="1"/>
    <col min="2" max="5" width="15.29296875" style="1" customWidth="1"/>
    <col min="6" max="7" width="16.29296875" style="1" bestFit="1" customWidth="1"/>
    <col min="8" max="8" width="15.29296875" style="1" customWidth="1"/>
    <col min="9" max="9" width="16.29296875" style="1" bestFit="1" customWidth="1"/>
    <col min="10" max="10" width="2.41015625" style="2" customWidth="1"/>
    <col min="11" max="12" width="16.29296875" style="1" bestFit="1" customWidth="1"/>
    <col min="13" max="13" width="16.1171875" style="1" customWidth="1"/>
    <col min="14" max="16384" width="9.1171875" style="1"/>
  </cols>
  <sheetData>
    <row r="1" spans="1:13" x14ac:dyDescent="0.35">
      <c r="A1" s="2"/>
    </row>
    <row r="3" spans="1:13" x14ac:dyDescent="0.35">
      <c r="M3" s="2"/>
    </row>
    <row r="4" spans="1:13" x14ac:dyDescent="0.35">
      <c r="M4" s="2"/>
    </row>
    <row r="5" spans="1:13" x14ac:dyDescent="0.35">
      <c r="B5" s="2"/>
      <c r="I5" s="82"/>
      <c r="J5" s="81"/>
      <c r="K5" s="81"/>
      <c r="L5" s="81"/>
      <c r="M5" s="68" t="s">
        <v>87</v>
      </c>
    </row>
    <row r="6" spans="1:13" ht="9.75" customHeight="1" thickBot="1" x14ac:dyDescent="0.4">
      <c r="A6" s="2"/>
      <c r="B6" s="2"/>
      <c r="C6" s="70"/>
      <c r="D6" s="70"/>
      <c r="E6" s="71"/>
      <c r="F6" s="70"/>
      <c r="G6" s="70"/>
      <c r="H6" s="71"/>
      <c r="I6" s="80"/>
      <c r="J6" s="80"/>
      <c r="K6" s="80"/>
      <c r="L6" s="80"/>
      <c r="M6" s="79" t="s">
        <v>117</v>
      </c>
    </row>
    <row r="7" spans="1:13" ht="9.75" customHeight="1" x14ac:dyDescent="0.35">
      <c r="A7" s="2"/>
      <c r="B7" s="78"/>
      <c r="C7" s="70"/>
      <c r="D7" s="70"/>
      <c r="E7" s="71"/>
      <c r="F7" s="70"/>
      <c r="G7" s="70"/>
      <c r="H7" s="71"/>
      <c r="I7" s="63"/>
      <c r="J7" s="63"/>
      <c r="K7" s="63"/>
      <c r="L7" s="63"/>
      <c r="M7" s="77"/>
    </row>
    <row r="8" spans="1:13" ht="9.75" customHeight="1" x14ac:dyDescent="0.35">
      <c r="A8" s="2"/>
      <c r="B8" s="78" t="s">
        <v>73</v>
      </c>
      <c r="C8" s="70"/>
      <c r="D8" s="70"/>
      <c r="E8" s="71"/>
      <c r="F8" s="70"/>
      <c r="G8" s="70"/>
      <c r="H8" s="71"/>
      <c r="I8" s="63"/>
      <c r="J8" s="63"/>
      <c r="K8" s="63"/>
      <c r="L8" s="63"/>
      <c r="M8" s="77"/>
    </row>
    <row r="9" spans="1:13" ht="9.75" customHeight="1" x14ac:dyDescent="0.35">
      <c r="A9" s="2"/>
      <c r="B9" s="76" t="s">
        <v>62</v>
      </c>
      <c r="C9" s="70"/>
      <c r="D9" s="70"/>
      <c r="E9" s="71"/>
      <c r="F9" s="70"/>
      <c r="G9" s="70"/>
      <c r="H9" s="71"/>
      <c r="I9" s="63"/>
      <c r="J9" s="63"/>
      <c r="K9" s="63"/>
      <c r="L9" s="63"/>
      <c r="M9" s="63"/>
    </row>
    <row r="10" spans="1:13" ht="9.75" customHeight="1" x14ac:dyDescent="0.35">
      <c r="A10" s="2"/>
      <c r="B10" s="11"/>
      <c r="C10" s="11"/>
      <c r="D10" s="75" t="s">
        <v>85</v>
      </c>
      <c r="E10" s="74"/>
      <c r="F10" s="11"/>
      <c r="G10" s="11"/>
      <c r="H10" s="74"/>
      <c r="I10" s="73"/>
      <c r="J10" s="63"/>
      <c r="K10" s="63"/>
      <c r="L10" s="63"/>
      <c r="M10" s="63"/>
    </row>
    <row r="11" spans="1:13" ht="9.75" customHeight="1" x14ac:dyDescent="0.35">
      <c r="A11" s="2"/>
      <c r="B11" s="13"/>
      <c r="C11" s="13"/>
      <c r="D11" s="72" t="s">
        <v>84</v>
      </c>
      <c r="E11" s="67" t="s">
        <v>83</v>
      </c>
      <c r="F11" s="13"/>
      <c r="G11" s="2"/>
      <c r="H11" s="71"/>
      <c r="I11" s="68" t="s">
        <v>71</v>
      </c>
      <c r="J11" s="63"/>
      <c r="K11" s="68" t="s">
        <v>82</v>
      </c>
      <c r="L11" s="69" t="s">
        <v>81</v>
      </c>
      <c r="M11" s="63"/>
    </row>
    <row r="12" spans="1:13" ht="9.75" customHeight="1" x14ac:dyDescent="0.35">
      <c r="A12" s="2"/>
      <c r="B12" s="13" t="s">
        <v>79</v>
      </c>
      <c r="C12" s="13" t="s">
        <v>78</v>
      </c>
      <c r="D12" s="67" t="s">
        <v>77</v>
      </c>
      <c r="E12" s="67" t="s">
        <v>77</v>
      </c>
      <c r="F12" s="13" t="s">
        <v>76</v>
      </c>
      <c r="G12" s="13" t="s">
        <v>75</v>
      </c>
      <c r="H12" s="13" t="s">
        <v>74</v>
      </c>
      <c r="I12" s="69" t="s">
        <v>73</v>
      </c>
      <c r="J12" s="63"/>
      <c r="K12" s="68" t="s">
        <v>72</v>
      </c>
      <c r="L12" s="68" t="s">
        <v>72</v>
      </c>
      <c r="M12" s="68" t="s">
        <v>71</v>
      </c>
    </row>
    <row r="13" spans="1:13" ht="9.75" customHeight="1" x14ac:dyDescent="0.35">
      <c r="A13" s="2"/>
      <c r="B13" s="66" t="s">
        <v>69</v>
      </c>
      <c r="C13" s="66" t="s">
        <v>68</v>
      </c>
      <c r="D13" s="67" t="s">
        <v>67</v>
      </c>
      <c r="E13" s="66" t="s">
        <v>66</v>
      </c>
      <c r="F13" s="66" t="s">
        <v>65</v>
      </c>
      <c r="G13" s="66" t="s">
        <v>64</v>
      </c>
      <c r="H13" s="66" t="s">
        <v>63</v>
      </c>
      <c r="I13" s="65" t="s">
        <v>62</v>
      </c>
      <c r="J13" s="63"/>
      <c r="K13" s="65" t="s">
        <v>62</v>
      </c>
      <c r="L13" s="65" t="s">
        <v>62</v>
      </c>
      <c r="M13" s="65" t="s">
        <v>62</v>
      </c>
    </row>
    <row r="14" spans="1:13" ht="9.75" customHeight="1" x14ac:dyDescent="0.35">
      <c r="A14" s="33" t="s">
        <v>60</v>
      </c>
      <c r="D14" s="9"/>
      <c r="I14" s="64"/>
      <c r="J14" s="63"/>
      <c r="K14" s="62"/>
      <c r="L14" s="62"/>
      <c r="M14" s="62"/>
    </row>
    <row r="15" spans="1:13" ht="9.75" customHeight="1" x14ac:dyDescent="0.35">
      <c r="A15" s="6" t="s">
        <v>59</v>
      </c>
      <c r="B15" s="30">
        <f>ROUND(('[8]Changes FY14'!B15),-3)</f>
        <v>1602331000</v>
      </c>
      <c r="C15" s="20">
        <f>ROUND(('[8]Changes FY14'!C15),-3)</f>
        <v>0</v>
      </c>
      <c r="D15" s="20">
        <f>ROUND(('[8]Changes FY14'!D15),-3)</f>
        <v>0</v>
      </c>
      <c r="E15" s="20">
        <f>ROUND(('[8]Changes FY14'!E15),-3)</f>
        <v>0</v>
      </c>
      <c r="F15" s="20">
        <f>ROUND(('[8]Changes FY14'!F15),-3)</f>
        <v>0</v>
      </c>
      <c r="G15" s="20">
        <f>ROUND(('[8]Changes FY14'!G15),-3)</f>
        <v>0</v>
      </c>
      <c r="H15" s="20">
        <f>ROUND(('[8]Changes FY14'!H15),-3)</f>
        <v>0</v>
      </c>
      <c r="I15" s="32">
        <f t="shared" ref="I15:I30" si="0">SUM(B15:H15)</f>
        <v>1602331000</v>
      </c>
      <c r="J15" s="28"/>
      <c r="K15" s="29">
        <f>ROUND(('[8]Changes FY14'!K15),-3)</f>
        <v>0</v>
      </c>
      <c r="L15" s="29">
        <f>ROUND(('[8]Changes FY14'!L15),-3)</f>
        <v>0</v>
      </c>
      <c r="M15" s="32">
        <f t="shared" ref="M15:M32" si="1">SUM(I15:L15)</f>
        <v>1602331000</v>
      </c>
    </row>
    <row r="16" spans="1:13" ht="9.75" customHeight="1" x14ac:dyDescent="0.35">
      <c r="A16" s="6" t="s">
        <v>58</v>
      </c>
      <c r="B16" s="20">
        <f>ROUND(('[8]Changes FY14'!B16),-3)</f>
        <v>-440014000</v>
      </c>
      <c r="C16" s="20">
        <f>ROUND(('[8]Changes FY14'!C16),-3)</f>
        <v>0</v>
      </c>
      <c r="D16" s="20">
        <f>ROUND(('[8]Changes FY14'!D16),-3)</f>
        <v>0</v>
      </c>
      <c r="E16" s="20">
        <f>ROUND(('[8]Changes FY14'!E16),-3)</f>
        <v>0</v>
      </c>
      <c r="F16" s="20">
        <f>ROUND(('[8]Changes FY14'!F16),-3)</f>
        <v>0</v>
      </c>
      <c r="G16" s="20">
        <f>ROUND(('[8]Changes FY14'!G16),-3)</f>
        <v>0</v>
      </c>
      <c r="H16" s="20">
        <f>ROUND(('[8]Changes FY14'!H16),-3)</f>
        <v>0</v>
      </c>
      <c r="I16" s="28">
        <f t="shared" si="0"/>
        <v>-440014000</v>
      </c>
      <c r="J16" s="28"/>
      <c r="K16" s="29">
        <f>ROUND(('[8]Changes FY14'!K16),-3)</f>
        <v>0</v>
      </c>
      <c r="L16" s="29">
        <f>ROUND(('[8]Changes FY14'!L16),-3)</f>
        <v>0</v>
      </c>
      <c r="M16" s="28">
        <f t="shared" si="1"/>
        <v>-440014000</v>
      </c>
    </row>
    <row r="17" spans="1:13" ht="9.75" customHeight="1" x14ac:dyDescent="0.35">
      <c r="A17" s="61" t="s">
        <v>57</v>
      </c>
      <c r="B17" s="60">
        <f>B16+B15</f>
        <v>1162317000</v>
      </c>
      <c r="C17" s="20">
        <f>ROUND(('[8]Changes FY14'!C17),-3)</f>
        <v>0</v>
      </c>
      <c r="D17" s="20">
        <f>ROUND(('[8]Changes FY14'!D17),-3)</f>
        <v>0</v>
      </c>
      <c r="E17" s="20">
        <f>ROUND(('[8]Changes FY14'!E17),-3)</f>
        <v>0</v>
      </c>
      <c r="F17" s="20">
        <f>ROUND(('[8]Changes FY14'!F17),-3)</f>
        <v>0</v>
      </c>
      <c r="G17" s="20">
        <f>ROUND(('[8]Changes FY14'!G17),-3)</f>
        <v>0</v>
      </c>
      <c r="H17" s="20">
        <f>ROUND(('[8]Changes FY14'!H17),-3)</f>
        <v>0</v>
      </c>
      <c r="I17" s="87">
        <f t="shared" si="0"/>
        <v>1162317000</v>
      </c>
      <c r="J17" s="88"/>
      <c r="K17" s="29">
        <f>ROUND(('[8]Changes FY14'!K17),-3)</f>
        <v>0</v>
      </c>
      <c r="L17" s="29">
        <f>ROUND(('[8]Changes FY14'!L17),-3)</f>
        <v>0</v>
      </c>
      <c r="M17" s="87">
        <f t="shared" si="1"/>
        <v>1162317000</v>
      </c>
    </row>
    <row r="18" spans="1:13" ht="9.75" customHeight="1" x14ac:dyDescent="0.35">
      <c r="A18" s="6" t="s">
        <v>56</v>
      </c>
      <c r="B18" s="20">
        <f>ROUND(('[8]Changes FY14'!B18),-3)</f>
        <v>28310000</v>
      </c>
      <c r="C18" s="20">
        <f>ROUND(('[8]Changes FY14'!C18),-3)</f>
        <v>0</v>
      </c>
      <c r="D18" s="30">
        <f>ROUND(('[8]Changes FY14'!D18),-3)</f>
        <v>22211000</v>
      </c>
      <c r="E18" s="20">
        <f>ROUND(('[8]Changes FY14'!E18),-3)</f>
        <v>0</v>
      </c>
      <c r="F18" s="20">
        <f>ROUND(('[8]Changes FY14'!F18),-3)</f>
        <v>0</v>
      </c>
      <c r="G18" s="20">
        <f>ROUND(('[8]Changes FY14'!G18),-3)</f>
        <v>0</v>
      </c>
      <c r="H18" s="20">
        <f>ROUND(('[8]Changes FY14'!H18),-3)</f>
        <v>0</v>
      </c>
      <c r="I18" s="28">
        <f t="shared" si="0"/>
        <v>50521000</v>
      </c>
      <c r="J18" s="28"/>
      <c r="K18" s="29">
        <f>ROUND(('[8]Changes FY14'!K18),-3)</f>
        <v>0</v>
      </c>
      <c r="L18" s="31">
        <f>ROUND(('[8]Changes FY14'!L18),-3)</f>
        <v>438000</v>
      </c>
      <c r="M18" s="28">
        <f t="shared" si="1"/>
        <v>50959000</v>
      </c>
    </row>
    <row r="19" spans="1:13" ht="9.75" customHeight="1" x14ac:dyDescent="0.35">
      <c r="A19" s="6" t="s">
        <v>55</v>
      </c>
      <c r="B19" s="20">
        <f>ROUND(('[8]Changes FY14'!B19),-3)</f>
        <v>917000</v>
      </c>
      <c r="C19" s="20">
        <f>ROUND(('[8]Changes FY14'!C19),-3)</f>
        <v>0</v>
      </c>
      <c r="D19" s="20">
        <f>ROUND(('[8]Changes FY14'!D19),-3)</f>
        <v>1013000</v>
      </c>
      <c r="E19" s="30">
        <f>ROUND(('[8]Changes FY14'!E19),-3)</f>
        <v>8901000</v>
      </c>
      <c r="F19" s="20">
        <f>ROUND(('[8]Changes FY14'!F19),-3)</f>
        <v>0</v>
      </c>
      <c r="G19" s="20">
        <f>ROUND(('[8]Changes FY14'!G19),-3)</f>
        <v>0</v>
      </c>
      <c r="H19" s="20">
        <f>ROUND(('[8]Changes FY14'!H19),-3)-1000</f>
        <v>-39000</v>
      </c>
      <c r="I19" s="28">
        <f t="shared" si="0"/>
        <v>10792000</v>
      </c>
      <c r="J19" s="28"/>
      <c r="K19" s="31"/>
      <c r="L19" s="29">
        <f>ROUND(('[8]Changes FY14'!L19),-3)</f>
        <v>222000</v>
      </c>
      <c r="M19" s="28">
        <f t="shared" si="1"/>
        <v>11014000</v>
      </c>
    </row>
    <row r="20" spans="1:13" ht="9.75" customHeight="1" x14ac:dyDescent="0.35">
      <c r="A20" s="6" t="s">
        <v>54</v>
      </c>
      <c r="B20" s="20">
        <f>ROUND(('[8]Changes FY14'!B20),-3)</f>
        <v>0</v>
      </c>
      <c r="C20" s="20">
        <f>ROUND(('[8]Changes FY14'!C20),-3)</f>
        <v>0</v>
      </c>
      <c r="D20" s="20">
        <f>ROUND(('[8]Changes FY14'!D20),-3)+1000</f>
        <v>6208000</v>
      </c>
      <c r="E20" s="20">
        <f>ROUND(('[8]Changes FY14'!E20),-3)</f>
        <v>-44000</v>
      </c>
      <c r="F20" s="20">
        <f>ROUND(('[8]Changes FY14'!F20),-3)</f>
        <v>0</v>
      </c>
      <c r="G20" s="30">
        <f>ROUND(('[8]Changes FY14'!G20),-3)</f>
        <v>210770000</v>
      </c>
      <c r="H20" s="20">
        <f>ROUND(('[8]Changes FY14'!H20),-3)</f>
        <v>0</v>
      </c>
      <c r="I20" s="28">
        <f t="shared" si="0"/>
        <v>216934000</v>
      </c>
      <c r="J20" s="28"/>
      <c r="K20" s="31">
        <f>ROUND(('[8]Changes FY14'!K20),-3)</f>
        <v>503164000</v>
      </c>
      <c r="L20" s="29">
        <f>ROUND(('[8]Changes FY14'!L20),-3)</f>
        <v>19239000</v>
      </c>
      <c r="M20" s="28">
        <f t="shared" si="1"/>
        <v>739337000</v>
      </c>
    </row>
    <row r="21" spans="1:13" ht="9.75" customHeight="1" x14ac:dyDescent="0.35">
      <c r="A21" s="6" t="s">
        <v>53</v>
      </c>
      <c r="B21" s="20">
        <f>ROUND(('[8]Changes FY14'!B21),-3)</f>
        <v>0</v>
      </c>
      <c r="C21" s="20">
        <f>ROUND(('[8]Changes FY14'!C21),-3)</f>
        <v>0</v>
      </c>
      <c r="D21" s="20">
        <f>ROUND(('[8]Changes FY14'!D21),-3)</f>
        <v>316269000</v>
      </c>
      <c r="E21" s="20">
        <f>ROUND(('[8]Changes FY14'!E21),-3)</f>
        <v>0</v>
      </c>
      <c r="F21" s="20">
        <f>ROUND(('[8]Changes FY14'!F21),-3)</f>
        <v>0</v>
      </c>
      <c r="G21" s="20">
        <f>ROUND(('[8]Changes FY14'!G21),-3)</f>
        <v>0</v>
      </c>
      <c r="H21" s="20">
        <f>ROUND(('[8]Changes FY14'!H21),-3)</f>
        <v>0</v>
      </c>
      <c r="I21" s="28">
        <f t="shared" si="0"/>
        <v>316269000</v>
      </c>
      <c r="J21" s="28"/>
      <c r="K21" s="29">
        <f>ROUND(('[8]Changes FY14'!K21),-3)</f>
        <v>0</v>
      </c>
      <c r="L21" s="29">
        <f>ROUND(('[8]Changes FY14'!L21),-3)</f>
        <v>0</v>
      </c>
      <c r="M21" s="28">
        <f t="shared" si="1"/>
        <v>316269000</v>
      </c>
    </row>
    <row r="22" spans="1:13" ht="9.75" customHeight="1" x14ac:dyDescent="0.35">
      <c r="A22" s="6" t="s">
        <v>52</v>
      </c>
      <c r="B22" s="20">
        <f>ROUND(('[8]Changes FY14'!B22),-3)</f>
        <v>134690000</v>
      </c>
      <c r="C22" s="20">
        <f>ROUND(('[8]Changes FY14'!C22),-3)</f>
        <v>0</v>
      </c>
      <c r="D22" s="20">
        <f>ROUND(('[8]Changes FY14'!D22),-3)</f>
        <v>1765000</v>
      </c>
      <c r="E22" s="20">
        <f>ROUND(('[8]Changes FY14'!E22),-3)</f>
        <v>0</v>
      </c>
      <c r="F22" s="20">
        <f>ROUND(('[8]Changes FY14'!F22),-3)</f>
        <v>0</v>
      </c>
      <c r="G22" s="20">
        <f>ROUND(('[8]Changes FY14'!G22),-3)</f>
        <v>0</v>
      </c>
      <c r="H22" s="20">
        <f>ROUND(('[8]Changes FY14'!H22),-3)</f>
        <v>0</v>
      </c>
      <c r="I22" s="28">
        <f t="shared" si="0"/>
        <v>136455000</v>
      </c>
      <c r="J22" s="28"/>
      <c r="K22" s="29">
        <f>ROUND(('[8]Changes FY14'!K22),-3)</f>
        <v>0</v>
      </c>
      <c r="L22" s="29">
        <f>ROUND(('[8]Changes FY14'!L22),-3)</f>
        <v>0</v>
      </c>
      <c r="M22" s="28">
        <f t="shared" si="1"/>
        <v>136455000</v>
      </c>
    </row>
    <row r="23" spans="1:13" ht="9.75" customHeight="1" x14ac:dyDescent="0.35">
      <c r="A23" s="6" t="s">
        <v>51</v>
      </c>
      <c r="B23" s="20">
        <f>ROUND(('[8]Changes FY14'!B23),-3)</f>
        <v>36150000</v>
      </c>
      <c r="C23" s="20">
        <f>ROUND(('[8]Changes FY14'!C23),-3)</f>
        <v>79671000</v>
      </c>
      <c r="D23" s="20">
        <f>ROUND(('[8]Changes FY14'!D23),-3)</f>
        <v>242122000</v>
      </c>
      <c r="E23" s="20">
        <f>ROUND(('[8]Changes FY14'!E23),-3)-1000</f>
        <v>47697000</v>
      </c>
      <c r="F23" s="30">
        <f>ROUND(('[8]Changes FY14'!F23),-3)</f>
        <v>0</v>
      </c>
      <c r="G23" s="20">
        <f>ROUND(('[8]Changes FY14'!G23),-3)</f>
        <v>597000</v>
      </c>
      <c r="H23" s="20">
        <f>ROUND(('[8]Changes FY14'!H23),-3)</f>
        <v>0</v>
      </c>
      <c r="I23" s="28">
        <f t="shared" si="0"/>
        <v>406237000</v>
      </c>
      <c r="J23" s="28"/>
      <c r="K23" s="29">
        <f>ROUND(('[8]Changes FY14'!K23),-3)</f>
        <v>129298000</v>
      </c>
      <c r="L23" s="29">
        <f>ROUND(('[8]Changes FY14'!L23),-3)</f>
        <v>180740000</v>
      </c>
      <c r="M23" s="28">
        <f t="shared" si="1"/>
        <v>716275000</v>
      </c>
    </row>
    <row r="24" spans="1:13" ht="9.75" customHeight="1" x14ac:dyDescent="0.35">
      <c r="A24" s="6" t="s">
        <v>50</v>
      </c>
      <c r="B24" s="20">
        <f>ROUND(('[8]Changes FY14'!B24),-3)</f>
        <v>33739000</v>
      </c>
      <c r="C24" s="20">
        <f>ROUND(('[8]Changes FY14'!C24),-3)</f>
        <v>0</v>
      </c>
      <c r="D24" s="20">
        <f>ROUND(('[8]Changes FY14'!D24),-3)</f>
        <v>40047000</v>
      </c>
      <c r="E24" s="20">
        <f>ROUND(('[8]Changes FY14'!E24),-3)</f>
        <v>0</v>
      </c>
      <c r="F24" s="20">
        <f>ROUND(('[8]Changes FY14'!F24),-3)</f>
        <v>0</v>
      </c>
      <c r="G24" s="20">
        <f>ROUND(('[8]Changes FY14'!G24),-3)</f>
        <v>0</v>
      </c>
      <c r="H24" s="20">
        <f>ROUND(('[8]Changes FY14'!H24),-3)</f>
        <v>0</v>
      </c>
      <c r="I24" s="28">
        <f t="shared" si="0"/>
        <v>73786000</v>
      </c>
      <c r="J24" s="28"/>
      <c r="K24" s="29">
        <f>ROUND(('[8]Changes FY14'!K24),-3)</f>
        <v>0</v>
      </c>
      <c r="L24" s="29">
        <f>ROUND(('[8]Changes FY14'!L24),-3)</f>
        <v>0</v>
      </c>
      <c r="M24" s="28">
        <f t="shared" si="1"/>
        <v>73786000</v>
      </c>
    </row>
    <row r="25" spans="1:13" ht="9.75" customHeight="1" x14ac:dyDescent="0.35">
      <c r="A25" s="6" t="s">
        <v>49</v>
      </c>
      <c r="B25" s="20">
        <f>ROUND(('[8]Changes FY14'!B25),-3)</f>
        <v>296335000</v>
      </c>
      <c r="C25" s="20">
        <f>ROUND(('[8]Changes FY14'!C25),-3)</f>
        <v>0</v>
      </c>
      <c r="D25" s="20">
        <f>ROUND(('[8]Changes FY14'!D25),-3)</f>
        <v>0</v>
      </c>
      <c r="E25" s="20">
        <f>ROUND(('[8]Changes FY14'!E25),-3)</f>
        <v>0</v>
      </c>
      <c r="F25" s="20">
        <f>ROUND(('[8]Changes FY14'!F25),-3)</f>
        <v>0</v>
      </c>
      <c r="G25" s="20">
        <f>ROUND(('[8]Changes FY14'!G25),-3)</f>
        <v>0</v>
      </c>
      <c r="H25" s="20">
        <f>ROUND(('[8]Changes FY14'!H25),-3)</f>
        <v>0</v>
      </c>
      <c r="I25" s="28">
        <f t="shared" si="0"/>
        <v>296335000</v>
      </c>
      <c r="J25" s="28"/>
      <c r="K25" s="29">
        <f>ROUND(('[8]Changes FY14'!K25),-3)</f>
        <v>0</v>
      </c>
      <c r="L25" s="29">
        <f>ROUND(('[8]Changes FY14'!L25),-3)</f>
        <v>0</v>
      </c>
      <c r="M25" s="28">
        <f t="shared" si="1"/>
        <v>296335000</v>
      </c>
    </row>
    <row r="26" spans="1:13" ht="9.75" customHeight="1" x14ac:dyDescent="0.35">
      <c r="A26" s="6" t="s">
        <v>92</v>
      </c>
      <c r="B26" s="20"/>
      <c r="C26" s="30">
        <f>ROUND(('[8]Changes FY14'!C26),-3)</f>
        <v>1027459000</v>
      </c>
      <c r="D26" s="20"/>
      <c r="E26" s="20"/>
      <c r="F26" s="20"/>
      <c r="G26" s="20"/>
      <c r="H26" s="20"/>
      <c r="I26" s="28">
        <f t="shared" si="0"/>
        <v>1027459000</v>
      </c>
      <c r="J26" s="28"/>
      <c r="K26" s="29"/>
      <c r="L26" s="29"/>
      <c r="M26" s="28">
        <f t="shared" si="1"/>
        <v>1027459000</v>
      </c>
    </row>
    <row r="27" spans="1:13" ht="9.75" customHeight="1" x14ac:dyDescent="0.35">
      <c r="A27" s="6" t="s">
        <v>48</v>
      </c>
      <c r="B27" s="20">
        <f>ROUND(('[8]Changes FY14'!B27),-3)</f>
        <v>0</v>
      </c>
      <c r="C27" s="20">
        <f>ROUND(('[8]Changes FY14'!C27),-3)</f>
        <v>135116000</v>
      </c>
      <c r="D27" s="20">
        <f>ROUND(('[8]Changes FY14'!D27),-3)</f>
        <v>0</v>
      </c>
      <c r="E27" s="20">
        <f>ROUND(('[8]Changes FY14'!E27),-3)</f>
        <v>0</v>
      </c>
      <c r="F27" s="20">
        <f>ROUND(('[8]Changes FY14'!F27),-3)</f>
        <v>0</v>
      </c>
      <c r="G27" s="20">
        <f>ROUND(('[8]Changes FY14'!G27),-3)</f>
        <v>0</v>
      </c>
      <c r="H27" s="20">
        <f>ROUND(('[8]Changes FY14'!H27),-3)</f>
        <v>0</v>
      </c>
      <c r="I27" s="28">
        <f t="shared" si="0"/>
        <v>135116000</v>
      </c>
      <c r="J27" s="28"/>
      <c r="K27" s="29">
        <f>ROUND(('[8]Changes FY14'!K27),-3)</f>
        <v>0</v>
      </c>
      <c r="L27" s="29">
        <f>ROUND(('[8]Changes FY14'!L27),-3)</f>
        <v>0</v>
      </c>
      <c r="M27" s="28">
        <f t="shared" si="1"/>
        <v>135116000</v>
      </c>
    </row>
    <row r="28" spans="1:13" ht="9.75" customHeight="1" x14ac:dyDescent="0.35">
      <c r="A28" s="6" t="s">
        <v>47</v>
      </c>
      <c r="B28" s="20">
        <f>ROUND(('[8]Changes FY14'!B28),-3)</f>
        <v>0</v>
      </c>
      <c r="C28" s="20">
        <f>ROUND(('[8]Changes FY14'!C28),-3)-1000</f>
        <v>4770000</v>
      </c>
      <c r="D28" s="20">
        <f>ROUND(('[8]Changes FY14'!D28),-3)</f>
        <v>0</v>
      </c>
      <c r="E28" s="20">
        <f>ROUND(('[8]Changes FY14'!E28),-3)</f>
        <v>0</v>
      </c>
      <c r="F28" s="20">
        <f>ROUND(('[8]Changes FY14'!F28),-3)</f>
        <v>0</v>
      </c>
      <c r="G28" s="20">
        <f>ROUND(('[8]Changes FY14'!G28),-3)</f>
        <v>0</v>
      </c>
      <c r="H28" s="20">
        <f>ROUND(('[8]Changes FY14'!H28),-3)</f>
        <v>0</v>
      </c>
      <c r="I28" s="28">
        <f t="shared" si="0"/>
        <v>4770000</v>
      </c>
      <c r="J28" s="28"/>
      <c r="K28" s="29">
        <f>ROUND(('[8]Changes FY14'!K28),-3)</f>
        <v>0</v>
      </c>
      <c r="L28" s="29">
        <f>ROUND(('[8]Changes FY14'!L28),-3)</f>
        <v>0</v>
      </c>
      <c r="M28" s="28">
        <f t="shared" si="1"/>
        <v>4770000</v>
      </c>
    </row>
    <row r="29" spans="1:13" s="2" customFormat="1" ht="10.5" customHeight="1" x14ac:dyDescent="0.35">
      <c r="A29" s="2" t="s">
        <v>46</v>
      </c>
      <c r="B29" s="20">
        <f>ROUND(('[8]Changes FY14'!B29),-3)</f>
        <v>0</v>
      </c>
      <c r="C29" s="20">
        <f>ROUND(('[8]Changes FY14'!C29),-3)</f>
        <v>0</v>
      </c>
      <c r="D29" s="20">
        <f>ROUND(('[8]Changes FY14'!D29),-3)</f>
        <v>0</v>
      </c>
      <c r="E29" s="20">
        <f>ROUND(('[8]Changes FY14'!E29),-3)</f>
        <v>0</v>
      </c>
      <c r="F29" s="20">
        <f>ROUND(('[8]Changes FY14'!F29),-3)</f>
        <v>0</v>
      </c>
      <c r="G29" s="20">
        <f>ROUND(('[8]Changes FY14'!G29),-3)</f>
        <v>0</v>
      </c>
      <c r="H29" s="20">
        <f>ROUND(('[8]Changes FY14'!H29),-3)</f>
        <v>0</v>
      </c>
      <c r="I29" s="28">
        <f t="shared" si="0"/>
        <v>0</v>
      </c>
      <c r="J29" s="28"/>
      <c r="K29" s="29">
        <f>ROUND(('[8]Changes FY14'!K29),-3)</f>
        <v>0</v>
      </c>
      <c r="L29" s="29">
        <f>ROUND(('[8]Changes FY14'!L29),-3)</f>
        <v>0</v>
      </c>
      <c r="M29" s="28">
        <f t="shared" si="1"/>
        <v>0</v>
      </c>
    </row>
    <row r="30" spans="1:13" ht="9.75" customHeight="1" x14ac:dyDescent="0.35">
      <c r="A30" s="6" t="s">
        <v>45</v>
      </c>
      <c r="B30" s="20">
        <f>ROUND(('[8]Changes FY14'!B30),-3)+2000</f>
        <v>100960000</v>
      </c>
      <c r="C30" s="20">
        <f>ROUND(('[8]Changes FY14'!C30),-3)</f>
        <v>0</v>
      </c>
      <c r="D30" s="20">
        <f>ROUND(('[8]Changes FY14'!D30),-3)</f>
        <v>0</v>
      </c>
      <c r="E30" s="20">
        <f>ROUND(('[8]Changes FY14'!E30),-3)</f>
        <v>0</v>
      </c>
      <c r="F30" s="20">
        <f>ROUND(('[8]Changes FY14'!F30),-3)</f>
        <v>-3755000</v>
      </c>
      <c r="G30" s="20">
        <f>ROUND(('[8]Changes FY14'!G30),-3)</f>
        <v>0</v>
      </c>
      <c r="H30" s="20">
        <f>ROUND(('[8]Changes FY14'!H30),-3)</f>
        <v>0</v>
      </c>
      <c r="I30" s="28">
        <f t="shared" si="0"/>
        <v>97205000</v>
      </c>
      <c r="J30" s="28"/>
      <c r="K30" s="29">
        <f>ROUND(('[8]Changes FY14'!K30),-3)</f>
        <v>0</v>
      </c>
      <c r="L30" s="29">
        <f>ROUND(('[8]Changes FY14'!L30),-3)</f>
        <v>0</v>
      </c>
      <c r="M30" s="28">
        <f t="shared" si="1"/>
        <v>97205000</v>
      </c>
    </row>
    <row r="31" spans="1:13" ht="9.75" customHeight="1" x14ac:dyDescent="0.35">
      <c r="A31" s="6" t="s">
        <v>44</v>
      </c>
      <c r="B31" s="20">
        <f>ROUND(('[8]Changes FY14'!B31),-3)</f>
        <v>0</v>
      </c>
      <c r="C31" s="20">
        <f>ROUND(('[8]Changes FY14'!C31),-3)</f>
        <v>0</v>
      </c>
      <c r="D31" s="20">
        <f>ROUND(('[8]Changes FY14'!D31),-3)</f>
        <v>0</v>
      </c>
      <c r="E31" s="20">
        <f>ROUND(('[8]Changes FY14'!E31),-3)</f>
        <v>0</v>
      </c>
      <c r="F31" s="20">
        <f>ROUND(('[8]Changes FY14'!F31),-3)</f>
        <v>0</v>
      </c>
      <c r="G31" s="20">
        <f>ROUND(('[8]Changes FY14'!G31),-3)</f>
        <v>0</v>
      </c>
      <c r="H31" s="20">
        <f>ROUND(('[8]Changes FY14'!H31),-3)</f>
        <v>0</v>
      </c>
      <c r="I31" s="28"/>
      <c r="J31" s="28"/>
      <c r="K31" s="29">
        <f>ROUND(('[8]Changes FY14'!K31),-3)</f>
        <v>-1050000</v>
      </c>
      <c r="L31" s="29">
        <f>ROUND(('[8]Changes FY14'!L31),-3)</f>
        <v>-5787000</v>
      </c>
      <c r="M31" s="28">
        <f t="shared" si="1"/>
        <v>-6837000</v>
      </c>
    </row>
    <row r="32" spans="1:13" ht="9.75" customHeight="1" x14ac:dyDescent="0.35">
      <c r="A32" s="6" t="s">
        <v>43</v>
      </c>
      <c r="B32" s="20">
        <f>ROUND(('[8]Changes FY14'!B32),-3)</f>
        <v>34000</v>
      </c>
      <c r="C32" s="20">
        <f>ROUND(('[8]Changes FY14'!C32),-3)</f>
        <v>0</v>
      </c>
      <c r="D32" s="20">
        <f>ROUND(('[8]Changes FY14'!D32),-3)</f>
        <v>63709000</v>
      </c>
      <c r="E32" s="20">
        <f>ROUND(('[8]Changes FY14'!E32),-3)</f>
        <v>98719000</v>
      </c>
      <c r="F32" s="20">
        <f>ROUND(('[8]Changes FY14'!F32),-3)</f>
        <v>0</v>
      </c>
      <c r="G32" s="20">
        <f>ROUND(('[8]Changes FY14'!G32),-3)+1000</f>
        <v>95545000</v>
      </c>
      <c r="H32" s="20">
        <f>ROUND(('[8]Changes FY14'!H32),-3)</f>
        <v>0</v>
      </c>
      <c r="I32" s="28">
        <f>SUM(B32:H32)</f>
        <v>258007000</v>
      </c>
      <c r="J32" s="28"/>
      <c r="K32" s="29">
        <f>ROUND(('[8]Changes FY14'!K32),-3)</f>
        <v>-251185000</v>
      </c>
      <c r="L32" s="29">
        <f>ROUND(('[8]Changes FY14'!L32),-3)</f>
        <v>-6822000</v>
      </c>
      <c r="M32" s="28">
        <f t="shared" si="1"/>
        <v>0</v>
      </c>
    </row>
    <row r="33" spans="1:13" ht="12.95" customHeight="1" x14ac:dyDescent="0.35">
      <c r="A33" s="37" t="s">
        <v>42</v>
      </c>
      <c r="B33" s="57">
        <f t="shared" ref="B33:M33" si="2">SUM(B17:B32)</f>
        <v>1793452000</v>
      </c>
      <c r="C33" s="57">
        <f t="shared" si="2"/>
        <v>1247016000</v>
      </c>
      <c r="D33" s="57">
        <f t="shared" si="2"/>
        <v>693344000</v>
      </c>
      <c r="E33" s="57">
        <f t="shared" si="2"/>
        <v>155273000</v>
      </c>
      <c r="F33" s="57">
        <f t="shared" si="2"/>
        <v>-3755000</v>
      </c>
      <c r="G33" s="57">
        <f t="shared" si="2"/>
        <v>306912000</v>
      </c>
      <c r="H33" s="57">
        <f t="shared" si="2"/>
        <v>-39000</v>
      </c>
      <c r="I33" s="56">
        <f t="shared" si="2"/>
        <v>4192203000</v>
      </c>
      <c r="J33" s="56">
        <f t="shared" si="2"/>
        <v>0</v>
      </c>
      <c r="K33" s="56">
        <f t="shared" si="2"/>
        <v>380227000</v>
      </c>
      <c r="L33" s="56">
        <f t="shared" si="2"/>
        <v>188030000</v>
      </c>
      <c r="M33" s="56">
        <f t="shared" si="2"/>
        <v>4760460000</v>
      </c>
    </row>
    <row r="34" spans="1:13" ht="12.95" customHeight="1" x14ac:dyDescent="0.35">
      <c r="A34" s="54"/>
      <c r="B34" s="53"/>
      <c r="C34" s="53"/>
      <c r="D34" s="53"/>
      <c r="E34" s="53"/>
      <c r="F34" s="53"/>
      <c r="G34" s="53"/>
      <c r="H34" s="53"/>
      <c r="I34" s="43"/>
      <c r="J34" s="28"/>
      <c r="K34" s="43"/>
      <c r="L34" s="43"/>
      <c r="M34" s="43"/>
    </row>
    <row r="35" spans="1:13" ht="9.75" customHeight="1" x14ac:dyDescent="0.35">
      <c r="A35" s="33" t="s">
        <v>41</v>
      </c>
      <c r="B35" s="20"/>
      <c r="C35" s="20"/>
      <c r="D35" s="20"/>
      <c r="E35" s="20"/>
      <c r="F35" s="20"/>
      <c r="G35" s="20"/>
      <c r="H35" s="20"/>
      <c r="I35" s="28"/>
      <c r="J35" s="28"/>
      <c r="K35" s="28"/>
      <c r="L35" s="28"/>
      <c r="M35" s="28"/>
    </row>
    <row r="36" spans="1:13" s="2" customFormat="1" ht="9.75" customHeight="1" x14ac:dyDescent="0.35">
      <c r="A36" s="6" t="s">
        <v>40</v>
      </c>
      <c r="B36" s="20">
        <f>ROUND(('[8]Changes FY14'!B36),-3)</f>
        <v>1640513000</v>
      </c>
      <c r="C36" s="20">
        <f>ROUND(('[8]Changes FY14'!C36),-3)</f>
        <v>0</v>
      </c>
      <c r="D36" s="20">
        <f>ROUND(('[8]Changes FY14'!D36),-3)</f>
        <v>672419000</v>
      </c>
      <c r="E36" s="20">
        <f>ROUND(('[8]Changes FY14'!E36),-3)</f>
        <v>0</v>
      </c>
      <c r="F36" s="20">
        <f>ROUND(('[8]Changes FY14'!F36),-3)</f>
        <v>0</v>
      </c>
      <c r="G36" s="20">
        <f>ROUND(('[8]Changes FY14'!G36),-3)</f>
        <v>0</v>
      </c>
      <c r="H36" s="20">
        <f>ROUND(('[8]Changes FY14'!H36),-3)</f>
        <v>0</v>
      </c>
      <c r="I36" s="28">
        <f>SUM(B36:H36)</f>
        <v>2312932000</v>
      </c>
      <c r="J36" s="28"/>
      <c r="K36" s="29">
        <f>ROUND(('[8]Changes FY14'!K36),-3)</f>
        <v>0</v>
      </c>
      <c r="L36" s="29">
        <f>ROUND(('[8]Changes FY14'!L36),-3)</f>
        <v>0</v>
      </c>
      <c r="M36" s="28">
        <f>SUM(I36:L36)</f>
        <v>2312932000</v>
      </c>
    </row>
    <row r="37" spans="1:13" s="2" customFormat="1" ht="9.75" customHeight="1" x14ac:dyDescent="0.35">
      <c r="A37" s="2" t="s">
        <v>39</v>
      </c>
      <c r="B37" s="20">
        <f>ROUND(('[8]Changes FY14'!B37),-3)</f>
        <v>0</v>
      </c>
      <c r="C37" s="20">
        <f>ROUND(('[8]Changes FY14'!C37),-3)-1000</f>
        <v>1122176000</v>
      </c>
      <c r="D37" s="20">
        <f>ROUND(('[8]Changes FY14'!D37),-3)</f>
        <v>0</v>
      </c>
      <c r="E37" s="20">
        <f>ROUND(('[8]Changes FY14'!E37),-3)</f>
        <v>0</v>
      </c>
      <c r="F37" s="20">
        <f>ROUND(('[8]Changes FY14'!F37),-3)</f>
        <v>0</v>
      </c>
      <c r="G37" s="20">
        <f>ROUND(('[8]Changes FY14'!G37),-3)</f>
        <v>0</v>
      </c>
      <c r="H37" s="20">
        <f>ROUND(('[8]Changes FY14'!H37),-3)</f>
        <v>0</v>
      </c>
      <c r="I37" s="28">
        <f>SUM(B37:H37)</f>
        <v>1122176000</v>
      </c>
      <c r="J37" s="28"/>
      <c r="K37" s="29">
        <f>ROUND(('[8]Changes FY14'!K37),-3)</f>
        <v>0</v>
      </c>
      <c r="L37" s="29">
        <f>ROUND(('[8]Changes FY14'!L37),-3)</f>
        <v>0</v>
      </c>
      <c r="M37" s="28">
        <f>SUM(I37:L37)</f>
        <v>1122176000</v>
      </c>
    </row>
    <row r="38" spans="1:13" ht="9.75" customHeight="1" x14ac:dyDescent="0.35">
      <c r="A38" s="6" t="s">
        <v>38</v>
      </c>
      <c r="B38" s="20">
        <f>ROUND(('[8]Changes FY14'!B38),-3)</f>
        <v>0</v>
      </c>
      <c r="C38" s="20">
        <f>ROUND(('[8]Changes FY14'!C38),-3)</f>
        <v>23977000</v>
      </c>
      <c r="D38" s="20">
        <f>ROUND(('[8]Changes FY14'!D38),-3)</f>
        <v>0</v>
      </c>
      <c r="E38" s="20">
        <f>ROUND(('[8]Changes FY14'!E38),-3)</f>
        <v>0</v>
      </c>
      <c r="F38" s="20">
        <f>ROUND(('[8]Changes FY14'!F38),-3)</f>
        <v>156976000</v>
      </c>
      <c r="G38" s="20">
        <f>ROUND(('[8]Changes FY14'!G38),-3)</f>
        <v>0</v>
      </c>
      <c r="H38" s="20">
        <f>ROUND(('[8]Changes FY14'!H38),-3)</f>
        <v>0</v>
      </c>
      <c r="I38" s="28">
        <f>SUM(B38:H38)</f>
        <v>180953000</v>
      </c>
      <c r="J38" s="28"/>
      <c r="K38" s="29">
        <f>ROUND(('[8]Changes FY14'!K38),-3)</f>
        <v>0</v>
      </c>
      <c r="L38" s="29">
        <f>ROUND(('[8]Changes FY14'!L38),-3)</f>
        <v>0</v>
      </c>
      <c r="M38" s="28">
        <f>SUM(I38:L38)</f>
        <v>180953000</v>
      </c>
    </row>
    <row r="39" spans="1:13" ht="9.75" customHeight="1" x14ac:dyDescent="0.35">
      <c r="A39" s="6" t="s">
        <v>37</v>
      </c>
      <c r="B39" s="20">
        <f>ROUND(('[8]Changes FY14'!B39),-3)</f>
        <v>0</v>
      </c>
      <c r="C39" s="20">
        <f>ROUND(('[8]Changes FY14'!C39),-3)</f>
        <v>47000</v>
      </c>
      <c r="D39" s="20">
        <f>ROUND(('[8]Changes FY14'!D39),-3)</f>
        <v>0</v>
      </c>
      <c r="E39" s="20">
        <f>ROUND(('[8]Changes FY14'!E39),-3)</f>
        <v>66623000</v>
      </c>
      <c r="F39" s="20">
        <f>ROUND(('[8]Changes FY14'!F39),-3)</f>
        <v>0</v>
      </c>
      <c r="G39" s="20">
        <f>ROUND(('[8]Changes FY14'!G39),-3)</f>
        <v>0</v>
      </c>
      <c r="H39" s="20">
        <f>ROUND(('[8]Changes FY14'!H39),-3)</f>
        <v>0</v>
      </c>
      <c r="I39" s="28">
        <f>SUM(B39:H39)</f>
        <v>66670000</v>
      </c>
      <c r="J39" s="28"/>
      <c r="K39" s="29">
        <f>ROUND(('[8]Changes FY14'!K39),-3)</f>
        <v>0</v>
      </c>
      <c r="L39" s="29">
        <f>ROUND(('[8]Changes FY14'!L39),-3)</f>
        <v>0</v>
      </c>
      <c r="M39" s="28">
        <f>SUM(I39:L39)</f>
        <v>66670000</v>
      </c>
    </row>
    <row r="40" spans="1:13" s="9" customFormat="1" ht="12" customHeight="1" x14ac:dyDescent="0.35">
      <c r="A40" s="37" t="s">
        <v>35</v>
      </c>
      <c r="B40" s="57">
        <f t="shared" ref="B40:M40" si="3">SUM(B36:B39)</f>
        <v>1640513000</v>
      </c>
      <c r="C40" s="57">
        <f t="shared" si="3"/>
        <v>1146200000</v>
      </c>
      <c r="D40" s="57">
        <f t="shared" si="3"/>
        <v>672419000</v>
      </c>
      <c r="E40" s="57">
        <f t="shared" si="3"/>
        <v>66623000</v>
      </c>
      <c r="F40" s="57">
        <f t="shared" si="3"/>
        <v>156976000</v>
      </c>
      <c r="G40" s="57">
        <f t="shared" si="3"/>
        <v>0</v>
      </c>
      <c r="H40" s="57">
        <f t="shared" si="3"/>
        <v>0</v>
      </c>
      <c r="I40" s="56">
        <f t="shared" si="3"/>
        <v>3682731000</v>
      </c>
      <c r="J40" s="28">
        <f t="shared" si="3"/>
        <v>0</v>
      </c>
      <c r="K40" s="56">
        <f t="shared" si="3"/>
        <v>0</v>
      </c>
      <c r="L40" s="56">
        <f t="shared" si="3"/>
        <v>0</v>
      </c>
      <c r="M40" s="56">
        <f t="shared" si="3"/>
        <v>3682731000</v>
      </c>
    </row>
    <row r="41" spans="1:13" s="15" customFormat="1" ht="12" customHeight="1" x14ac:dyDescent="0.35">
      <c r="A41" s="55"/>
      <c r="B41" s="53"/>
      <c r="C41" s="53"/>
      <c r="D41" s="53"/>
      <c r="E41" s="53"/>
      <c r="F41" s="53"/>
      <c r="G41" s="53"/>
      <c r="H41" s="53"/>
      <c r="I41" s="43"/>
      <c r="J41" s="28"/>
      <c r="K41" s="43"/>
      <c r="L41" s="43"/>
      <c r="M41" s="43"/>
    </row>
    <row r="42" spans="1:13" s="15" customFormat="1" ht="9.75" customHeight="1" x14ac:dyDescent="0.35">
      <c r="A42" s="54" t="s">
        <v>34</v>
      </c>
      <c r="B42" s="53"/>
      <c r="C42" s="53"/>
      <c r="D42" s="53"/>
      <c r="E42" s="53"/>
      <c r="F42" s="53"/>
      <c r="G42" s="53"/>
      <c r="H42" s="53"/>
      <c r="I42" s="43"/>
      <c r="J42" s="28"/>
      <c r="K42" s="28"/>
      <c r="L42" s="28"/>
      <c r="M42" s="28"/>
    </row>
    <row r="43" spans="1:13" ht="12" customHeight="1" x14ac:dyDescent="0.35">
      <c r="A43" s="6" t="s">
        <v>33</v>
      </c>
      <c r="B43" s="20">
        <f>ROUND(('[8]Changes FY14'!B43),-3)</f>
        <v>-60251000</v>
      </c>
      <c r="C43" s="20">
        <f>ROUND(('[8]Changes FY14'!C43),-3)</f>
        <v>-1174000</v>
      </c>
      <c r="D43" s="20">
        <f>ROUND(('[8]Changes FY14'!D43),-3)</f>
        <v>0</v>
      </c>
      <c r="E43" s="20">
        <f>ROUND(('[8]Changes FY14'!E43),-3)</f>
        <v>61425000</v>
      </c>
      <c r="F43" s="20">
        <f>ROUND(('[8]Changes FY14'!F43),-3)</f>
        <v>0</v>
      </c>
      <c r="G43" s="20">
        <f>ROUND(('[8]Changes FY14'!G43),-3)</f>
        <v>0</v>
      </c>
      <c r="H43" s="20">
        <f>ROUND(('[8]Changes FY14'!H43),-3)</f>
        <v>0</v>
      </c>
      <c r="I43" s="28">
        <f t="shared" ref="I43:I51" si="4">SUM(B43:H43)</f>
        <v>0</v>
      </c>
      <c r="J43" s="28"/>
      <c r="K43" s="29">
        <f>ROUND(('[8]Changes FY14'!K43),-3)</f>
        <v>0</v>
      </c>
      <c r="L43" s="29">
        <f>ROUND(('[8]Changes FY14'!L43),-3)</f>
        <v>0</v>
      </c>
      <c r="M43" s="28">
        <f t="shared" ref="M43:M51" si="5">SUM(I43:L43)</f>
        <v>0</v>
      </c>
    </row>
    <row r="44" spans="1:13" ht="9.75" customHeight="1" x14ac:dyDescent="0.35">
      <c r="A44" s="6" t="s">
        <v>32</v>
      </c>
      <c r="B44" s="20">
        <f>ROUND(('[8]Changes FY14'!B44),-3)</f>
        <v>0</v>
      </c>
      <c r="C44" s="20">
        <f>ROUND(('[8]Changes FY14'!C44),-3)</f>
        <v>0</v>
      </c>
      <c r="D44" s="20">
        <f>ROUND(('[8]Changes FY14'!D44),-3)</f>
        <v>0</v>
      </c>
      <c r="E44" s="20">
        <f>ROUND(('[8]Changes FY14'!E44),-3)</f>
        <v>0</v>
      </c>
      <c r="F44" s="20">
        <f>ROUND(('[8]Changes FY14'!F44),-3)</f>
        <v>0</v>
      </c>
      <c r="G44" s="20">
        <f>ROUND(('[8]Changes FY14'!G44),-3)</f>
        <v>0</v>
      </c>
      <c r="H44" s="20">
        <f>ROUND(('[8]Changes FY14'!H44),-3)</f>
        <v>0</v>
      </c>
      <c r="I44" s="28">
        <f t="shared" si="4"/>
        <v>0</v>
      </c>
      <c r="J44" s="28"/>
      <c r="K44" s="29">
        <f>ROUND(('[8]Changes FY14'!K44),-3)</f>
        <v>0</v>
      </c>
      <c r="L44" s="29">
        <f>ROUND(('[8]Changes FY14'!L44),-3)</f>
        <v>0</v>
      </c>
      <c r="M44" s="28">
        <f t="shared" si="5"/>
        <v>0</v>
      </c>
    </row>
    <row r="45" spans="1:13" ht="9.75" customHeight="1" x14ac:dyDescent="0.35">
      <c r="A45" s="6" t="s">
        <v>31</v>
      </c>
      <c r="B45" s="20">
        <f>ROUND(('[8]Changes FY14'!B45),-3)</f>
        <v>-7047000</v>
      </c>
      <c r="C45" s="20">
        <f>ROUND(('[8]Changes FY14'!C45),-3)</f>
        <v>0</v>
      </c>
      <c r="D45" s="20">
        <f>ROUND(('[8]Changes FY14'!D45),-3)</f>
        <v>0</v>
      </c>
      <c r="E45" s="20">
        <f>ROUND(('[8]Changes FY14'!E45),-3)</f>
        <v>0</v>
      </c>
      <c r="F45" s="20">
        <f>ROUND(('[8]Changes FY14'!F45),-3)</f>
        <v>0</v>
      </c>
      <c r="G45" s="20">
        <f>ROUND(('[8]Changes FY14'!G45),-3)</f>
        <v>7047000</v>
      </c>
      <c r="H45" s="20">
        <f>ROUND(('[8]Changes FY14'!H45),-3)</f>
        <v>0</v>
      </c>
      <c r="I45" s="28">
        <f t="shared" si="4"/>
        <v>0</v>
      </c>
      <c r="J45" s="28"/>
      <c r="K45" s="29">
        <f>ROUND(('[8]Changes FY14'!K45),-3)</f>
        <v>0</v>
      </c>
      <c r="L45" s="29">
        <f>ROUND(('[8]Changes FY14'!L45),-3)</f>
        <v>0</v>
      </c>
      <c r="M45" s="28">
        <f t="shared" si="5"/>
        <v>0</v>
      </c>
    </row>
    <row r="46" spans="1:13" ht="9.75" customHeight="1" x14ac:dyDescent="0.35">
      <c r="A46" s="6" t="s">
        <v>30</v>
      </c>
      <c r="B46" s="20">
        <f>ROUND(('[8]Changes FY14'!B46),-3)</f>
        <v>-27543000</v>
      </c>
      <c r="C46" s="20">
        <f>ROUND(('[8]Changes FY14'!C46),-3)</f>
        <v>-1355000</v>
      </c>
      <c r="D46" s="20">
        <f>ROUND(('[8]Changes FY14'!D46),-3)</f>
        <v>-937000</v>
      </c>
      <c r="E46" s="20">
        <f>ROUND(('[8]Changes FY14'!E46),-3)+1000</f>
        <v>29835000</v>
      </c>
      <c r="F46" s="20">
        <f>ROUND(('[8]Changes FY14'!F46),-3)</f>
        <v>0</v>
      </c>
      <c r="G46" s="20">
        <f>ROUND(('[8]Changes FY14'!G46),-3)</f>
        <v>0</v>
      </c>
      <c r="H46" s="20">
        <f>ROUND(('[8]Changes FY14'!H46),-3)</f>
        <v>0</v>
      </c>
      <c r="I46" s="28">
        <f t="shared" si="4"/>
        <v>0</v>
      </c>
      <c r="J46" s="28"/>
      <c r="K46" s="29">
        <f>ROUND(('[8]Changes FY14'!K46),-3)</f>
        <v>0</v>
      </c>
      <c r="L46" s="29">
        <f>ROUND(('[8]Changes FY14'!L46),-3)</f>
        <v>0</v>
      </c>
      <c r="M46" s="28">
        <f t="shared" si="5"/>
        <v>0</v>
      </c>
    </row>
    <row r="47" spans="1:13" ht="9.75" customHeight="1" x14ac:dyDescent="0.35">
      <c r="A47" s="6" t="s">
        <v>29</v>
      </c>
      <c r="B47" s="20">
        <f>ROUND(('[8]Changes FY14'!B47),-3)</f>
        <v>52420000</v>
      </c>
      <c r="C47" s="20">
        <f>ROUND(('[8]Changes FY14'!C47),-3)</f>
        <v>0</v>
      </c>
      <c r="D47" s="20">
        <f>ROUND(('[8]Changes FY14'!D47),-3)</f>
        <v>71854000</v>
      </c>
      <c r="E47" s="20">
        <f>ROUND(('[8]Changes FY14'!E47),-3)</f>
        <v>0</v>
      </c>
      <c r="F47" s="20">
        <f>ROUND(('[8]Changes FY14'!F47),-3)</f>
        <v>0</v>
      </c>
      <c r="G47" s="20">
        <f>ROUND(('[8]Changes FY14'!G47),-3)</f>
        <v>-124274000</v>
      </c>
      <c r="H47" s="20">
        <f>ROUND(('[8]Changes FY14'!H47),-3)</f>
        <v>0</v>
      </c>
      <c r="I47" s="28">
        <f t="shared" si="4"/>
        <v>0</v>
      </c>
      <c r="J47" s="28"/>
      <c r="K47" s="29">
        <f>ROUND(('[8]Changes FY14'!K47),-3)</f>
        <v>0</v>
      </c>
      <c r="L47" s="29">
        <f>ROUND(('[8]Changes FY14'!L47),-3)</f>
        <v>0</v>
      </c>
      <c r="M47" s="28">
        <f t="shared" si="5"/>
        <v>0</v>
      </c>
    </row>
    <row r="48" spans="1:13" ht="9.75" customHeight="1" x14ac:dyDescent="0.35">
      <c r="A48" s="6" t="s">
        <v>28</v>
      </c>
      <c r="B48" s="20">
        <f>ROUND(('[8]Changes FY14'!B48),-3)</f>
        <v>62497000</v>
      </c>
      <c r="C48" s="20">
        <f>ROUND(('[8]Changes FY14'!C48),-3)</f>
        <v>0</v>
      </c>
      <c r="D48" s="20">
        <f>ROUND(('[8]Changes FY14'!D48),-3)</f>
        <v>-62497000</v>
      </c>
      <c r="E48" s="20">
        <f>ROUND(('[8]Changes FY14'!E48),-3)</f>
        <v>0</v>
      </c>
      <c r="F48" s="20">
        <f>ROUND(('[8]Changes FY14'!F48),-3)</f>
        <v>0</v>
      </c>
      <c r="G48" s="20">
        <f>ROUND(('[8]Changes FY14'!G48),-3)</f>
        <v>0</v>
      </c>
      <c r="H48" s="20">
        <f>ROUND(('[8]Changes FY14'!H48),-3)</f>
        <v>0</v>
      </c>
      <c r="I48" s="28">
        <f t="shared" si="4"/>
        <v>0</v>
      </c>
      <c r="J48" s="28"/>
      <c r="K48" s="29">
        <f>ROUND(('[8]Changes FY14'!K48),-3)</f>
        <v>0</v>
      </c>
      <c r="L48" s="29">
        <f>ROUND(('[8]Changes FY14'!L48),-3)</f>
        <v>0</v>
      </c>
      <c r="M48" s="28">
        <f t="shared" si="5"/>
        <v>0</v>
      </c>
    </row>
    <row r="49" spans="1:13" ht="9.75" customHeight="1" x14ac:dyDescent="0.35">
      <c r="A49" s="52" t="s">
        <v>27</v>
      </c>
      <c r="B49" s="20">
        <f>ROUND(('[8]Changes FY14'!B49),-3)</f>
        <v>-143275000</v>
      </c>
      <c r="C49" s="20">
        <f>ROUND(('[8]Changes FY14'!C49),-3)</f>
        <v>-41160000</v>
      </c>
      <c r="D49" s="20">
        <f>ROUND(('[8]Changes FY14'!D49),-3)</f>
        <v>7780000</v>
      </c>
      <c r="E49" s="20">
        <f>ROUND(('[8]Changes FY14'!E49),-3)+1000</f>
        <v>170693000</v>
      </c>
      <c r="F49" s="20">
        <f>ROUND(('[8]Changes FY14'!F49),-3)</f>
        <v>0</v>
      </c>
      <c r="G49" s="20">
        <f>ROUND(('[8]Changes FY14'!G49),-3)</f>
        <v>5962000</v>
      </c>
      <c r="H49" s="20">
        <f>ROUND(('[8]Changes FY14'!H49),-3)</f>
        <v>0</v>
      </c>
      <c r="I49" s="28">
        <f t="shared" si="4"/>
        <v>0</v>
      </c>
      <c r="J49" s="28"/>
      <c r="K49" s="29">
        <f>ROUND(('[8]Changes FY14'!K49),-3)</f>
        <v>0</v>
      </c>
      <c r="L49" s="29">
        <f>ROUND(('[8]Changes FY14'!L49),-3)</f>
        <v>0</v>
      </c>
      <c r="M49" s="28">
        <f t="shared" si="5"/>
        <v>0</v>
      </c>
    </row>
    <row r="50" spans="1:13" ht="9.75" customHeight="1" x14ac:dyDescent="0.35">
      <c r="A50" s="52" t="s">
        <v>26</v>
      </c>
      <c r="B50" s="20">
        <f>ROUND(('[8]Changes FY14'!B50),-3)</f>
        <v>0</v>
      </c>
      <c r="C50" s="20">
        <f>ROUND(('[8]Changes FY14'!C50),-3)</f>
        <v>0</v>
      </c>
      <c r="D50" s="20">
        <f>ROUND(('[8]Changes FY14'!D50),-3)</f>
        <v>0</v>
      </c>
      <c r="E50" s="20">
        <f>ROUND(('[8]Changes FY14'!E50),-3)</f>
        <v>0</v>
      </c>
      <c r="F50" s="20">
        <f>ROUND(('[8]Changes FY14'!F50),-3)</f>
        <v>0</v>
      </c>
      <c r="G50" s="20">
        <f>ROUND(('[8]Changes FY14'!G50),-3)</f>
        <v>0</v>
      </c>
      <c r="H50" s="20">
        <f>ROUND(('[8]Changes FY14'!H50),-3)</f>
        <v>0</v>
      </c>
      <c r="I50" s="28">
        <f t="shared" si="4"/>
        <v>0</v>
      </c>
      <c r="J50" s="28"/>
      <c r="K50" s="29"/>
      <c r="L50" s="29"/>
      <c r="M50" s="28">
        <f t="shared" si="5"/>
        <v>0</v>
      </c>
    </row>
    <row r="51" spans="1:13" ht="9.75" customHeight="1" x14ac:dyDescent="0.35">
      <c r="A51" s="6" t="s">
        <v>25</v>
      </c>
      <c r="B51" s="20">
        <f>ROUND(('[8]Changes FY14'!B51),-3)</f>
        <v>-29740000</v>
      </c>
      <c r="C51" s="20">
        <f>ROUND(('[8]Changes FY14'!C51),-3)-1000</f>
        <v>-174000</v>
      </c>
      <c r="D51" s="20">
        <f>ROUND(('[8]Changes FY14'!D51),-3)</f>
        <v>37979000</v>
      </c>
      <c r="E51" s="20">
        <f>ROUND(('[8]Changes FY14'!E51),-3)</f>
        <v>-346011000</v>
      </c>
      <c r="F51" s="20">
        <f>ROUND(('[8]Changes FY14'!F51),-3)</f>
        <v>337946000</v>
      </c>
      <c r="G51" s="20">
        <f>ROUND(('[8]Changes FY14'!G51),-3)</f>
        <v>0</v>
      </c>
      <c r="H51" s="20">
        <f>ROUND(('[8]Changes FY14'!H51),-3)</f>
        <v>0</v>
      </c>
      <c r="I51" s="28">
        <f t="shared" si="4"/>
        <v>0</v>
      </c>
      <c r="J51" s="28"/>
      <c r="K51" s="29">
        <f>ROUND(('[8]Changes FY14'!K51),-3)</f>
        <v>0</v>
      </c>
      <c r="L51" s="29">
        <f>ROUND(('[8]Changes FY14'!L51),-3)</f>
        <v>0</v>
      </c>
      <c r="M51" s="28">
        <f t="shared" si="5"/>
        <v>0</v>
      </c>
    </row>
    <row r="52" spans="1:13" s="15" customFormat="1" ht="11.7" x14ac:dyDescent="0.4">
      <c r="A52" s="49" t="s">
        <v>21</v>
      </c>
      <c r="B52" s="83">
        <f t="shared" ref="B52:I52" si="6">+B33-B40+SUM(B43:B51)</f>
        <v>0</v>
      </c>
      <c r="C52" s="83">
        <f t="shared" si="6"/>
        <v>56953000</v>
      </c>
      <c r="D52" s="83">
        <f t="shared" si="6"/>
        <v>75104000</v>
      </c>
      <c r="E52" s="83">
        <f t="shared" si="6"/>
        <v>4592000</v>
      </c>
      <c r="F52" s="83">
        <f t="shared" si="6"/>
        <v>177215000</v>
      </c>
      <c r="G52" s="83">
        <f t="shared" si="6"/>
        <v>195647000</v>
      </c>
      <c r="H52" s="83">
        <f t="shared" si="6"/>
        <v>-39000</v>
      </c>
      <c r="I52" s="56">
        <f t="shared" si="6"/>
        <v>509472000</v>
      </c>
      <c r="J52" s="47"/>
      <c r="K52" s="56">
        <f>+K33-K40+SUM(K43:K51)</f>
        <v>380227000</v>
      </c>
      <c r="L52" s="56">
        <f>+L33-L40+SUM(L43:L51)</f>
        <v>188030000</v>
      </c>
      <c r="M52" s="56">
        <f>+M33-M40+SUM(M43:M51)</f>
        <v>1077729000</v>
      </c>
    </row>
    <row r="53" spans="1:13" s="15" customFormat="1" ht="11.7" x14ac:dyDescent="0.4">
      <c r="A53" s="49" t="s">
        <v>91</v>
      </c>
      <c r="B53" s="86"/>
      <c r="C53" s="86"/>
      <c r="D53" s="86"/>
      <c r="E53" s="86"/>
      <c r="F53" s="86"/>
      <c r="G53" s="20">
        <f>ROUND(('[8]Changes FY14'!G53),-3)</f>
        <v>0</v>
      </c>
      <c r="H53" s="86"/>
      <c r="I53" s="28">
        <f>SUM(B53:H53)</f>
        <v>0</v>
      </c>
      <c r="J53" s="47"/>
      <c r="K53" s="29">
        <f>ROUND(('[8]Changes FY14'!K53),-3)</f>
        <v>0</v>
      </c>
      <c r="L53" s="43"/>
      <c r="M53" s="28">
        <f>SUM(I53:L53)</f>
        <v>0</v>
      </c>
    </row>
    <row r="54" spans="1:13" s="15" customFormat="1" ht="11.35" x14ac:dyDescent="0.35">
      <c r="A54" s="45" t="s">
        <v>20</v>
      </c>
      <c r="B54" s="40">
        <f>ROUND(('[8]Changes FY14'!B54),-3)</f>
        <v>0</v>
      </c>
      <c r="C54" s="44">
        <f>ROUND(('[8]Changes FY14'!C54),-3)</f>
        <v>0</v>
      </c>
      <c r="D54" s="40">
        <f>ROUND(('[8]Changes FY14'!D54),-3)</f>
        <v>0</v>
      </c>
      <c r="E54" s="44">
        <f>ROUND(('[8]Changes FY14'!E54),-3)</f>
        <v>0</v>
      </c>
      <c r="F54" s="44">
        <f>ROUND(('[8]Changes FY14'!F54),-3)</f>
        <v>0</v>
      </c>
      <c r="G54" s="44">
        <f>ROUND(('[8]Changes FY14'!G54),-3)</f>
        <v>0</v>
      </c>
      <c r="H54" s="44">
        <f>ROUND(('[8]Changes FY14'!H54),-3)</f>
        <v>0</v>
      </c>
      <c r="I54" s="28">
        <f>SUM(B54:H54)</f>
        <v>0</v>
      </c>
      <c r="J54" s="28"/>
      <c r="K54" s="28"/>
      <c r="L54" s="43"/>
      <c r="M54" s="28">
        <f>SUM(I54:L54)</f>
        <v>0</v>
      </c>
    </row>
    <row r="55" spans="1:13" ht="12" customHeight="1" x14ac:dyDescent="0.35">
      <c r="A55" s="41" t="s">
        <v>19</v>
      </c>
      <c r="B55" s="40">
        <f>ROUND(('[8]Changes FY14'!B55),-3)</f>
        <v>0</v>
      </c>
      <c r="C55" s="40">
        <f>ROUND(('[8]Changes FY14'!C55),-3)</f>
        <v>-197424000</v>
      </c>
      <c r="D55" s="40">
        <f>ROUND(('[8]Changes FY14'!D55),-3)</f>
        <v>887945000</v>
      </c>
      <c r="E55" s="40">
        <f>ROUND(('[8]Changes FY14'!E55),-3)</f>
        <v>221023000</v>
      </c>
      <c r="F55" s="40">
        <f>ROUND(('[8]Changes FY14'!F55),-3)</f>
        <v>875289000</v>
      </c>
      <c r="G55" s="40">
        <f>ROUND(('[8]Changes FY14'!G55),-3)</f>
        <v>1134363000</v>
      </c>
      <c r="H55" s="40">
        <f>ROUND(('[8]Changes FY14'!H55),-3)</f>
        <v>-12758000</v>
      </c>
      <c r="I55" s="39">
        <f>SUM(B55:H55)-1000</f>
        <v>2908437000</v>
      </c>
      <c r="J55" s="28"/>
      <c r="K55" s="38">
        <f>ROUND(('[8]Changes FY14'!K55),-3)</f>
        <v>1586567000</v>
      </c>
      <c r="L55" s="38">
        <f>ROUND(('[8]Changes FY14'!L55),-3)</f>
        <v>1889855000</v>
      </c>
      <c r="M55" s="38">
        <f>SUM(I55:L55)</f>
        <v>6384859000</v>
      </c>
    </row>
    <row r="56" spans="1:13" s="9" customFormat="1" ht="12" customHeight="1" x14ac:dyDescent="0.35">
      <c r="A56" s="37" t="s">
        <v>18</v>
      </c>
      <c r="B56" s="85">
        <f t="shared" ref="B56:M56" si="7">SUM(B52:B55)</f>
        <v>0</v>
      </c>
      <c r="C56" s="85">
        <f t="shared" si="7"/>
        <v>-140471000</v>
      </c>
      <c r="D56" s="85">
        <f t="shared" si="7"/>
        <v>963049000</v>
      </c>
      <c r="E56" s="85">
        <f t="shared" si="7"/>
        <v>225615000</v>
      </c>
      <c r="F56" s="85">
        <f t="shared" si="7"/>
        <v>1052504000</v>
      </c>
      <c r="G56" s="85">
        <f t="shared" si="7"/>
        <v>1330010000</v>
      </c>
      <c r="H56" s="85">
        <f t="shared" si="7"/>
        <v>-12797000</v>
      </c>
      <c r="I56" s="23">
        <f t="shared" si="7"/>
        <v>3417909000</v>
      </c>
      <c r="J56" s="32">
        <f t="shared" si="7"/>
        <v>0</v>
      </c>
      <c r="K56" s="23">
        <f t="shared" si="7"/>
        <v>1966794000</v>
      </c>
      <c r="L56" s="23">
        <f t="shared" si="7"/>
        <v>2077885000</v>
      </c>
      <c r="M56" s="23">
        <f t="shared" si="7"/>
        <v>7462588000</v>
      </c>
    </row>
    <row r="57" spans="1:13" s="7" customFormat="1" ht="2.1" customHeight="1" x14ac:dyDescent="0.35">
      <c r="B57" s="35"/>
      <c r="C57" s="35"/>
      <c r="D57" s="35"/>
      <c r="E57" s="35"/>
      <c r="F57" s="35"/>
      <c r="G57" s="35"/>
      <c r="H57" s="35"/>
      <c r="I57" s="34"/>
      <c r="J57" s="28"/>
      <c r="K57" s="34"/>
      <c r="L57" s="34"/>
      <c r="M57" s="34"/>
    </row>
    <row r="58" spans="1:13" ht="9.9499999999999993" customHeight="1" x14ac:dyDescent="0.35">
      <c r="A58" s="2"/>
      <c r="B58" s="20"/>
      <c r="C58" s="20"/>
      <c r="D58" s="20"/>
      <c r="E58" s="20"/>
      <c r="F58" s="20"/>
      <c r="G58" s="20"/>
      <c r="H58" s="20"/>
      <c r="I58" s="28"/>
      <c r="J58" s="28"/>
      <c r="K58" s="28"/>
      <c r="L58" s="28"/>
      <c r="M58" s="28"/>
    </row>
    <row r="59" spans="1:13" ht="9.9499999999999993" customHeight="1" x14ac:dyDescent="0.35">
      <c r="A59" s="33" t="s">
        <v>17</v>
      </c>
      <c r="B59" s="20"/>
      <c r="C59" s="20"/>
      <c r="D59" s="20"/>
      <c r="E59" s="20"/>
      <c r="F59" s="20"/>
      <c r="G59" s="20"/>
      <c r="H59" s="20"/>
      <c r="I59" s="28"/>
      <c r="J59" s="28"/>
      <c r="K59" s="28"/>
      <c r="L59" s="28"/>
      <c r="M59" s="28"/>
    </row>
    <row r="60" spans="1:13" s="2" customFormat="1" ht="9.9499999999999993" customHeight="1" x14ac:dyDescent="0.35">
      <c r="A60" s="6" t="s">
        <v>16</v>
      </c>
      <c r="B60" s="20">
        <f>ROUND(('[8]Changes FY14'!B60),-3)</f>
        <v>0</v>
      </c>
      <c r="C60" s="30">
        <f>ROUND(('[8]Changes FY14'!C60),-3)+1000</f>
        <v>-36092000</v>
      </c>
      <c r="D60" s="30">
        <f>ROUND(('[8]Changes FY14'!D60),-3)</f>
        <v>89032000</v>
      </c>
      <c r="E60" s="20">
        <f>ROUND(('[8]Changes FY14'!E60),-3)</f>
        <v>0</v>
      </c>
      <c r="F60" s="30">
        <f>ROUND(('[8]Changes FY14'!F60),-3)</f>
        <v>0</v>
      </c>
      <c r="G60" s="20">
        <f>ROUND(('[8]Changes FY14'!G60),-3)</f>
        <v>0</v>
      </c>
      <c r="H60" s="30">
        <f>ROUND(('[8]Changes FY14'!H60),-3)</f>
        <v>-17440000</v>
      </c>
      <c r="I60" s="32">
        <f>SUM(B60:H60)-1000</f>
        <v>35499000</v>
      </c>
      <c r="J60" s="28"/>
      <c r="K60" s="29">
        <f>ROUND(('[8]Changes FY14'!K60),-3)</f>
        <v>0</v>
      </c>
      <c r="L60" s="29">
        <f>ROUND(('[8]Changes FY14'!L60),-3)</f>
        <v>0</v>
      </c>
      <c r="M60" s="32">
        <f t="shared" ref="M60:M75" si="8">SUM(I60:L60)</f>
        <v>35499000</v>
      </c>
    </row>
    <row r="61" spans="1:13" s="2" customFormat="1" ht="9.9499999999999993" customHeight="1" x14ac:dyDescent="0.35">
      <c r="A61" s="6" t="s">
        <v>15</v>
      </c>
      <c r="B61" s="20">
        <f>ROUND(('[8]Changes FY14'!B61),-3)</f>
        <v>0</v>
      </c>
      <c r="C61" s="20">
        <f>ROUND(('[8]Changes FY14'!C61),-3)</f>
        <v>-104379000</v>
      </c>
      <c r="D61" s="20">
        <f>ROUND(('[8]Changes FY14'!D61),-3)</f>
        <v>677923000</v>
      </c>
      <c r="E61" s="30">
        <f>ROUND(('[8]Changes FY14'!E61),-3)</f>
        <v>147183000</v>
      </c>
      <c r="F61" s="20">
        <f>ROUND(('[8]Changes FY14'!F61),-3)</f>
        <v>0</v>
      </c>
      <c r="G61" s="20">
        <f>ROUND(('[8]Changes FY14'!G61),-3)</f>
        <v>0</v>
      </c>
      <c r="H61" s="20">
        <f>ROUND(('[8]Changes FY14'!H61),-3)-1000</f>
        <v>4643000</v>
      </c>
      <c r="I61" s="28">
        <f t="shared" ref="I61:I75" si="9">SUM(B61:H61)</f>
        <v>725370000</v>
      </c>
      <c r="J61" s="28"/>
      <c r="K61" s="29">
        <f>ROUND(('[8]Changes FY14'!K61),-3)</f>
        <v>0</v>
      </c>
      <c r="L61" s="29">
        <f>ROUND(('[8]Changes FY14'!L61),-3)</f>
        <v>0</v>
      </c>
      <c r="M61" s="28">
        <f t="shared" si="8"/>
        <v>725370000</v>
      </c>
    </row>
    <row r="62" spans="1:13" s="2" customFormat="1" x14ac:dyDescent="0.35">
      <c r="A62" s="6" t="s">
        <v>14</v>
      </c>
      <c r="B62" s="20">
        <f>ROUND(('[8]Changes FY14'!B62),-3)</f>
        <v>0</v>
      </c>
      <c r="C62" s="20">
        <f>ROUND(('[8]Changes FY14'!C62),-3)</f>
        <v>0</v>
      </c>
      <c r="D62" s="20">
        <f>ROUND(('[8]Changes FY14'!D62),-3)</f>
        <v>0</v>
      </c>
      <c r="E62" s="20">
        <f>ROUND(('[8]Changes FY14'!E62),-3)</f>
        <v>0</v>
      </c>
      <c r="F62" s="20">
        <f>ROUND(('[8]Changes FY14'!F62),-3)</f>
        <v>0</v>
      </c>
      <c r="G62" s="20">
        <f>ROUND(('[8]Changes FY14'!G62),-3)</f>
        <v>0</v>
      </c>
      <c r="H62" s="20">
        <f>ROUND(('[8]Changes FY14'!H62),-3)</f>
        <v>0</v>
      </c>
      <c r="I62" s="28">
        <f t="shared" si="9"/>
        <v>0</v>
      </c>
      <c r="J62" s="28"/>
      <c r="K62" s="31">
        <f>ROUND(('[8]Changes FY14'!K62),-3)-1000</f>
        <v>35221000</v>
      </c>
      <c r="L62" s="31">
        <f>ROUND(('[8]Changes FY14'!L62),-3)</f>
        <v>27914000</v>
      </c>
      <c r="M62" s="28">
        <f t="shared" si="8"/>
        <v>63135000</v>
      </c>
    </row>
    <row r="63" spans="1:13" s="2" customFormat="1" ht="9.9499999999999993" customHeight="1" x14ac:dyDescent="0.35">
      <c r="A63" s="6" t="s">
        <v>13</v>
      </c>
      <c r="B63" s="20">
        <f>ROUND(('[8]Changes FY14'!B63),-3)</f>
        <v>0</v>
      </c>
      <c r="C63" s="20">
        <f>ROUND(('[8]Changes FY14'!C63),-3)</f>
        <v>0</v>
      </c>
      <c r="D63" s="20">
        <f>ROUND(('[8]Changes FY14'!D63),-3)</f>
        <v>0</v>
      </c>
      <c r="E63" s="20">
        <f>ROUND(('[8]Changes FY14'!E63),-3)</f>
        <v>0</v>
      </c>
      <c r="F63" s="20">
        <f>ROUND(('[8]Changes FY14'!F63),-3)</f>
        <v>0</v>
      </c>
      <c r="G63" s="30">
        <f>ROUND(('[8]Changes FY14'!G63),-3)</f>
        <v>0</v>
      </c>
      <c r="H63" s="20">
        <f>ROUND(('[8]Changes FY14'!H63),-3)</f>
        <v>0</v>
      </c>
      <c r="I63" s="28">
        <f t="shared" si="9"/>
        <v>0</v>
      </c>
      <c r="J63" s="28"/>
      <c r="K63" s="29">
        <f>ROUND(('[8]Changes FY14'!K63),-3)</f>
        <v>288879000</v>
      </c>
      <c r="L63" s="29">
        <f>ROUND(('[8]Changes FY14'!L63),-3)</f>
        <v>288148000</v>
      </c>
      <c r="M63" s="28">
        <f t="shared" si="8"/>
        <v>577027000</v>
      </c>
    </row>
    <row r="64" spans="1:13" s="2" customFormat="1" ht="9.9499999999999993" customHeight="1" x14ac:dyDescent="0.35">
      <c r="A64" s="6" t="s">
        <v>90</v>
      </c>
      <c r="B64" s="20"/>
      <c r="C64" s="30">
        <f>ROUND(('[8]Changes FY14'!C64),-3)</f>
        <v>0</v>
      </c>
      <c r="D64" s="20"/>
      <c r="E64" s="20"/>
      <c r="F64" s="20"/>
      <c r="G64" s="30"/>
      <c r="H64" s="20"/>
      <c r="I64" s="28">
        <f t="shared" si="9"/>
        <v>0</v>
      </c>
      <c r="J64" s="28"/>
      <c r="K64" s="29"/>
      <c r="L64" s="29"/>
      <c r="M64" s="28">
        <f t="shared" si="8"/>
        <v>0</v>
      </c>
    </row>
    <row r="65" spans="1:13" s="2" customFormat="1" ht="9.9499999999999993" customHeight="1" x14ac:dyDescent="0.35">
      <c r="A65" s="6" t="s">
        <v>12</v>
      </c>
      <c r="B65" s="20">
        <f>ROUND(('[8]Changes FY14'!B65),-3)</f>
        <v>0</v>
      </c>
      <c r="C65" s="20">
        <f>ROUND(('[8]Changes FY14'!C65),-3)</f>
        <v>0</v>
      </c>
      <c r="D65" s="20">
        <f>ROUND(('[8]Changes FY14'!D65),-3)</f>
        <v>0</v>
      </c>
      <c r="E65" s="20">
        <f>ROUND(('[8]Changes FY14'!E65),-3)</f>
        <v>0</v>
      </c>
      <c r="F65" s="20">
        <f>ROUND(('[8]Changes FY14'!F65),-3)</f>
        <v>0</v>
      </c>
      <c r="G65" s="20">
        <f>ROUND(('[8]Changes FY14'!G65),-3)</f>
        <v>0</v>
      </c>
      <c r="H65" s="20">
        <f>ROUND(('[8]Changes FY14'!H65),-3)</f>
        <v>0</v>
      </c>
      <c r="I65" s="28">
        <f t="shared" si="9"/>
        <v>0</v>
      </c>
      <c r="J65" s="28"/>
      <c r="K65" s="29">
        <f>ROUND(('[8]Changes FY14'!K65),-3)</f>
        <v>0</v>
      </c>
      <c r="L65" s="29">
        <f>ROUND(('[8]Changes FY14'!L65),-3)</f>
        <v>0</v>
      </c>
      <c r="M65" s="28">
        <f t="shared" si="8"/>
        <v>0</v>
      </c>
    </row>
    <row r="66" spans="1:13" s="2" customFormat="1" ht="9.9499999999999993" customHeight="1" x14ac:dyDescent="0.35">
      <c r="A66" s="6" t="s">
        <v>11</v>
      </c>
      <c r="B66" s="20">
        <f>ROUND(('[8]Changes FY14'!B66),-3)</f>
        <v>0</v>
      </c>
      <c r="C66" s="20">
        <f>ROUND(('[8]Changes FY14'!C66),-3)</f>
        <v>0</v>
      </c>
      <c r="D66" s="20">
        <f>ROUND(('[8]Changes FY14'!D66),-3)</f>
        <v>196094000</v>
      </c>
      <c r="E66" s="20">
        <f>ROUND(('[8]Changes FY14'!E66),-3)</f>
        <v>0</v>
      </c>
      <c r="F66" s="20">
        <f>ROUND(('[8]Changes FY14'!F66),-3)</f>
        <v>0</v>
      </c>
      <c r="G66" s="20">
        <f>ROUND(('[8]Changes FY14'!G66),-3)</f>
        <v>0</v>
      </c>
      <c r="H66" s="20">
        <f>ROUND(('[8]Changes FY14'!H66),-3)</f>
        <v>0</v>
      </c>
      <c r="I66" s="28">
        <f t="shared" si="9"/>
        <v>196094000</v>
      </c>
      <c r="J66" s="28"/>
      <c r="K66" s="29">
        <f>ROUND(('[8]Changes FY14'!K66),-3)</f>
        <v>0</v>
      </c>
      <c r="L66" s="29">
        <f>ROUND(('[8]Changes FY14'!L66),-3)</f>
        <v>0</v>
      </c>
      <c r="M66" s="28">
        <f t="shared" si="8"/>
        <v>196094000</v>
      </c>
    </row>
    <row r="67" spans="1:13" s="2" customFormat="1" ht="9.9499999999999993" customHeight="1" x14ac:dyDescent="0.35">
      <c r="A67" s="6" t="s">
        <v>10</v>
      </c>
      <c r="B67" s="20">
        <f>ROUND(('[8]Changes FY14'!B67),-3)</f>
        <v>0</v>
      </c>
      <c r="C67" s="20">
        <f>ROUND(('[8]Changes FY14'!C67),-3)</f>
        <v>0</v>
      </c>
      <c r="D67" s="20">
        <f>ROUND(('[8]Changes FY14'!D67),-3)</f>
        <v>0</v>
      </c>
      <c r="E67" s="20">
        <f>ROUND(('[8]Changes FY14'!E67),-3)</f>
        <v>0</v>
      </c>
      <c r="F67" s="20">
        <f>ROUND(('[8]Changes FY14'!F67),-3)</f>
        <v>0</v>
      </c>
      <c r="G67" s="20">
        <f>ROUND(('[8]Changes FY14'!G67),-3)</f>
        <v>0</v>
      </c>
      <c r="H67" s="20">
        <f>ROUND(('[8]Changes FY14'!H67),-3)</f>
        <v>0</v>
      </c>
      <c r="I67" s="28">
        <f t="shared" si="9"/>
        <v>0</v>
      </c>
      <c r="J67" s="28"/>
      <c r="K67" s="29">
        <f>ROUND(('[8]Changes FY14'!K67),-3)</f>
        <v>50683000</v>
      </c>
      <c r="L67" s="29">
        <f>ROUND(('[8]Changes FY14'!L67),-3)</f>
        <v>90830000</v>
      </c>
      <c r="M67" s="28">
        <f t="shared" si="8"/>
        <v>141513000</v>
      </c>
    </row>
    <row r="68" spans="1:13" s="2" customFormat="1" ht="9.9499999999999993" customHeight="1" x14ac:dyDescent="0.35">
      <c r="A68" s="6" t="s">
        <v>9</v>
      </c>
      <c r="B68" s="20">
        <f>ROUND(('[8]Changes FY14'!B68),-3)</f>
        <v>0</v>
      </c>
      <c r="C68" s="20">
        <f>ROUND(('[8]Changes FY14'!C68),-3)</f>
        <v>0</v>
      </c>
      <c r="D68" s="20">
        <f>ROUND(('[8]Changes FY14'!D68),-3)</f>
        <v>0</v>
      </c>
      <c r="E68" s="20">
        <f>ROUND(('[8]Changes FY14'!E68),-3)</f>
        <v>0</v>
      </c>
      <c r="F68" s="20">
        <f>ROUND(('[8]Changes FY14'!F68),-3)</f>
        <v>0</v>
      </c>
      <c r="G68" s="20">
        <f>ROUND(('[8]Changes FY14'!G68),-3)</f>
        <v>0</v>
      </c>
      <c r="H68" s="20">
        <f>ROUND(('[8]Changes FY14'!H68),-3)</f>
        <v>0</v>
      </c>
      <c r="I68" s="28">
        <f t="shared" si="9"/>
        <v>0</v>
      </c>
      <c r="J68" s="28"/>
      <c r="K68" s="29">
        <f>ROUND(('[8]Changes FY14'!K68),-3)</f>
        <v>1592011000</v>
      </c>
      <c r="L68" s="29">
        <f>ROUND(('[8]Changes FY14'!L68),-3)</f>
        <v>1670993000</v>
      </c>
      <c r="M68" s="28">
        <f t="shared" si="8"/>
        <v>3263004000</v>
      </c>
    </row>
    <row r="69" spans="1:13" s="2" customFormat="1" x14ac:dyDescent="0.35">
      <c r="A69" s="6" t="s">
        <v>8</v>
      </c>
      <c r="B69" s="20">
        <f>ROUND(('[8]Changes FY14'!B69),-3)</f>
        <v>0</v>
      </c>
      <c r="C69" s="20">
        <f>ROUND(('[8]Changes FY14'!C69),-3)</f>
        <v>0</v>
      </c>
      <c r="D69" s="20">
        <f>ROUND(('[8]Changes FY14'!D69),-3)</f>
        <v>0</v>
      </c>
      <c r="E69" s="20">
        <f>ROUND(('[8]Changes FY14'!E69),-3)</f>
        <v>0</v>
      </c>
      <c r="F69" s="20">
        <f>ROUND(('[8]Changes FY14'!F69),-3)</f>
        <v>0</v>
      </c>
      <c r="G69" s="20">
        <f>ROUND(('[8]Changes FY14'!G69),-3)</f>
        <v>0</v>
      </c>
      <c r="H69" s="20">
        <f>ROUND(('[8]Changes FY14'!H69),-3)</f>
        <v>0</v>
      </c>
      <c r="I69" s="28">
        <f t="shared" si="9"/>
        <v>0</v>
      </c>
      <c r="J69" s="28"/>
      <c r="K69" s="29">
        <f>ROUND(('[8]Changes FY14'!K69),-3)</f>
        <v>0</v>
      </c>
      <c r="L69" s="29">
        <f>ROUND(('[8]Changes FY14'!L69),-3)</f>
        <v>0</v>
      </c>
      <c r="M69" s="28">
        <f t="shared" si="8"/>
        <v>0</v>
      </c>
    </row>
    <row r="70" spans="1:13" s="2" customFormat="1" x14ac:dyDescent="0.35">
      <c r="A70" s="6" t="s">
        <v>7</v>
      </c>
      <c r="B70" s="20">
        <f>ROUND(('[8]Changes FY14'!B70),-3)</f>
        <v>0</v>
      </c>
      <c r="C70" s="20">
        <f>ROUND(('[8]Changes FY14'!C70),-3)</f>
        <v>0</v>
      </c>
      <c r="D70" s="20">
        <f>ROUND(('[8]Changes FY14'!D70),-3)</f>
        <v>0</v>
      </c>
      <c r="E70" s="20">
        <f>ROUND(('[8]Changes FY14'!E70),-3)</f>
        <v>0</v>
      </c>
      <c r="F70" s="20">
        <f>ROUND(('[8]Changes FY14'!F70),-3)</f>
        <v>0</v>
      </c>
      <c r="G70" s="20">
        <f>ROUND(('[8]Changes FY14'!G70),-3)</f>
        <v>1330010000</v>
      </c>
      <c r="H70" s="20">
        <f>ROUND(('[8]Changes FY14'!H70),-3)</f>
        <v>0</v>
      </c>
      <c r="I70" s="28">
        <f t="shared" si="9"/>
        <v>1330010000</v>
      </c>
      <c r="J70" s="28"/>
      <c r="K70" s="29">
        <f>ROUND(('[8]Changes FY14'!K70),-3)</f>
        <v>0</v>
      </c>
      <c r="L70" s="29">
        <f>ROUND(('[8]Changes FY14'!L70),-3)</f>
        <v>0</v>
      </c>
      <c r="M70" s="28">
        <f t="shared" si="8"/>
        <v>1330010000</v>
      </c>
    </row>
    <row r="71" spans="1:13" s="2" customFormat="1" x14ac:dyDescent="0.35">
      <c r="A71" s="6" t="s">
        <v>6</v>
      </c>
      <c r="B71" s="20">
        <f>ROUND(('[8]Changes FY14'!B71),-3)</f>
        <v>0</v>
      </c>
      <c r="C71" s="20">
        <f>ROUND(('[8]Changes FY14'!C71),-3)</f>
        <v>0</v>
      </c>
      <c r="D71" s="20">
        <f>ROUND(('[8]Changes FY14'!D71),-3)</f>
        <v>0</v>
      </c>
      <c r="E71" s="20">
        <f>ROUND(('[8]Changes FY14'!E71),-3)</f>
        <v>0</v>
      </c>
      <c r="F71" s="20">
        <f>ROUND(('[8]Changes FY14'!F71),-3)</f>
        <v>0</v>
      </c>
      <c r="G71" s="20">
        <f>ROUND(('[8]Changes FY14'!G71),-3)</f>
        <v>0</v>
      </c>
      <c r="H71" s="20">
        <f>ROUND(('[8]Changes FY14'!H71),-3)</f>
        <v>0</v>
      </c>
      <c r="I71" s="28">
        <f t="shared" si="9"/>
        <v>0</v>
      </c>
      <c r="J71" s="28"/>
      <c r="K71" s="29">
        <f>ROUND(('[8]Changes FY14'!K71),-3)</f>
        <v>0</v>
      </c>
      <c r="L71" s="29">
        <f>ROUND(('[8]Changes FY14'!L71),-3)</f>
        <v>0</v>
      </c>
      <c r="M71" s="28">
        <f t="shared" si="8"/>
        <v>0</v>
      </c>
    </row>
    <row r="72" spans="1:13" s="2" customFormat="1" x14ac:dyDescent="0.35">
      <c r="A72" s="6" t="s">
        <v>5</v>
      </c>
      <c r="B72" s="20">
        <f>ROUND(('[8]Changes FY14'!B72),-3)</f>
        <v>0</v>
      </c>
      <c r="C72" s="20">
        <f>ROUND(('[8]Changes FY14'!C72),-3)</f>
        <v>0</v>
      </c>
      <c r="D72" s="20">
        <f>ROUND(('[8]Changes FY14'!D72),-3)</f>
        <v>0</v>
      </c>
      <c r="E72" s="20">
        <f>ROUND(('[8]Changes FY14'!E72),-3)</f>
        <v>0</v>
      </c>
      <c r="F72" s="20">
        <f>ROUND(('[8]Changes FY14'!F72),-3)</f>
        <v>0</v>
      </c>
      <c r="G72" s="20">
        <f>ROUND(('[8]Changes FY14'!G72),-3)</f>
        <v>0</v>
      </c>
      <c r="H72" s="20">
        <f>ROUND(('[8]Changes FY14'!H72),-3)</f>
        <v>0</v>
      </c>
      <c r="I72" s="28">
        <f t="shared" si="9"/>
        <v>0</v>
      </c>
      <c r="J72" s="28"/>
      <c r="K72" s="29">
        <f>ROUND(('[8]Changes FY14'!K72),-3)</f>
        <v>0</v>
      </c>
      <c r="L72" s="29">
        <f>ROUND(('[8]Changes FY14'!L72),-3)</f>
        <v>0</v>
      </c>
      <c r="M72" s="28">
        <f t="shared" si="8"/>
        <v>0</v>
      </c>
    </row>
    <row r="73" spans="1:13" s="2" customFormat="1" x14ac:dyDescent="0.35">
      <c r="A73" s="6" t="s">
        <v>4</v>
      </c>
      <c r="B73" s="20">
        <f>ROUND(('[8]Changes FY14'!B73),-3)</f>
        <v>0</v>
      </c>
      <c r="C73" s="20">
        <f>ROUND(('[8]Changes FY14'!C73),-3)</f>
        <v>0</v>
      </c>
      <c r="D73" s="20">
        <f>ROUND(('[8]Changes FY14'!D73),-3)</f>
        <v>0</v>
      </c>
      <c r="E73" s="20">
        <f>ROUND(('[8]Changes FY14'!E73),-3)</f>
        <v>0</v>
      </c>
      <c r="F73" s="20">
        <f>ROUND(('[8]Changes FY14'!F73),-3)</f>
        <v>0</v>
      </c>
      <c r="G73" s="20">
        <f>ROUND(('[8]Changes FY14'!G73),-3)</f>
        <v>0</v>
      </c>
      <c r="H73" s="20">
        <f>ROUND(('[8]Changes FY14'!H73),-3)</f>
        <v>0</v>
      </c>
      <c r="I73" s="28">
        <f t="shared" si="9"/>
        <v>0</v>
      </c>
      <c r="J73" s="28"/>
      <c r="K73" s="29">
        <f>ROUND(('[8]Changes FY14'!K73),-3)</f>
        <v>0</v>
      </c>
      <c r="L73" s="29">
        <f>ROUND(('[8]Changes FY14'!L73),-3)</f>
        <v>0</v>
      </c>
      <c r="M73" s="28">
        <f t="shared" si="8"/>
        <v>0</v>
      </c>
    </row>
    <row r="74" spans="1:13" s="2" customFormat="1" x14ac:dyDescent="0.35">
      <c r="A74" s="6" t="s">
        <v>3</v>
      </c>
      <c r="B74" s="20">
        <f>ROUND(('[8]Changes FY14'!B74),-3)</f>
        <v>0</v>
      </c>
      <c r="C74" s="20">
        <f>ROUND(('[8]Changes FY14'!C74),-3)</f>
        <v>0</v>
      </c>
      <c r="D74" s="20">
        <f>ROUND(('[8]Changes FY14'!D74),-3)</f>
        <v>0</v>
      </c>
      <c r="E74" s="20">
        <f>ROUND(('[8]Changes FY14'!E74),-3)+1000</f>
        <v>78432000</v>
      </c>
      <c r="F74" s="20">
        <f>ROUND(('[8]Changes FY14'!F74),-3)</f>
        <v>0</v>
      </c>
      <c r="G74" s="20">
        <f>ROUND(('[8]Changes FY14'!G74),-3)</f>
        <v>0</v>
      </c>
      <c r="H74" s="20">
        <f>ROUND(('[8]Changes FY14'!H74),-3)</f>
        <v>0</v>
      </c>
      <c r="I74" s="28">
        <f t="shared" si="9"/>
        <v>78432000</v>
      </c>
      <c r="J74" s="28"/>
      <c r="K74" s="29">
        <f>ROUND(('[8]Changes FY14'!K74),-3)</f>
        <v>0</v>
      </c>
      <c r="L74" s="29">
        <f>ROUND(('[8]Changes FY14'!L74),-3)</f>
        <v>0</v>
      </c>
      <c r="M74" s="28">
        <f t="shared" si="8"/>
        <v>78432000</v>
      </c>
    </row>
    <row r="75" spans="1:13" s="2" customFormat="1" x14ac:dyDescent="0.35">
      <c r="A75" s="6" t="s">
        <v>2</v>
      </c>
      <c r="B75" s="20">
        <f>ROUND(('[8]Changes FY14'!B75),-3)</f>
        <v>0</v>
      </c>
      <c r="C75" s="20">
        <f>ROUND(('[8]Changes FY14'!C75),-3)</f>
        <v>0</v>
      </c>
      <c r="D75" s="20">
        <f>ROUND(('[8]Changes FY14'!D75),-3)</f>
        <v>0</v>
      </c>
      <c r="E75" s="20">
        <f>ROUND(('[8]Changes FY14'!E75),-3)</f>
        <v>0</v>
      </c>
      <c r="F75" s="20">
        <f>ROUND(('[8]Changes FY14'!F75),-3)+1000</f>
        <v>1052504000</v>
      </c>
      <c r="G75" s="20">
        <f>ROUND(('[8]Changes FY14'!G75),-3)</f>
        <v>0</v>
      </c>
      <c r="H75" s="20">
        <f>ROUND(('[8]Changes FY14'!H75),-3)</f>
        <v>0</v>
      </c>
      <c r="I75" s="28">
        <f t="shared" si="9"/>
        <v>1052504000</v>
      </c>
      <c r="J75" s="28"/>
      <c r="K75" s="29">
        <f>ROUND(('[8]Changes FY14'!K75),-3)</f>
        <v>0</v>
      </c>
      <c r="L75" s="29">
        <f>ROUND(('[8]Changes FY14'!L75),-3)</f>
        <v>0</v>
      </c>
      <c r="M75" s="28">
        <f t="shared" si="8"/>
        <v>1052504000</v>
      </c>
    </row>
    <row r="76" spans="1:13" s="2" customFormat="1" ht="12" thickBot="1" x14ac:dyDescent="0.45">
      <c r="A76" s="27"/>
      <c r="B76" s="26">
        <f t="shared" ref="B76:I76" si="10">SUM(B60:B75)</f>
        <v>0</v>
      </c>
      <c r="C76" s="25">
        <f t="shared" si="10"/>
        <v>-140471000</v>
      </c>
      <c r="D76" s="25">
        <f t="shared" si="10"/>
        <v>963049000</v>
      </c>
      <c r="E76" s="25">
        <f t="shared" si="10"/>
        <v>225615000</v>
      </c>
      <c r="F76" s="25">
        <f t="shared" si="10"/>
        <v>1052504000</v>
      </c>
      <c r="G76" s="25">
        <f t="shared" si="10"/>
        <v>1330010000</v>
      </c>
      <c r="H76" s="25">
        <f t="shared" si="10"/>
        <v>-12797000</v>
      </c>
      <c r="I76" s="23">
        <f t="shared" si="10"/>
        <v>3417909000</v>
      </c>
      <c r="J76" s="24"/>
      <c r="K76" s="23">
        <f>SUM(K60:K75)</f>
        <v>1966794000</v>
      </c>
      <c r="L76" s="23">
        <f>SUM(L60:L75)</f>
        <v>2077885000</v>
      </c>
      <c r="M76" s="23">
        <f>SUM(M60:M75)</f>
        <v>7462588000</v>
      </c>
    </row>
    <row r="77" spans="1:13" s="2" customFormat="1" ht="10.7" thickTop="1" x14ac:dyDescent="0.35">
      <c r="A77" s="21" t="s">
        <v>1</v>
      </c>
      <c r="B77" s="19"/>
      <c r="C77" s="19"/>
      <c r="D77" s="19"/>
      <c r="E77" s="19"/>
      <c r="F77" s="19"/>
      <c r="G77" s="19"/>
      <c r="H77" s="19"/>
      <c r="I77" s="19"/>
      <c r="J77" s="20"/>
      <c r="K77" s="19"/>
      <c r="L77" s="19"/>
      <c r="M77" s="19"/>
    </row>
    <row r="78" spans="1:13" s="2" customFormat="1" x14ac:dyDescent="0.35">
      <c r="A78" s="2" t="s">
        <v>0</v>
      </c>
      <c r="B78" s="18">
        <f t="shared" ref="B78:M78" si="11">B56-B76</f>
        <v>0</v>
      </c>
      <c r="C78" s="18">
        <f t="shared" si="11"/>
        <v>0</v>
      </c>
      <c r="D78" s="18">
        <f t="shared" si="11"/>
        <v>0</v>
      </c>
      <c r="E78" s="18">
        <f t="shared" si="11"/>
        <v>0</v>
      </c>
      <c r="F78" s="18">
        <f t="shared" si="11"/>
        <v>0</v>
      </c>
      <c r="G78" s="18">
        <f t="shared" si="11"/>
        <v>0</v>
      </c>
      <c r="H78" s="18">
        <f t="shared" si="11"/>
        <v>0</v>
      </c>
      <c r="I78" s="18">
        <f t="shared" si="11"/>
        <v>0</v>
      </c>
      <c r="J78" s="18">
        <f t="shared" si="11"/>
        <v>0</v>
      </c>
      <c r="K78" s="18">
        <f t="shared" si="11"/>
        <v>0</v>
      </c>
      <c r="L78" s="18">
        <f t="shared" si="11"/>
        <v>0</v>
      </c>
      <c r="M78" s="18">
        <f t="shared" si="11"/>
        <v>0</v>
      </c>
    </row>
    <row r="79" spans="1:13" s="2" customFormat="1" x14ac:dyDescent="0.35"/>
    <row r="80" spans="1:13" s="2" customFormat="1" x14ac:dyDescent="0.35">
      <c r="D80" s="17"/>
    </row>
    <row r="81" spans="1:13" s="2" customFormat="1" x14ac:dyDescent="0.35">
      <c r="G81" s="14"/>
      <c r="H81" s="14"/>
      <c r="I81" s="14"/>
      <c r="J81" s="14"/>
      <c r="K81" s="14"/>
    </row>
    <row r="82" spans="1:13" s="2" customFormat="1" x14ac:dyDescent="0.35">
      <c r="G82" s="14"/>
      <c r="H82" s="16"/>
      <c r="I82" s="16"/>
      <c r="J82" s="14"/>
      <c r="K82" s="14"/>
    </row>
    <row r="83" spans="1:13" ht="11.1" customHeight="1" x14ac:dyDescent="0.35">
      <c r="A83" s="2"/>
      <c r="B83" s="2"/>
      <c r="C83" s="2"/>
      <c r="D83" s="2"/>
      <c r="E83" s="2"/>
      <c r="G83" s="15"/>
      <c r="H83" s="15"/>
      <c r="I83" s="15"/>
      <c r="J83" s="14"/>
      <c r="K83" s="15"/>
      <c r="L83" s="2"/>
      <c r="M83" s="2"/>
    </row>
    <row r="84" spans="1:13" x14ac:dyDescent="0.35">
      <c r="A84" s="2"/>
      <c r="B84" s="2"/>
      <c r="C84" s="2"/>
      <c r="D84" s="2"/>
      <c r="E84" s="2"/>
      <c r="G84" s="15"/>
      <c r="H84" s="15"/>
      <c r="I84" s="15"/>
      <c r="J84" s="14"/>
      <c r="K84" s="14"/>
      <c r="L84" s="2"/>
      <c r="M84" s="2"/>
    </row>
    <row r="85" spans="1:13" x14ac:dyDescent="0.35">
      <c r="A85" s="2"/>
      <c r="B85" s="2"/>
      <c r="C85" s="2"/>
      <c r="D85" s="2"/>
      <c r="E85" s="2"/>
      <c r="G85" s="15"/>
      <c r="H85" s="15"/>
      <c r="I85" s="15"/>
      <c r="J85" s="14"/>
      <c r="K85" s="15"/>
      <c r="L85" s="2"/>
      <c r="M85" s="2"/>
    </row>
    <row r="86" spans="1:13" ht="11.1" customHeight="1" x14ac:dyDescent="0.35">
      <c r="A86" s="2"/>
      <c r="B86" s="2"/>
      <c r="C86" s="2"/>
      <c r="D86" s="2"/>
      <c r="E86" s="2"/>
      <c r="G86" s="15"/>
      <c r="H86" s="15"/>
      <c r="I86" s="15"/>
      <c r="J86" s="14"/>
      <c r="K86" s="14"/>
      <c r="L86" s="2"/>
      <c r="M86" s="2"/>
    </row>
    <row r="87" spans="1:13" x14ac:dyDescent="0.35">
      <c r="A87" s="2"/>
      <c r="B87" s="2"/>
      <c r="C87" s="2"/>
      <c r="D87" s="2"/>
      <c r="E87" s="2"/>
      <c r="G87" s="15"/>
      <c r="H87" s="15"/>
      <c r="I87" s="15"/>
      <c r="J87" s="14"/>
      <c r="K87" s="14"/>
      <c r="L87" s="2"/>
      <c r="M87" s="2"/>
    </row>
    <row r="88" spans="1:13" x14ac:dyDescent="0.35">
      <c r="A88" s="2"/>
      <c r="B88" s="2"/>
      <c r="C88" s="2"/>
      <c r="D88" s="2"/>
      <c r="E88" s="2"/>
      <c r="K88" s="2"/>
      <c r="L88" s="2"/>
      <c r="M88" s="2"/>
    </row>
    <row r="89" spans="1:13" x14ac:dyDescent="0.35">
      <c r="A89" s="2"/>
      <c r="B89" s="2"/>
      <c r="C89" s="2"/>
      <c r="D89" s="2"/>
      <c r="E89" s="2"/>
      <c r="K89" s="2"/>
      <c r="L89" s="2"/>
      <c r="M89" s="2"/>
    </row>
    <row r="90" spans="1:13" x14ac:dyDescent="0.35">
      <c r="A90" s="2"/>
      <c r="B90" s="2"/>
      <c r="C90" s="2"/>
      <c r="D90" s="2"/>
      <c r="E90" s="2"/>
      <c r="K90" s="2"/>
      <c r="L90" s="2"/>
      <c r="M90" s="2"/>
    </row>
    <row r="91" spans="1:13" x14ac:dyDescent="0.35">
      <c r="A91" s="2"/>
      <c r="B91" s="2"/>
      <c r="C91" s="2"/>
      <c r="D91" s="2"/>
      <c r="E91" s="2"/>
      <c r="K91" s="2"/>
      <c r="L91" s="2"/>
      <c r="M91" s="2"/>
    </row>
    <row r="92" spans="1:13" x14ac:dyDescent="0.35">
      <c r="A92" s="2"/>
      <c r="B92" s="2"/>
      <c r="C92" s="2"/>
      <c r="D92" s="2"/>
      <c r="E92" s="2"/>
      <c r="K92" s="2"/>
      <c r="L92" s="2"/>
      <c r="M92" s="2"/>
    </row>
    <row r="93" spans="1:13" x14ac:dyDescent="0.35">
      <c r="A93" s="2"/>
      <c r="B93" s="2"/>
      <c r="C93" s="2"/>
      <c r="D93" s="2"/>
      <c r="E93" s="2"/>
      <c r="K93" s="2"/>
      <c r="L93" s="2"/>
      <c r="M93" s="2"/>
    </row>
    <row r="94" spans="1:13" x14ac:dyDescent="0.35">
      <c r="A94" s="2"/>
      <c r="B94" s="2"/>
      <c r="C94" s="2"/>
      <c r="D94" s="2"/>
      <c r="E94" s="2"/>
      <c r="K94" s="2"/>
      <c r="L94" s="2"/>
      <c r="M94" s="2"/>
    </row>
    <row r="95" spans="1:13" x14ac:dyDescent="0.35">
      <c r="A95" s="2"/>
      <c r="B95" s="2"/>
      <c r="C95" s="2"/>
      <c r="D95" s="2"/>
      <c r="E95" s="2"/>
      <c r="K95" s="2"/>
      <c r="L95" s="2"/>
      <c r="M95" s="2"/>
    </row>
    <row r="96" spans="1:13" x14ac:dyDescent="0.35">
      <c r="A96" s="2"/>
      <c r="B96" s="2"/>
      <c r="C96" s="2"/>
      <c r="D96" s="2"/>
      <c r="E96" s="2"/>
      <c r="K96" s="2"/>
      <c r="L96" s="2"/>
      <c r="M96" s="2"/>
    </row>
    <row r="97" spans="1:13" x14ac:dyDescent="0.35">
      <c r="A97" s="2"/>
      <c r="B97" s="2"/>
      <c r="C97" s="2"/>
      <c r="D97" s="2"/>
      <c r="E97" s="2"/>
      <c r="K97" s="2"/>
      <c r="L97" s="2"/>
      <c r="M97" s="2"/>
    </row>
    <row r="98" spans="1:13" x14ac:dyDescent="0.35">
      <c r="A98" s="2"/>
      <c r="B98" s="2"/>
      <c r="C98" s="2"/>
      <c r="D98" s="2"/>
      <c r="E98" s="2"/>
      <c r="K98" s="2"/>
      <c r="L98" s="2"/>
      <c r="M98" s="2"/>
    </row>
    <row r="99" spans="1:13" x14ac:dyDescent="0.35">
      <c r="A99" s="2"/>
      <c r="B99" s="2"/>
      <c r="C99" s="2"/>
      <c r="D99" s="2"/>
      <c r="E99" s="2"/>
      <c r="K99" s="2"/>
      <c r="L99" s="2"/>
      <c r="M99" s="2"/>
    </row>
    <row r="100" spans="1:13" x14ac:dyDescent="0.35">
      <c r="A100" s="2"/>
      <c r="B100" s="2"/>
      <c r="C100" s="2"/>
      <c r="D100" s="2"/>
      <c r="E100" s="2"/>
      <c r="K100" s="2"/>
      <c r="L100" s="2"/>
      <c r="M100" s="2"/>
    </row>
    <row r="101" spans="1:13" x14ac:dyDescent="0.35">
      <c r="A101" s="2"/>
      <c r="B101" s="2"/>
      <c r="C101" s="2"/>
      <c r="D101" s="2"/>
      <c r="E101" s="2"/>
      <c r="F101" s="5"/>
      <c r="G101" s="5"/>
      <c r="H101" s="5"/>
      <c r="I101" s="5"/>
      <c r="K101" s="2"/>
      <c r="L101" s="2"/>
      <c r="M101" s="2"/>
    </row>
    <row r="102" spans="1:13" x14ac:dyDescent="0.35">
      <c r="A102" s="2"/>
      <c r="B102" s="2"/>
      <c r="C102" s="2"/>
      <c r="D102" s="2"/>
      <c r="E102" s="2"/>
      <c r="F102" s="5"/>
      <c r="G102" s="5"/>
      <c r="H102" s="5"/>
      <c r="I102" s="5"/>
      <c r="K102" s="2"/>
      <c r="L102" s="2"/>
      <c r="M102" s="2"/>
    </row>
    <row r="103" spans="1:13" x14ac:dyDescent="0.35">
      <c r="A103" s="2"/>
      <c r="B103" s="2"/>
      <c r="C103" s="2"/>
      <c r="D103" s="2"/>
      <c r="E103" s="2"/>
      <c r="F103" s="2"/>
      <c r="G103" s="2"/>
      <c r="H103" s="2"/>
      <c r="I103" s="13"/>
      <c r="K103" s="2"/>
      <c r="L103" s="2"/>
      <c r="M103" s="2"/>
    </row>
    <row r="104" spans="1:13" x14ac:dyDescent="0.35">
      <c r="A104" s="2"/>
      <c r="B104" s="2"/>
      <c r="C104" s="2"/>
      <c r="D104" s="2"/>
      <c r="E104" s="2"/>
      <c r="F104" s="2"/>
      <c r="G104" s="2"/>
      <c r="H104" s="2"/>
      <c r="I104" s="13"/>
      <c r="K104" s="2"/>
      <c r="L104" s="2"/>
      <c r="M104" s="2"/>
    </row>
    <row r="105" spans="1:13" x14ac:dyDescent="0.35">
      <c r="A105" s="2"/>
      <c r="B105" s="2"/>
      <c r="C105" s="2"/>
      <c r="D105" s="2"/>
      <c r="E105" s="2"/>
      <c r="F105" s="2"/>
      <c r="G105" s="2"/>
      <c r="H105" s="2"/>
      <c r="K105" s="2"/>
      <c r="L105" s="2"/>
      <c r="M105" s="2"/>
    </row>
    <row r="106" spans="1:13" x14ac:dyDescent="0.35">
      <c r="A106" s="2"/>
      <c r="B106" s="2"/>
      <c r="C106" s="2"/>
      <c r="D106" s="2"/>
      <c r="E106" s="2"/>
      <c r="F106" s="2"/>
      <c r="G106" s="2"/>
      <c r="H106" s="2"/>
      <c r="I106" s="12"/>
      <c r="K106" s="2"/>
      <c r="L106" s="2"/>
      <c r="M106" s="2"/>
    </row>
    <row r="107" spans="1:13" x14ac:dyDescent="0.35">
      <c r="A107" s="2"/>
      <c r="B107" s="2"/>
      <c r="C107" s="2"/>
      <c r="D107" s="2"/>
      <c r="E107" s="2"/>
      <c r="F107" s="2"/>
      <c r="G107" s="2"/>
      <c r="H107" s="2"/>
      <c r="I107" s="12"/>
      <c r="K107" s="2"/>
      <c r="L107" s="2"/>
      <c r="M107" s="2"/>
    </row>
    <row r="108" spans="1:13" x14ac:dyDescent="0.35">
      <c r="A108" s="2"/>
      <c r="B108" s="2"/>
      <c r="C108" s="2"/>
      <c r="D108" s="2"/>
      <c r="E108" s="2"/>
      <c r="F108" s="2"/>
      <c r="G108" s="2"/>
      <c r="H108" s="2"/>
      <c r="I108" s="12"/>
      <c r="K108" s="2"/>
      <c r="L108" s="2"/>
      <c r="M108" s="2"/>
    </row>
    <row r="109" spans="1:13" x14ac:dyDescent="0.35">
      <c r="A109" s="2"/>
      <c r="B109" s="2"/>
      <c r="C109" s="2"/>
      <c r="D109" s="2"/>
      <c r="E109" s="2"/>
      <c r="F109" s="2"/>
      <c r="G109" s="2"/>
      <c r="H109" s="2"/>
      <c r="I109" s="12"/>
      <c r="K109" s="2"/>
      <c r="L109" s="2"/>
      <c r="M109" s="2"/>
    </row>
    <row r="110" spans="1:13" ht="11.1" customHeight="1" x14ac:dyDescent="0.35">
      <c r="A110" s="2"/>
      <c r="B110" s="2"/>
      <c r="C110" s="2"/>
      <c r="D110" s="2"/>
      <c r="E110" s="2"/>
      <c r="F110" s="2"/>
      <c r="G110" s="2"/>
      <c r="H110" s="2"/>
      <c r="I110" s="12"/>
      <c r="K110" s="2"/>
      <c r="L110" s="2"/>
      <c r="M110" s="2"/>
    </row>
    <row r="111" spans="1:13" ht="11.1" customHeight="1" x14ac:dyDescent="0.35">
      <c r="A111" s="2"/>
      <c r="B111" s="2"/>
      <c r="C111" s="2"/>
      <c r="D111" s="2"/>
      <c r="E111" s="2"/>
      <c r="F111" s="2"/>
      <c r="G111" s="2"/>
      <c r="H111" s="2"/>
      <c r="I111" s="12"/>
      <c r="K111" s="2"/>
      <c r="L111" s="2"/>
      <c r="M111" s="2"/>
    </row>
    <row r="112" spans="1:13" ht="11.1" customHeight="1" x14ac:dyDescent="0.35">
      <c r="A112" s="2"/>
      <c r="B112" s="2"/>
      <c r="C112" s="2"/>
      <c r="D112" s="2"/>
      <c r="E112" s="2"/>
      <c r="F112" s="2"/>
      <c r="G112" s="2"/>
      <c r="H112" s="2"/>
      <c r="I112" s="12"/>
      <c r="K112" s="2"/>
      <c r="L112" s="2"/>
      <c r="M112" s="2"/>
    </row>
    <row r="113" spans="1:13" ht="11.1" customHeight="1" x14ac:dyDescent="0.35">
      <c r="A113" s="2"/>
      <c r="B113" s="2"/>
      <c r="C113" s="2"/>
      <c r="D113" s="2"/>
      <c r="E113" s="2"/>
      <c r="F113" s="2"/>
      <c r="G113" s="2"/>
      <c r="H113" s="2"/>
      <c r="I113" s="12"/>
      <c r="K113" s="2"/>
      <c r="L113" s="2"/>
      <c r="M113" s="2"/>
    </row>
    <row r="114" spans="1:13" ht="2.1" customHeight="1" x14ac:dyDescent="0.35">
      <c r="A114" s="2"/>
      <c r="B114" s="2"/>
      <c r="C114" s="2"/>
      <c r="D114" s="2"/>
      <c r="E114" s="2"/>
      <c r="F114" s="2"/>
      <c r="G114" s="2"/>
      <c r="H114" s="2"/>
      <c r="I114" s="12"/>
      <c r="K114" s="2"/>
      <c r="L114" s="2"/>
      <c r="M114" s="2"/>
    </row>
    <row r="115" spans="1:13" x14ac:dyDescent="0.35">
      <c r="A115" s="2"/>
      <c r="B115" s="2"/>
      <c r="C115" s="2"/>
      <c r="D115" s="2"/>
      <c r="E115" s="2"/>
      <c r="F115" s="2"/>
      <c r="G115" s="2"/>
      <c r="H115" s="2"/>
      <c r="I115" s="12"/>
      <c r="K115" s="2"/>
      <c r="L115" s="2"/>
      <c r="M115" s="2"/>
    </row>
    <row r="116" spans="1:13" x14ac:dyDescent="0.35">
      <c r="A116" s="2"/>
      <c r="B116" s="2"/>
      <c r="C116" s="2"/>
      <c r="D116" s="2"/>
      <c r="E116" s="2"/>
      <c r="F116" s="2"/>
      <c r="G116" s="2"/>
      <c r="H116" s="2"/>
      <c r="I116" s="2"/>
      <c r="K116" s="2"/>
      <c r="L116" s="2"/>
      <c r="M116" s="2"/>
    </row>
    <row r="117" spans="1:13" x14ac:dyDescent="0.35">
      <c r="A117" s="2"/>
      <c r="B117" s="2"/>
      <c r="C117" s="2"/>
      <c r="D117" s="2"/>
      <c r="E117" s="2"/>
      <c r="F117" s="2"/>
      <c r="G117" s="2"/>
      <c r="H117" s="2"/>
      <c r="I117" s="2"/>
      <c r="K117" s="2"/>
      <c r="L117" s="2"/>
      <c r="M117" s="2"/>
    </row>
    <row r="118" spans="1:13" x14ac:dyDescent="0.35">
      <c r="A118" s="2"/>
      <c r="B118" s="2"/>
      <c r="C118" s="2"/>
      <c r="D118" s="2"/>
      <c r="E118" s="2"/>
      <c r="F118" s="2"/>
      <c r="G118" s="2"/>
      <c r="H118" s="2"/>
      <c r="I118" s="2"/>
      <c r="K118" s="2"/>
      <c r="L118" s="2"/>
      <c r="M118" s="2"/>
    </row>
    <row r="119" spans="1:13" x14ac:dyDescent="0.35">
      <c r="A119" s="2"/>
      <c r="B119" s="2"/>
      <c r="C119" s="2"/>
      <c r="D119" s="2"/>
      <c r="E119" s="2"/>
      <c r="F119" s="2"/>
      <c r="G119" s="2"/>
      <c r="H119" s="2"/>
      <c r="I119" s="2"/>
      <c r="K119" s="2"/>
      <c r="L119" s="2"/>
      <c r="M119" s="2"/>
    </row>
    <row r="120" spans="1:13" x14ac:dyDescent="0.35">
      <c r="A120" s="2"/>
      <c r="B120" s="2"/>
      <c r="C120" s="2"/>
      <c r="D120" s="2"/>
      <c r="E120" s="2"/>
      <c r="F120" s="2"/>
      <c r="G120" s="2"/>
      <c r="H120" s="2"/>
      <c r="I120" s="2"/>
      <c r="K120" s="2"/>
      <c r="L120" s="2"/>
      <c r="M120" s="2"/>
    </row>
    <row r="121" spans="1:13" x14ac:dyDescent="0.35">
      <c r="A121" s="2"/>
      <c r="B121" s="2"/>
      <c r="C121" s="2"/>
      <c r="D121" s="2"/>
      <c r="E121" s="2"/>
      <c r="F121" s="2"/>
      <c r="G121" s="2"/>
      <c r="H121" s="2"/>
      <c r="I121" s="2"/>
      <c r="K121" s="2"/>
      <c r="L121" s="2"/>
      <c r="M121" s="2"/>
    </row>
    <row r="122" spans="1:13" x14ac:dyDescent="0.35">
      <c r="A122" s="2"/>
      <c r="B122" s="2"/>
      <c r="C122" s="2"/>
      <c r="D122" s="2"/>
      <c r="E122" s="2"/>
      <c r="F122" s="2"/>
      <c r="G122" s="2"/>
      <c r="H122" s="2"/>
      <c r="I122" s="2"/>
      <c r="K122" s="2"/>
      <c r="L122" s="2"/>
      <c r="M122" s="2"/>
    </row>
    <row r="123" spans="1:13" x14ac:dyDescent="0.35">
      <c r="A123" s="2"/>
      <c r="B123" s="2"/>
      <c r="C123" s="2"/>
      <c r="D123" s="2"/>
      <c r="E123" s="2"/>
      <c r="F123" s="2"/>
      <c r="G123" s="2"/>
      <c r="H123" s="2"/>
      <c r="I123" s="2"/>
      <c r="K123" s="2"/>
      <c r="L123" s="2"/>
      <c r="M123" s="2"/>
    </row>
    <row r="124" spans="1:13" x14ac:dyDescent="0.35">
      <c r="A124" s="2"/>
      <c r="B124" s="2"/>
      <c r="C124" s="2"/>
      <c r="D124" s="2"/>
      <c r="E124" s="2"/>
      <c r="F124" s="2"/>
      <c r="G124" s="2"/>
      <c r="H124" s="2"/>
      <c r="I124" s="2"/>
      <c r="K124" s="2"/>
      <c r="L124" s="2"/>
      <c r="M124" s="2"/>
    </row>
    <row r="125" spans="1:13" x14ac:dyDescent="0.35">
      <c r="A125" s="2"/>
      <c r="B125" s="2"/>
      <c r="C125" s="2"/>
      <c r="D125" s="2"/>
      <c r="E125" s="2"/>
      <c r="F125" s="2"/>
      <c r="G125" s="2"/>
      <c r="H125" s="2"/>
      <c r="I125" s="2"/>
      <c r="K125" s="2"/>
      <c r="L125" s="2"/>
      <c r="M125" s="2"/>
    </row>
    <row r="126" spans="1:13" x14ac:dyDescent="0.35">
      <c r="A126" s="2"/>
      <c r="B126" s="2"/>
      <c r="C126" s="2"/>
      <c r="D126" s="2"/>
      <c r="E126" s="2"/>
      <c r="F126" s="2"/>
      <c r="G126" s="2"/>
      <c r="H126" s="2"/>
      <c r="I126" s="2"/>
      <c r="K126" s="2"/>
      <c r="L126" s="2"/>
      <c r="M126" s="2"/>
    </row>
    <row r="127" spans="1:13" x14ac:dyDescent="0.35">
      <c r="A127" s="2"/>
      <c r="B127" s="2"/>
      <c r="C127" s="2"/>
      <c r="D127" s="2"/>
      <c r="E127" s="2"/>
      <c r="F127" s="2"/>
      <c r="G127" s="2"/>
      <c r="H127" s="2"/>
      <c r="I127" s="2"/>
      <c r="K127" s="2"/>
      <c r="L127" s="2"/>
      <c r="M127" s="2"/>
    </row>
    <row r="128" spans="1:13" x14ac:dyDescent="0.35">
      <c r="A128" s="2"/>
      <c r="B128" s="2"/>
      <c r="C128" s="2"/>
      <c r="D128" s="2"/>
      <c r="E128" s="2"/>
      <c r="F128" s="2"/>
      <c r="G128" s="2"/>
      <c r="H128" s="2"/>
      <c r="I128" s="2"/>
      <c r="K128" s="2"/>
      <c r="L128" s="2"/>
      <c r="M128" s="2"/>
    </row>
    <row r="129" spans="1:225" x14ac:dyDescent="0.35">
      <c r="A129" s="2"/>
      <c r="B129" s="2"/>
      <c r="C129" s="2"/>
      <c r="D129" s="2"/>
      <c r="E129" s="2"/>
      <c r="F129" s="2"/>
      <c r="G129" s="2"/>
      <c r="H129" s="2"/>
      <c r="I129" s="2"/>
      <c r="K129" s="2"/>
      <c r="L129" s="2"/>
      <c r="M129" s="2"/>
    </row>
    <row r="130" spans="1:225" x14ac:dyDescent="0.35">
      <c r="A130" s="2"/>
      <c r="B130" s="2"/>
      <c r="C130" s="2"/>
      <c r="D130" s="2"/>
      <c r="E130" s="2"/>
      <c r="F130" s="2"/>
      <c r="G130" s="2"/>
      <c r="H130" s="2"/>
      <c r="I130" s="2"/>
      <c r="K130" s="2"/>
      <c r="L130" s="2"/>
      <c r="M130" s="2"/>
    </row>
    <row r="131" spans="1:225" x14ac:dyDescent="0.35">
      <c r="A131" s="2"/>
      <c r="B131" s="2"/>
      <c r="C131" s="2"/>
      <c r="D131" s="2"/>
      <c r="E131" s="2"/>
      <c r="F131" s="2"/>
      <c r="G131" s="2"/>
      <c r="H131" s="2"/>
      <c r="I131" s="2"/>
      <c r="K131" s="2"/>
      <c r="L131" s="2"/>
      <c r="M131" s="2"/>
    </row>
    <row r="132" spans="1:225" x14ac:dyDescent="0.35">
      <c r="A132" s="2"/>
      <c r="B132" s="2"/>
      <c r="C132" s="2"/>
      <c r="D132" s="2"/>
      <c r="E132" s="2"/>
      <c r="F132" s="2"/>
      <c r="G132" s="2"/>
      <c r="H132" s="2"/>
      <c r="I132" s="2"/>
      <c r="K132" s="2"/>
      <c r="L132" s="2"/>
      <c r="M132" s="2"/>
    </row>
    <row r="133" spans="1:225" x14ac:dyDescent="0.35">
      <c r="A133" s="2"/>
      <c r="B133" s="2"/>
      <c r="C133" s="2"/>
      <c r="D133" s="2"/>
      <c r="E133" s="2"/>
      <c r="F133" s="2"/>
      <c r="G133" s="2"/>
      <c r="H133" s="2"/>
      <c r="I133" s="2"/>
      <c r="K133" s="2"/>
      <c r="L133" s="2"/>
      <c r="M133" s="2"/>
    </row>
    <row r="134" spans="1:225" x14ac:dyDescent="0.35">
      <c r="A134" s="2"/>
      <c r="B134" s="2"/>
      <c r="C134" s="2"/>
      <c r="D134" s="2"/>
      <c r="E134" s="2"/>
      <c r="F134" s="2"/>
      <c r="G134" s="2"/>
      <c r="H134" s="2"/>
      <c r="I134" s="2"/>
      <c r="K134" s="2"/>
      <c r="L134" s="2"/>
      <c r="M134" s="2"/>
    </row>
    <row r="135" spans="1:225" x14ac:dyDescent="0.35">
      <c r="A135" s="2"/>
      <c r="B135" s="2"/>
      <c r="C135" s="2"/>
      <c r="D135" s="2"/>
      <c r="E135" s="2"/>
      <c r="F135" s="2"/>
      <c r="G135" s="2"/>
      <c r="H135" s="2"/>
      <c r="I135" s="2"/>
      <c r="K135" s="2"/>
      <c r="L135" s="2"/>
      <c r="M135" s="2"/>
    </row>
    <row r="136" spans="1:225" x14ac:dyDescent="0.35">
      <c r="A136" s="2"/>
      <c r="B136" s="2"/>
      <c r="C136" s="2"/>
      <c r="D136" s="2"/>
      <c r="E136" s="2"/>
      <c r="F136" s="2"/>
      <c r="G136" s="2"/>
      <c r="H136" s="2"/>
      <c r="I136" s="2"/>
      <c r="K136" s="2"/>
      <c r="L136" s="2"/>
      <c r="M136" s="2"/>
    </row>
    <row r="137" spans="1:225" x14ac:dyDescent="0.35">
      <c r="A137" s="2"/>
      <c r="B137" s="2"/>
      <c r="C137" s="2"/>
      <c r="D137" s="2"/>
      <c r="E137" s="2"/>
      <c r="F137" s="2"/>
      <c r="G137" s="2"/>
      <c r="H137" s="2"/>
      <c r="I137" s="2"/>
      <c r="K137" s="2"/>
      <c r="L137" s="2"/>
      <c r="M137" s="2"/>
    </row>
    <row r="138" spans="1:225" x14ac:dyDescent="0.35">
      <c r="A138" s="2"/>
      <c r="B138" s="2"/>
      <c r="C138" s="2"/>
      <c r="D138" s="2"/>
      <c r="E138" s="2"/>
      <c r="F138" s="2"/>
      <c r="G138" s="2"/>
      <c r="H138" s="2"/>
      <c r="I138" s="2"/>
      <c r="K138" s="2"/>
      <c r="L138" s="2"/>
      <c r="M138" s="2"/>
    </row>
    <row r="139" spans="1:225" x14ac:dyDescent="0.35">
      <c r="A139" s="2"/>
      <c r="B139" s="2"/>
      <c r="C139" s="2"/>
      <c r="D139" s="2"/>
      <c r="E139" s="2"/>
      <c r="F139" s="2"/>
      <c r="G139" s="2"/>
      <c r="H139" s="2"/>
      <c r="I139" s="2"/>
      <c r="K139" s="2"/>
      <c r="L139" s="2"/>
      <c r="M139" s="2"/>
    </row>
    <row r="140" spans="1:225" x14ac:dyDescent="0.35">
      <c r="A140" s="2"/>
      <c r="B140" s="2"/>
      <c r="C140" s="2"/>
      <c r="D140" s="2"/>
      <c r="E140" s="2"/>
      <c r="F140" s="2"/>
      <c r="G140" s="2"/>
      <c r="H140" s="2"/>
      <c r="I140" s="2"/>
      <c r="K140" s="2"/>
      <c r="L140" s="2"/>
      <c r="M140" s="2"/>
    </row>
    <row r="141" spans="1:225" x14ac:dyDescent="0.35">
      <c r="A141" s="2"/>
      <c r="B141" s="2"/>
      <c r="C141" s="2"/>
      <c r="D141" s="2"/>
      <c r="E141" s="2"/>
      <c r="F141" s="2"/>
      <c r="G141" s="2"/>
      <c r="H141" s="2"/>
      <c r="I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</row>
    <row r="142" spans="1:225" x14ac:dyDescent="0.35">
      <c r="A142" s="2"/>
      <c r="B142" s="2"/>
      <c r="C142" s="2"/>
      <c r="D142" s="2"/>
      <c r="E142" s="2"/>
      <c r="F142" s="2"/>
      <c r="G142" s="2"/>
      <c r="H142" s="2"/>
      <c r="I142" s="2"/>
      <c r="K142" s="2"/>
      <c r="L142" s="2"/>
      <c r="M142" s="2"/>
    </row>
    <row r="143" spans="1:225" x14ac:dyDescent="0.35">
      <c r="A143" s="2"/>
      <c r="B143" s="2"/>
      <c r="C143" s="2"/>
      <c r="D143" s="2"/>
      <c r="E143" s="2"/>
      <c r="F143" s="2"/>
      <c r="G143" s="2"/>
      <c r="H143" s="2"/>
      <c r="I143" s="2"/>
      <c r="K143" s="2"/>
      <c r="L143" s="2"/>
      <c r="M143" s="2"/>
    </row>
    <row r="144" spans="1:225" x14ac:dyDescent="0.35">
      <c r="A144" s="2"/>
      <c r="B144" s="2"/>
      <c r="C144" s="2"/>
      <c r="D144" s="2"/>
      <c r="E144" s="2"/>
      <c r="F144" s="2"/>
      <c r="G144" s="2"/>
      <c r="H144" s="2"/>
      <c r="I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</row>
    <row r="145" spans="1:225" x14ac:dyDescent="0.35">
      <c r="A145" s="2"/>
      <c r="B145" s="2"/>
      <c r="C145" s="2"/>
      <c r="D145" s="2"/>
      <c r="E145" s="2"/>
      <c r="F145" s="2"/>
      <c r="G145" s="2"/>
      <c r="H145" s="2"/>
      <c r="I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</row>
    <row r="146" spans="1:225" x14ac:dyDescent="0.35">
      <c r="A146" s="2"/>
      <c r="B146" s="2"/>
      <c r="C146" s="2"/>
      <c r="D146" s="2"/>
      <c r="E146" s="2"/>
      <c r="F146" s="2"/>
      <c r="G146" s="2"/>
      <c r="H146" s="2"/>
      <c r="I146" s="2"/>
      <c r="K146" s="2"/>
      <c r="L146" s="2"/>
      <c r="M146" s="2"/>
    </row>
    <row r="147" spans="1:225" x14ac:dyDescent="0.35">
      <c r="A147" s="2"/>
      <c r="B147" s="2"/>
      <c r="C147" s="2"/>
      <c r="D147" s="2"/>
      <c r="E147" s="2"/>
      <c r="F147" s="2"/>
      <c r="G147" s="2"/>
      <c r="H147" s="2"/>
      <c r="I147" s="2"/>
      <c r="K147" s="2"/>
      <c r="L147" s="2"/>
      <c r="M147" s="2"/>
    </row>
    <row r="148" spans="1:225" x14ac:dyDescent="0.35">
      <c r="A148" s="2"/>
      <c r="B148" s="2"/>
      <c r="C148" s="2"/>
      <c r="D148" s="2"/>
      <c r="E148" s="2"/>
      <c r="F148" s="2"/>
      <c r="G148" s="2"/>
      <c r="H148" s="2"/>
      <c r="I148" s="2"/>
      <c r="K148" s="2"/>
      <c r="L148" s="2"/>
      <c r="M148" s="2"/>
    </row>
    <row r="149" spans="1:225" x14ac:dyDescent="0.35">
      <c r="A149" s="2"/>
      <c r="B149" s="2"/>
      <c r="C149" s="2"/>
      <c r="D149" s="2"/>
      <c r="E149" s="2"/>
      <c r="F149" s="2"/>
      <c r="G149" s="2"/>
      <c r="H149" s="2"/>
      <c r="I149" s="2"/>
      <c r="K149" s="2"/>
      <c r="L149" s="2"/>
      <c r="M149" s="2"/>
    </row>
    <row r="150" spans="1:225" x14ac:dyDescent="0.35">
      <c r="A150" s="2"/>
      <c r="B150" s="2"/>
      <c r="C150" s="2"/>
      <c r="D150" s="2"/>
      <c r="E150" s="2"/>
      <c r="F150" s="2"/>
      <c r="G150" s="2"/>
      <c r="H150" s="2"/>
      <c r="I150" s="2"/>
      <c r="K150" s="2"/>
      <c r="L150" s="2"/>
      <c r="M150" s="2"/>
    </row>
    <row r="151" spans="1:225" x14ac:dyDescent="0.35">
      <c r="A151" s="2"/>
      <c r="B151" s="2"/>
      <c r="C151" s="2"/>
      <c r="D151" s="2"/>
      <c r="E151" s="2"/>
      <c r="F151" s="2"/>
      <c r="G151" s="2"/>
      <c r="H151" s="2"/>
      <c r="I151" s="2"/>
      <c r="K151" s="2"/>
      <c r="L151" s="2"/>
      <c r="M151" s="2"/>
    </row>
    <row r="152" spans="1:225" x14ac:dyDescent="0.35">
      <c r="A152" s="2"/>
      <c r="B152" s="2"/>
      <c r="C152" s="2"/>
      <c r="D152" s="2"/>
      <c r="E152" s="2"/>
      <c r="F152" s="2"/>
      <c r="G152" s="2"/>
      <c r="H152" s="2"/>
      <c r="I152" s="2"/>
      <c r="K152" s="2"/>
      <c r="L152" s="2"/>
      <c r="M152" s="2"/>
    </row>
    <row r="153" spans="1:225" x14ac:dyDescent="0.35">
      <c r="A153" s="2"/>
      <c r="B153" s="2"/>
      <c r="C153" s="2"/>
      <c r="D153" s="2"/>
      <c r="E153" s="2"/>
      <c r="F153" s="2"/>
      <c r="G153" s="2"/>
      <c r="H153" s="2"/>
      <c r="I153" s="2"/>
      <c r="K153" s="2"/>
      <c r="L153" s="2"/>
      <c r="M153" s="2"/>
    </row>
    <row r="154" spans="1:225" x14ac:dyDescent="0.35">
      <c r="A154" s="2"/>
      <c r="B154" s="2"/>
      <c r="C154" s="2"/>
      <c r="D154" s="2"/>
      <c r="E154" s="2"/>
      <c r="F154" s="2"/>
      <c r="G154" s="2"/>
      <c r="H154" s="2"/>
      <c r="I154" s="2"/>
      <c r="K154" s="2"/>
      <c r="L154" s="2"/>
      <c r="M154" s="2"/>
    </row>
    <row r="155" spans="1:225" x14ac:dyDescent="0.35">
      <c r="A155" s="2"/>
      <c r="B155" s="2"/>
      <c r="C155" s="2"/>
      <c r="D155" s="2"/>
      <c r="E155" s="2"/>
      <c r="F155" s="2"/>
      <c r="G155" s="2"/>
      <c r="H155" s="2"/>
      <c r="I155" s="2"/>
      <c r="K155" s="2"/>
      <c r="L155" s="2"/>
      <c r="M155" s="2"/>
    </row>
    <row r="156" spans="1:225" x14ac:dyDescent="0.35">
      <c r="A156" s="2"/>
      <c r="B156" s="2"/>
      <c r="C156" s="2"/>
      <c r="D156" s="2"/>
      <c r="E156" s="2"/>
      <c r="F156" s="2"/>
      <c r="G156" s="2"/>
      <c r="H156" s="2"/>
      <c r="I156" s="2"/>
      <c r="K156" s="2"/>
      <c r="L156" s="2"/>
      <c r="M156" s="2"/>
    </row>
    <row r="157" spans="1:225" x14ac:dyDescent="0.35">
      <c r="A157" s="2"/>
      <c r="B157" s="2"/>
      <c r="C157" s="2"/>
      <c r="D157" s="2"/>
      <c r="E157" s="2"/>
      <c r="F157" s="2"/>
      <c r="G157" s="2"/>
      <c r="H157" s="2"/>
      <c r="I157" s="2"/>
      <c r="K157" s="2"/>
      <c r="L157" s="2"/>
      <c r="M157" s="2"/>
    </row>
    <row r="158" spans="1:225" x14ac:dyDescent="0.35">
      <c r="A158" s="2"/>
      <c r="B158" s="2"/>
      <c r="C158" s="2"/>
      <c r="D158" s="2"/>
      <c r="E158" s="2"/>
      <c r="F158" s="2"/>
      <c r="G158" s="2"/>
      <c r="H158" s="2"/>
      <c r="I158" s="2"/>
      <c r="K158" s="2"/>
      <c r="L158" s="2"/>
      <c r="M158" s="2"/>
    </row>
    <row r="159" spans="1:225" x14ac:dyDescent="0.35">
      <c r="A159" s="2"/>
      <c r="B159" s="2"/>
      <c r="C159" s="2"/>
      <c r="D159" s="2"/>
      <c r="E159" s="2"/>
      <c r="F159" s="2"/>
      <c r="G159" s="2"/>
      <c r="H159" s="2"/>
      <c r="I159" s="2"/>
      <c r="K159" s="2"/>
      <c r="L159" s="2"/>
      <c r="M159" s="2"/>
    </row>
    <row r="160" spans="1:225" x14ac:dyDescent="0.35">
      <c r="A160" s="2"/>
      <c r="B160" s="2"/>
      <c r="C160" s="2"/>
      <c r="D160" s="2"/>
      <c r="E160" s="2"/>
      <c r="F160" s="2"/>
      <c r="G160" s="2"/>
      <c r="H160" s="2"/>
      <c r="I160" s="2"/>
      <c r="K160" s="2"/>
      <c r="L160" s="2"/>
      <c r="M160" s="2"/>
    </row>
    <row r="161" spans="1:13" x14ac:dyDescent="0.35">
      <c r="A161" s="2"/>
      <c r="B161" s="2"/>
      <c r="C161" s="2"/>
      <c r="D161" s="2"/>
      <c r="E161" s="2"/>
      <c r="F161" s="2"/>
      <c r="G161" s="2"/>
      <c r="H161" s="2"/>
      <c r="I161" s="2"/>
      <c r="K161" s="2"/>
      <c r="L161" s="2"/>
      <c r="M161" s="2"/>
    </row>
    <row r="162" spans="1:13" x14ac:dyDescent="0.35">
      <c r="A162" s="2"/>
      <c r="B162" s="2"/>
      <c r="C162" s="2"/>
      <c r="D162" s="2"/>
      <c r="E162" s="2"/>
      <c r="F162" s="2"/>
      <c r="G162" s="2"/>
      <c r="H162" s="2"/>
      <c r="I162" s="2"/>
      <c r="K162" s="2"/>
      <c r="L162" s="2"/>
      <c r="M162" s="2"/>
    </row>
    <row r="163" spans="1:13" x14ac:dyDescent="0.35">
      <c r="A163" s="2"/>
      <c r="B163" s="2"/>
      <c r="C163" s="2"/>
      <c r="D163" s="2"/>
      <c r="E163" s="2"/>
      <c r="F163" s="2"/>
      <c r="G163" s="2"/>
      <c r="H163" s="2"/>
      <c r="I163" s="2"/>
      <c r="K163" s="2"/>
      <c r="L163" s="2"/>
      <c r="M163" s="2"/>
    </row>
    <row r="164" spans="1:13" x14ac:dyDescent="0.35">
      <c r="A164" s="2"/>
      <c r="B164" s="2"/>
      <c r="C164" s="2"/>
      <c r="D164" s="2"/>
      <c r="E164" s="2"/>
      <c r="F164" s="2"/>
      <c r="G164" s="2"/>
      <c r="H164" s="2"/>
      <c r="I164" s="2"/>
      <c r="K164" s="2"/>
      <c r="L164" s="2"/>
      <c r="M164" s="2"/>
    </row>
    <row r="165" spans="1:13" x14ac:dyDescent="0.35">
      <c r="A165" s="2"/>
      <c r="B165" s="2"/>
      <c r="C165" s="2"/>
      <c r="D165" s="2"/>
      <c r="E165" s="2"/>
      <c r="F165" s="2"/>
      <c r="G165" s="2"/>
      <c r="H165" s="2"/>
      <c r="I165" s="2"/>
      <c r="K165" s="2"/>
      <c r="L165" s="2"/>
      <c r="M165" s="2"/>
    </row>
    <row r="166" spans="1:13" x14ac:dyDescent="0.35">
      <c r="A166" s="2"/>
      <c r="B166" s="2"/>
      <c r="C166" s="2"/>
      <c r="D166" s="2"/>
      <c r="E166" s="2"/>
      <c r="F166" s="2"/>
      <c r="G166" s="2"/>
      <c r="H166" s="2"/>
      <c r="I166" s="2"/>
      <c r="K166" s="2"/>
      <c r="L166" s="2"/>
      <c r="M166" s="2"/>
    </row>
    <row r="167" spans="1:13" x14ac:dyDescent="0.35">
      <c r="A167" s="2"/>
      <c r="B167" s="2"/>
      <c r="C167" s="2"/>
      <c r="D167" s="2"/>
      <c r="E167" s="2"/>
      <c r="F167" s="2"/>
      <c r="G167" s="2"/>
      <c r="H167" s="2"/>
      <c r="I167" s="2"/>
      <c r="K167" s="2"/>
      <c r="L167" s="2"/>
      <c r="M167" s="2"/>
    </row>
    <row r="168" spans="1:13" x14ac:dyDescent="0.35">
      <c r="A168" s="2"/>
      <c r="B168" s="2"/>
      <c r="C168" s="2"/>
      <c r="D168" s="2"/>
      <c r="E168" s="2"/>
      <c r="F168" s="2"/>
      <c r="G168" s="2"/>
      <c r="H168" s="2"/>
      <c r="I168" s="2"/>
      <c r="K168" s="2"/>
      <c r="L168" s="2"/>
      <c r="M168" s="2"/>
    </row>
    <row r="169" spans="1:13" x14ac:dyDescent="0.35">
      <c r="A169" s="2"/>
      <c r="B169" s="2"/>
      <c r="C169" s="2"/>
      <c r="D169" s="2"/>
      <c r="E169" s="2"/>
      <c r="F169" s="2"/>
      <c r="G169" s="2"/>
      <c r="H169" s="2"/>
      <c r="I169" s="2"/>
      <c r="K169" s="2"/>
      <c r="L169" s="2"/>
      <c r="M169" s="2"/>
    </row>
    <row r="170" spans="1:13" x14ac:dyDescent="0.35">
      <c r="A170" s="2"/>
      <c r="B170" s="2"/>
      <c r="C170" s="2"/>
      <c r="D170" s="2"/>
      <c r="E170" s="2"/>
      <c r="F170" s="2"/>
      <c r="G170" s="2"/>
      <c r="H170" s="2"/>
      <c r="I170" s="2"/>
      <c r="K170" s="2"/>
      <c r="L170" s="2"/>
      <c r="M170" s="2"/>
    </row>
    <row r="171" spans="1:13" x14ac:dyDescent="0.35">
      <c r="A171" s="2"/>
      <c r="B171" s="2"/>
      <c r="C171" s="2"/>
      <c r="D171" s="2"/>
      <c r="E171" s="2"/>
      <c r="F171" s="2"/>
      <c r="G171" s="2"/>
      <c r="H171" s="2"/>
      <c r="I171" s="2"/>
      <c r="K171" s="2"/>
      <c r="L171" s="2"/>
      <c r="M171" s="2"/>
    </row>
    <row r="172" spans="1:13" x14ac:dyDescent="0.35">
      <c r="A172" s="2"/>
      <c r="B172" s="2"/>
      <c r="C172" s="2"/>
      <c r="D172" s="2"/>
      <c r="E172" s="2"/>
      <c r="F172" s="2"/>
      <c r="G172" s="2"/>
      <c r="H172" s="2"/>
      <c r="I172" s="2"/>
      <c r="K172" s="2"/>
      <c r="L172" s="2"/>
      <c r="M172" s="2"/>
    </row>
    <row r="173" spans="1:13" x14ac:dyDescent="0.35">
      <c r="A173" s="2"/>
      <c r="B173" s="2"/>
      <c r="C173" s="2"/>
      <c r="D173" s="2"/>
      <c r="E173" s="2"/>
      <c r="F173" s="2"/>
      <c r="G173" s="2"/>
      <c r="H173" s="2"/>
      <c r="I173" s="2"/>
      <c r="K173" s="2"/>
      <c r="L173" s="2"/>
      <c r="M173" s="2"/>
    </row>
    <row r="174" spans="1:13" x14ac:dyDescent="0.35">
      <c r="A174" s="2"/>
      <c r="B174" s="2"/>
      <c r="C174" s="2"/>
      <c r="D174" s="2"/>
      <c r="E174" s="2"/>
      <c r="F174" s="2"/>
      <c r="G174" s="2"/>
      <c r="H174" s="2"/>
      <c r="I174" s="2"/>
      <c r="K174" s="2"/>
      <c r="L174" s="2"/>
      <c r="M174" s="2"/>
    </row>
    <row r="175" spans="1:13" x14ac:dyDescent="0.35">
      <c r="A175" s="2"/>
      <c r="B175" s="2"/>
      <c r="C175" s="2"/>
      <c r="D175" s="2"/>
      <c r="E175" s="2"/>
      <c r="F175" s="2"/>
      <c r="G175" s="2"/>
      <c r="H175" s="2"/>
      <c r="I175" s="2"/>
      <c r="K175" s="2"/>
      <c r="L175" s="2"/>
      <c r="M175" s="2"/>
    </row>
    <row r="176" spans="1:13" x14ac:dyDescent="0.35">
      <c r="A176" s="2"/>
      <c r="B176" s="2"/>
      <c r="C176" s="2"/>
      <c r="D176" s="2"/>
      <c r="E176" s="2"/>
      <c r="F176" s="2"/>
      <c r="G176" s="2"/>
      <c r="H176" s="2"/>
      <c r="I176" s="2"/>
      <c r="K176" s="2"/>
      <c r="L176" s="2"/>
      <c r="M176" s="2"/>
    </row>
    <row r="177" spans="1:13" x14ac:dyDescent="0.35">
      <c r="A177" s="2"/>
      <c r="B177" s="2"/>
      <c r="C177" s="2"/>
      <c r="D177" s="2"/>
      <c r="E177" s="2"/>
      <c r="F177" s="2"/>
      <c r="G177" s="2"/>
      <c r="H177" s="2"/>
      <c r="I177" s="2"/>
      <c r="K177" s="2"/>
      <c r="L177" s="2"/>
      <c r="M177" s="2"/>
    </row>
    <row r="178" spans="1:13" x14ac:dyDescent="0.35">
      <c r="A178" s="2"/>
      <c r="B178" s="2"/>
      <c r="C178" s="2"/>
      <c r="D178" s="2"/>
      <c r="E178" s="2"/>
      <c r="F178" s="2"/>
      <c r="G178" s="2"/>
      <c r="H178" s="2"/>
      <c r="I178" s="2"/>
      <c r="K178" s="2"/>
      <c r="L178" s="2"/>
      <c r="M178" s="2"/>
    </row>
    <row r="179" spans="1:13" x14ac:dyDescent="0.35">
      <c r="A179" s="2"/>
      <c r="B179" s="2"/>
      <c r="C179" s="2"/>
      <c r="D179" s="2"/>
      <c r="E179" s="2"/>
      <c r="F179" s="2"/>
      <c r="G179" s="2"/>
      <c r="H179" s="2"/>
      <c r="I179" s="2"/>
      <c r="K179" s="2"/>
      <c r="L179" s="2"/>
      <c r="M179" s="2"/>
    </row>
    <row r="180" spans="1:13" x14ac:dyDescent="0.35">
      <c r="A180" s="2"/>
      <c r="B180" s="2"/>
      <c r="C180" s="2"/>
      <c r="D180" s="2"/>
      <c r="E180" s="2"/>
      <c r="F180" s="2"/>
      <c r="G180" s="2"/>
      <c r="H180" s="2"/>
      <c r="I180" s="2"/>
      <c r="K180" s="2"/>
      <c r="L180" s="2"/>
      <c r="M180" s="2"/>
    </row>
    <row r="181" spans="1:13" x14ac:dyDescent="0.35">
      <c r="A181" s="2"/>
      <c r="B181" s="2"/>
      <c r="C181" s="2"/>
      <c r="D181" s="2"/>
      <c r="E181" s="2"/>
      <c r="F181" s="2"/>
      <c r="G181" s="2"/>
      <c r="H181" s="2"/>
      <c r="I181" s="2"/>
      <c r="K181" s="2"/>
      <c r="L181" s="2"/>
      <c r="M181" s="2"/>
    </row>
    <row r="182" spans="1:13" x14ac:dyDescent="0.35">
      <c r="A182" s="2"/>
      <c r="B182" s="2"/>
      <c r="C182" s="2"/>
      <c r="D182" s="2"/>
      <c r="E182" s="2"/>
      <c r="F182" s="2"/>
      <c r="G182" s="2"/>
      <c r="H182" s="2"/>
      <c r="I182" s="2"/>
      <c r="K182" s="2"/>
      <c r="L182" s="2"/>
      <c r="M182" s="2"/>
    </row>
    <row r="183" spans="1:13" x14ac:dyDescent="0.35">
      <c r="A183" s="2"/>
      <c r="B183" s="2"/>
      <c r="C183" s="2"/>
      <c r="D183" s="2"/>
      <c r="E183" s="2"/>
      <c r="F183" s="2"/>
      <c r="G183" s="2"/>
      <c r="H183" s="2"/>
      <c r="I183" s="2"/>
      <c r="K183" s="2"/>
      <c r="L183" s="2"/>
      <c r="M183" s="2"/>
    </row>
    <row r="184" spans="1:13" x14ac:dyDescent="0.35">
      <c r="A184" s="2"/>
      <c r="B184" s="2"/>
      <c r="C184" s="2"/>
      <c r="D184" s="2"/>
      <c r="E184" s="2"/>
      <c r="F184" s="2"/>
      <c r="G184" s="2"/>
      <c r="H184" s="2"/>
      <c r="I184" s="2"/>
      <c r="K184" s="2"/>
      <c r="L184" s="2"/>
      <c r="M184" s="2"/>
    </row>
    <row r="185" spans="1:13" x14ac:dyDescent="0.35">
      <c r="A185" s="2"/>
      <c r="B185" s="2"/>
      <c r="C185" s="2"/>
      <c r="D185" s="2"/>
      <c r="E185" s="2"/>
      <c r="F185" s="2"/>
      <c r="G185" s="2"/>
      <c r="H185" s="2"/>
      <c r="I185" s="2"/>
      <c r="K185" s="2"/>
      <c r="L185" s="2"/>
      <c r="M185" s="2"/>
    </row>
    <row r="186" spans="1:13" x14ac:dyDescent="0.35">
      <c r="A186" s="2"/>
      <c r="B186" s="2"/>
      <c r="C186" s="2"/>
      <c r="D186" s="2"/>
      <c r="E186" s="2"/>
      <c r="F186" s="2"/>
      <c r="G186" s="2"/>
      <c r="H186" s="2"/>
      <c r="I186" s="2"/>
      <c r="K186" s="2"/>
      <c r="L186" s="2"/>
      <c r="M186" s="2"/>
    </row>
    <row r="187" spans="1:13" x14ac:dyDescent="0.35">
      <c r="A187" s="2"/>
      <c r="B187" s="2"/>
      <c r="C187" s="2"/>
      <c r="D187" s="2"/>
      <c r="E187" s="2"/>
      <c r="F187" s="2"/>
      <c r="G187" s="2"/>
      <c r="H187" s="2"/>
      <c r="I187" s="2"/>
      <c r="K187" s="2"/>
      <c r="L187" s="2"/>
      <c r="M187" s="2"/>
    </row>
    <row r="188" spans="1:13" x14ac:dyDescent="0.35">
      <c r="A188" s="2"/>
      <c r="B188" s="2"/>
      <c r="C188" s="2"/>
      <c r="D188" s="2"/>
      <c r="E188" s="2"/>
      <c r="F188" s="2"/>
      <c r="G188" s="2"/>
      <c r="H188" s="2"/>
      <c r="I188" s="2"/>
      <c r="K188" s="2"/>
      <c r="L188" s="2"/>
      <c r="M188" s="2"/>
    </row>
    <row r="189" spans="1:13" x14ac:dyDescent="0.35">
      <c r="A189" s="2"/>
      <c r="B189" s="2"/>
      <c r="C189" s="2"/>
      <c r="D189" s="2"/>
      <c r="E189" s="2"/>
      <c r="F189" s="2"/>
      <c r="G189" s="2"/>
      <c r="H189" s="2"/>
      <c r="I189" s="2"/>
      <c r="K189" s="2"/>
      <c r="L189" s="2"/>
      <c r="M189" s="2"/>
    </row>
    <row r="190" spans="1:13" x14ac:dyDescent="0.35">
      <c r="A190" s="2"/>
      <c r="B190" s="2"/>
      <c r="C190" s="2"/>
      <c r="D190" s="2"/>
      <c r="E190" s="2"/>
      <c r="F190" s="2"/>
      <c r="G190" s="2"/>
      <c r="H190" s="2"/>
      <c r="I190" s="2"/>
      <c r="K190" s="2"/>
      <c r="L190" s="2"/>
      <c r="M190" s="2"/>
    </row>
    <row r="191" spans="1:13" x14ac:dyDescent="0.35">
      <c r="A191" s="2"/>
      <c r="B191" s="2"/>
      <c r="C191" s="2"/>
      <c r="D191" s="2"/>
      <c r="E191" s="2"/>
      <c r="F191" s="2"/>
      <c r="G191" s="2"/>
      <c r="H191" s="2"/>
      <c r="I191" s="2"/>
      <c r="K191" s="2"/>
      <c r="L191" s="2"/>
      <c r="M191" s="2"/>
    </row>
    <row r="192" spans="1:13" x14ac:dyDescent="0.35">
      <c r="A192" s="2"/>
      <c r="B192" s="2"/>
      <c r="C192" s="2"/>
      <c r="D192" s="2"/>
      <c r="E192" s="2"/>
      <c r="F192" s="2"/>
      <c r="G192" s="2"/>
      <c r="H192" s="2"/>
      <c r="I192" s="2"/>
      <c r="K192" s="2"/>
      <c r="L192" s="2"/>
      <c r="M192" s="2"/>
    </row>
    <row r="193" spans="1:225" x14ac:dyDescent="0.35">
      <c r="A193" s="2"/>
      <c r="B193" s="2"/>
      <c r="C193" s="2"/>
      <c r="D193" s="2"/>
      <c r="E193" s="2"/>
      <c r="F193" s="2"/>
      <c r="G193" s="2"/>
      <c r="H193" s="2"/>
      <c r="I193" s="2"/>
      <c r="K193" s="2"/>
      <c r="L193" s="2"/>
      <c r="M193" s="2"/>
    </row>
    <row r="194" spans="1:225" x14ac:dyDescent="0.35">
      <c r="A194" s="2"/>
      <c r="B194" s="2"/>
      <c r="C194" s="2"/>
      <c r="D194" s="2"/>
      <c r="E194" s="2"/>
      <c r="F194" s="2"/>
      <c r="G194" s="2"/>
      <c r="H194" s="2"/>
      <c r="I194" s="2"/>
      <c r="K194" s="2"/>
      <c r="L194" s="2"/>
      <c r="M194" s="2"/>
    </row>
    <row r="195" spans="1:225" x14ac:dyDescent="0.35">
      <c r="A195" s="2"/>
      <c r="B195" s="2"/>
      <c r="C195" s="2"/>
      <c r="D195" s="2"/>
      <c r="E195" s="2"/>
      <c r="F195" s="2"/>
      <c r="G195" s="2"/>
      <c r="H195" s="2"/>
      <c r="I195" s="2"/>
      <c r="K195" s="2"/>
      <c r="L195" s="2"/>
      <c r="M195" s="2"/>
    </row>
    <row r="196" spans="1:225" x14ac:dyDescent="0.35">
      <c r="A196" s="2"/>
      <c r="B196" s="2"/>
      <c r="C196" s="2"/>
      <c r="D196" s="2"/>
      <c r="E196" s="2"/>
      <c r="F196" s="2"/>
      <c r="G196" s="2"/>
      <c r="H196" s="2"/>
      <c r="I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  <c r="GZ196" s="2"/>
      <c r="HA196" s="2"/>
      <c r="HB196" s="2"/>
      <c r="HC196" s="2"/>
      <c r="HD196" s="2"/>
      <c r="HE196" s="2"/>
      <c r="HF196" s="2"/>
      <c r="HG196" s="2"/>
      <c r="HH196" s="2"/>
      <c r="HI196" s="2"/>
      <c r="HJ196" s="2"/>
      <c r="HK196" s="2"/>
      <c r="HL196" s="2"/>
      <c r="HM196" s="2"/>
      <c r="HN196" s="2"/>
      <c r="HO196" s="2"/>
      <c r="HP196" s="2"/>
      <c r="HQ196" s="2"/>
    </row>
    <row r="197" spans="1:225" x14ac:dyDescent="0.35">
      <c r="A197" s="2"/>
      <c r="B197" s="2"/>
      <c r="C197" s="2"/>
      <c r="D197" s="2"/>
      <c r="E197" s="2"/>
      <c r="F197" s="2"/>
      <c r="G197" s="2"/>
      <c r="H197" s="2"/>
      <c r="I197" s="2"/>
      <c r="K197" s="2"/>
      <c r="L197" s="2"/>
      <c r="M197" s="2"/>
    </row>
    <row r="198" spans="1:225" x14ac:dyDescent="0.35">
      <c r="A198" s="2"/>
      <c r="B198" s="2"/>
      <c r="C198" s="2"/>
      <c r="D198" s="2"/>
      <c r="E198" s="2"/>
      <c r="F198" s="2"/>
      <c r="G198" s="2"/>
      <c r="H198" s="2"/>
      <c r="I198" s="2"/>
      <c r="K198" s="2"/>
      <c r="L198" s="2"/>
      <c r="M198" s="2"/>
    </row>
    <row r="199" spans="1:225" x14ac:dyDescent="0.35">
      <c r="A199" s="2"/>
      <c r="B199" s="2"/>
      <c r="C199" s="2"/>
      <c r="D199" s="2"/>
      <c r="E199" s="2"/>
      <c r="F199" s="2"/>
      <c r="G199" s="2"/>
      <c r="H199" s="2"/>
      <c r="I199" s="2"/>
      <c r="K199" s="2"/>
      <c r="L199" s="2"/>
      <c r="M199" s="2"/>
    </row>
    <row r="200" spans="1:225" x14ac:dyDescent="0.35">
      <c r="A200" s="2"/>
      <c r="B200" s="2"/>
      <c r="C200" s="2"/>
      <c r="D200" s="2"/>
      <c r="E200" s="2"/>
      <c r="F200" s="2"/>
      <c r="G200" s="2"/>
      <c r="H200" s="2"/>
      <c r="I200" s="2"/>
      <c r="K200" s="2"/>
      <c r="L200" s="2"/>
      <c r="M200" s="2"/>
    </row>
    <row r="201" spans="1:225" x14ac:dyDescent="0.35">
      <c r="A201" s="2"/>
      <c r="B201" s="2"/>
      <c r="C201" s="2"/>
      <c r="D201" s="2"/>
      <c r="E201" s="2"/>
      <c r="F201" s="2"/>
      <c r="G201" s="2"/>
      <c r="H201" s="2"/>
      <c r="I201" s="2"/>
      <c r="K201" s="2"/>
      <c r="L201" s="2"/>
      <c r="M201" s="2"/>
    </row>
    <row r="202" spans="1:225" x14ac:dyDescent="0.35">
      <c r="A202" s="2"/>
      <c r="B202" s="2"/>
      <c r="C202" s="2"/>
      <c r="D202" s="2"/>
      <c r="E202" s="2"/>
      <c r="F202" s="2"/>
      <c r="G202" s="2"/>
      <c r="H202" s="2"/>
      <c r="I202" s="2"/>
      <c r="K202" s="2"/>
      <c r="L202" s="2"/>
      <c r="M202" s="2"/>
    </row>
    <row r="203" spans="1:225" x14ac:dyDescent="0.35">
      <c r="A203" s="2"/>
      <c r="B203" s="2"/>
      <c r="C203" s="2"/>
      <c r="D203" s="2"/>
      <c r="E203" s="2"/>
      <c r="F203" s="2"/>
      <c r="G203" s="2"/>
      <c r="H203" s="2"/>
      <c r="I203" s="2"/>
      <c r="K203" s="2"/>
      <c r="L203" s="2"/>
      <c r="M203" s="2"/>
    </row>
    <row r="204" spans="1:225" x14ac:dyDescent="0.35">
      <c r="A204" s="2"/>
      <c r="B204" s="2"/>
      <c r="C204" s="2"/>
      <c r="D204" s="2"/>
      <c r="E204" s="2"/>
      <c r="F204" s="2"/>
      <c r="G204" s="2"/>
      <c r="H204" s="2"/>
      <c r="I204" s="2"/>
      <c r="K204" s="2"/>
      <c r="L204" s="2"/>
      <c r="M204" s="2"/>
    </row>
    <row r="205" spans="1:225" x14ac:dyDescent="0.35">
      <c r="A205" s="2"/>
      <c r="B205" s="2"/>
      <c r="C205" s="2"/>
      <c r="D205" s="2"/>
      <c r="E205" s="2"/>
      <c r="F205" s="2"/>
      <c r="G205" s="2"/>
      <c r="H205" s="2"/>
      <c r="I205" s="2"/>
      <c r="K205" s="2"/>
      <c r="L205" s="2"/>
      <c r="M205" s="2"/>
    </row>
    <row r="206" spans="1:225" x14ac:dyDescent="0.35">
      <c r="A206" s="2"/>
      <c r="B206" s="2"/>
      <c r="C206" s="2"/>
      <c r="D206" s="2"/>
      <c r="E206" s="2"/>
      <c r="F206" s="2"/>
      <c r="G206" s="2"/>
      <c r="H206" s="2"/>
      <c r="I206" s="2"/>
      <c r="K206" s="2"/>
      <c r="L206" s="2"/>
      <c r="M206" s="2"/>
    </row>
    <row r="207" spans="1:225" x14ac:dyDescent="0.35">
      <c r="A207" s="2"/>
      <c r="B207" s="2"/>
      <c r="C207" s="2"/>
      <c r="D207" s="2"/>
      <c r="E207" s="2"/>
      <c r="F207" s="2"/>
      <c r="G207" s="2"/>
      <c r="H207" s="2"/>
      <c r="I207" s="2"/>
      <c r="K207" s="2"/>
      <c r="L207" s="2"/>
      <c r="M207" s="2"/>
    </row>
    <row r="208" spans="1:225" x14ac:dyDescent="0.35">
      <c r="A208" s="2"/>
      <c r="B208" s="2"/>
      <c r="C208" s="2"/>
      <c r="D208" s="2"/>
      <c r="E208" s="2"/>
      <c r="F208" s="2"/>
      <c r="G208" s="2"/>
      <c r="H208" s="2"/>
      <c r="I208" s="2"/>
      <c r="K208" s="2"/>
      <c r="L208" s="2"/>
      <c r="M208" s="2"/>
    </row>
    <row r="209" spans="1:13" x14ac:dyDescent="0.35">
      <c r="A209" s="2"/>
      <c r="B209" s="2"/>
      <c r="C209" s="2"/>
      <c r="D209" s="2"/>
      <c r="E209" s="2"/>
      <c r="F209" s="2"/>
      <c r="G209" s="2"/>
      <c r="H209" s="2"/>
      <c r="I209" s="2"/>
      <c r="K209" s="2"/>
      <c r="L209" s="2"/>
      <c r="M209" s="2"/>
    </row>
    <row r="210" spans="1:13" x14ac:dyDescent="0.35">
      <c r="A210" s="2"/>
      <c r="B210" s="2"/>
      <c r="C210" s="2"/>
      <c r="D210" s="2"/>
      <c r="E210" s="2"/>
      <c r="F210" s="2"/>
      <c r="G210" s="2"/>
      <c r="H210" s="2"/>
      <c r="I210" s="2"/>
      <c r="K210" s="2"/>
      <c r="L210" s="2"/>
      <c r="M210" s="2"/>
    </row>
    <row r="211" spans="1:13" x14ac:dyDescent="0.35">
      <c r="A211" s="2"/>
      <c r="B211" s="2"/>
      <c r="C211" s="2"/>
      <c r="D211" s="2"/>
      <c r="E211" s="2"/>
      <c r="F211" s="2"/>
      <c r="G211" s="2"/>
      <c r="H211" s="2"/>
      <c r="I211" s="2"/>
      <c r="K211" s="2"/>
      <c r="L211" s="2"/>
      <c r="M211" s="2"/>
    </row>
    <row r="212" spans="1:13" x14ac:dyDescent="0.35">
      <c r="A212" s="2"/>
      <c r="B212" s="2"/>
      <c r="C212" s="2"/>
      <c r="D212" s="2"/>
      <c r="E212" s="2"/>
      <c r="F212" s="2"/>
      <c r="G212" s="2"/>
      <c r="H212" s="2"/>
      <c r="I212" s="2"/>
      <c r="K212" s="2"/>
      <c r="L212" s="2"/>
      <c r="M212" s="2"/>
    </row>
    <row r="213" spans="1:13" x14ac:dyDescent="0.35">
      <c r="A213" s="2"/>
      <c r="B213" s="2"/>
      <c r="C213" s="2"/>
      <c r="D213" s="2"/>
      <c r="E213" s="2"/>
      <c r="F213" s="2"/>
      <c r="G213" s="2"/>
      <c r="H213" s="2"/>
      <c r="I213" s="2"/>
      <c r="K213" s="2"/>
      <c r="L213" s="2"/>
      <c r="M213" s="2"/>
    </row>
    <row r="214" spans="1:13" x14ac:dyDescent="0.35">
      <c r="A214" s="2"/>
      <c r="B214" s="2"/>
      <c r="C214" s="2"/>
      <c r="D214" s="2"/>
      <c r="E214" s="2"/>
      <c r="F214" s="2"/>
      <c r="G214" s="2"/>
      <c r="H214" s="2"/>
      <c r="I214" s="2"/>
      <c r="K214" s="2"/>
      <c r="L214" s="2"/>
      <c r="M214" s="2"/>
    </row>
    <row r="215" spans="1:13" x14ac:dyDescent="0.35">
      <c r="A215" s="2"/>
      <c r="B215" s="2"/>
      <c r="C215" s="2"/>
      <c r="D215" s="2"/>
      <c r="E215" s="2"/>
      <c r="F215" s="2"/>
      <c r="G215" s="2"/>
      <c r="H215" s="2"/>
      <c r="I215" s="2"/>
      <c r="K215" s="2"/>
      <c r="L215" s="2"/>
      <c r="M215" s="2"/>
    </row>
    <row r="216" spans="1:13" x14ac:dyDescent="0.35">
      <c r="A216" s="2"/>
      <c r="B216" s="2"/>
      <c r="C216" s="2"/>
      <c r="D216" s="2"/>
      <c r="E216" s="2"/>
      <c r="F216" s="2"/>
      <c r="G216" s="2"/>
      <c r="H216" s="2"/>
      <c r="I216" s="2"/>
      <c r="K216" s="2"/>
      <c r="L216" s="2"/>
      <c r="M216" s="2"/>
    </row>
    <row r="217" spans="1:13" x14ac:dyDescent="0.35">
      <c r="A217" s="2"/>
      <c r="B217" s="2"/>
      <c r="C217" s="2"/>
      <c r="D217" s="2"/>
      <c r="E217" s="2"/>
      <c r="F217" s="2"/>
      <c r="G217" s="2"/>
      <c r="H217" s="2"/>
      <c r="I217" s="2"/>
      <c r="K217" s="2"/>
      <c r="L217" s="2"/>
      <c r="M217" s="2"/>
    </row>
    <row r="218" spans="1:13" x14ac:dyDescent="0.35">
      <c r="A218" s="2"/>
      <c r="B218" s="2"/>
      <c r="C218" s="2"/>
      <c r="D218" s="2"/>
      <c r="E218" s="2"/>
      <c r="F218" s="2"/>
      <c r="G218" s="2"/>
      <c r="H218" s="2"/>
      <c r="I218" s="2"/>
      <c r="K218" s="2"/>
      <c r="L218" s="2"/>
      <c r="M218" s="2"/>
    </row>
    <row r="219" spans="1:13" x14ac:dyDescent="0.35">
      <c r="A219" s="2"/>
      <c r="B219" s="2"/>
      <c r="C219" s="2"/>
      <c r="D219" s="2"/>
      <c r="E219" s="2"/>
      <c r="F219" s="2"/>
      <c r="G219" s="2"/>
      <c r="H219" s="2"/>
      <c r="I219" s="2"/>
      <c r="K219" s="2"/>
      <c r="L219" s="2"/>
      <c r="M219" s="2"/>
    </row>
    <row r="220" spans="1:13" x14ac:dyDescent="0.35">
      <c r="A220" s="2"/>
      <c r="B220" s="2"/>
      <c r="C220" s="2"/>
      <c r="D220" s="2"/>
      <c r="E220" s="2"/>
      <c r="F220" s="2"/>
      <c r="G220" s="2"/>
      <c r="H220" s="2"/>
      <c r="I220" s="2"/>
      <c r="K220" s="2"/>
      <c r="L220" s="2"/>
      <c r="M220" s="2"/>
    </row>
    <row r="221" spans="1:13" x14ac:dyDescent="0.35">
      <c r="A221" s="2"/>
      <c r="B221" s="2"/>
      <c r="C221" s="2"/>
      <c r="D221" s="2"/>
      <c r="E221" s="2"/>
      <c r="F221" s="2"/>
      <c r="G221" s="2"/>
      <c r="H221" s="2"/>
      <c r="I221" s="2"/>
      <c r="K221" s="2"/>
      <c r="L221" s="2"/>
      <c r="M221" s="2"/>
    </row>
    <row r="222" spans="1:13" x14ac:dyDescent="0.35">
      <c r="A222" s="2"/>
      <c r="B222" s="2"/>
      <c r="C222" s="2"/>
      <c r="D222" s="2"/>
      <c r="E222" s="2"/>
      <c r="F222" s="2"/>
      <c r="G222" s="2"/>
      <c r="H222" s="2"/>
      <c r="I222" s="2"/>
      <c r="K222" s="2"/>
      <c r="L222" s="2"/>
      <c r="M222" s="2"/>
    </row>
    <row r="223" spans="1:13" x14ac:dyDescent="0.35">
      <c r="A223" s="2"/>
      <c r="B223" s="2"/>
      <c r="C223" s="2"/>
      <c r="D223" s="2"/>
      <c r="E223" s="2"/>
      <c r="F223" s="2"/>
      <c r="G223" s="2"/>
      <c r="H223" s="2"/>
      <c r="I223" s="2"/>
      <c r="K223" s="2"/>
      <c r="L223" s="2"/>
      <c r="M223" s="2"/>
    </row>
    <row r="224" spans="1:13" x14ac:dyDescent="0.35">
      <c r="A224" s="2"/>
      <c r="B224" s="2"/>
      <c r="C224" s="2"/>
      <c r="D224" s="2"/>
      <c r="E224" s="2"/>
      <c r="F224" s="2"/>
      <c r="G224" s="2"/>
      <c r="H224" s="2"/>
      <c r="I224" s="2"/>
      <c r="K224" s="2"/>
      <c r="L224" s="2"/>
      <c r="M224" s="2"/>
    </row>
    <row r="225" spans="1:13" x14ac:dyDescent="0.35">
      <c r="A225" s="2"/>
      <c r="B225" s="2"/>
      <c r="C225" s="2"/>
      <c r="D225" s="2"/>
      <c r="E225" s="2"/>
      <c r="F225" s="2"/>
      <c r="G225" s="2"/>
      <c r="H225" s="2"/>
      <c r="I225" s="2"/>
      <c r="K225" s="2"/>
      <c r="L225" s="2"/>
      <c r="M225" s="2"/>
    </row>
    <row r="226" spans="1:13" x14ac:dyDescent="0.35">
      <c r="A226" s="2"/>
      <c r="B226" s="2"/>
      <c r="C226" s="2"/>
      <c r="D226" s="2"/>
      <c r="E226" s="2"/>
      <c r="F226" s="2"/>
      <c r="G226" s="2"/>
      <c r="H226" s="2"/>
      <c r="I226" s="2"/>
      <c r="K226" s="2"/>
      <c r="L226" s="2"/>
      <c r="M226" s="2"/>
    </row>
    <row r="227" spans="1:13" x14ac:dyDescent="0.35">
      <c r="A227" s="2"/>
      <c r="B227" s="2"/>
      <c r="C227" s="2"/>
      <c r="D227" s="2"/>
      <c r="E227" s="2"/>
      <c r="F227" s="2"/>
      <c r="G227" s="2"/>
      <c r="H227" s="2"/>
      <c r="I227" s="2"/>
      <c r="K227" s="2"/>
      <c r="L227" s="2"/>
      <c r="M227" s="2"/>
    </row>
    <row r="228" spans="1:13" x14ac:dyDescent="0.35">
      <c r="A228" s="2"/>
      <c r="B228" s="2"/>
      <c r="C228" s="2"/>
      <c r="D228" s="2"/>
      <c r="E228" s="2"/>
      <c r="F228" s="2"/>
      <c r="G228" s="2"/>
      <c r="H228" s="2"/>
      <c r="I228" s="2"/>
      <c r="K228" s="2"/>
      <c r="L228" s="2"/>
      <c r="M228" s="2"/>
    </row>
    <row r="229" spans="1:13" x14ac:dyDescent="0.35">
      <c r="A229" s="2"/>
      <c r="B229" s="2"/>
      <c r="C229" s="2"/>
      <c r="D229" s="2"/>
      <c r="E229" s="2"/>
      <c r="F229" s="2"/>
      <c r="G229" s="2"/>
      <c r="H229" s="2"/>
      <c r="I229" s="2"/>
      <c r="K229" s="2"/>
      <c r="L229" s="2"/>
      <c r="M229" s="2"/>
    </row>
    <row r="230" spans="1:13" x14ac:dyDescent="0.35">
      <c r="A230" s="2"/>
      <c r="B230" s="2"/>
      <c r="C230" s="2"/>
      <c r="D230" s="2"/>
      <c r="E230" s="2"/>
      <c r="F230" s="2"/>
      <c r="G230" s="2"/>
      <c r="H230" s="2"/>
      <c r="I230" s="2"/>
      <c r="K230" s="2"/>
      <c r="L230" s="2"/>
      <c r="M230" s="2"/>
    </row>
    <row r="231" spans="1:13" x14ac:dyDescent="0.35">
      <c r="A231" s="2"/>
      <c r="B231" s="2"/>
      <c r="C231" s="2"/>
      <c r="D231" s="2"/>
      <c r="E231" s="2"/>
      <c r="F231" s="2"/>
      <c r="G231" s="2"/>
      <c r="H231" s="2"/>
      <c r="I231" s="2"/>
      <c r="K231" s="2"/>
      <c r="L231" s="2"/>
      <c r="M231" s="2"/>
    </row>
    <row r="232" spans="1:13" x14ac:dyDescent="0.35">
      <c r="A232" s="2"/>
      <c r="B232" s="2"/>
      <c r="C232" s="2"/>
      <c r="D232" s="2"/>
      <c r="E232" s="2"/>
      <c r="F232" s="2"/>
      <c r="G232" s="2"/>
      <c r="H232" s="2"/>
      <c r="I232" s="2"/>
      <c r="K232" s="2"/>
      <c r="L232" s="2"/>
      <c r="M232" s="2"/>
    </row>
    <row r="233" spans="1:13" x14ac:dyDescent="0.35">
      <c r="A233" s="2"/>
      <c r="B233" s="2"/>
      <c r="C233" s="2"/>
      <c r="D233" s="2"/>
      <c r="E233" s="2"/>
      <c r="F233" s="2"/>
      <c r="G233" s="2"/>
      <c r="H233" s="2"/>
      <c r="I233" s="2"/>
      <c r="K233" s="2"/>
      <c r="L233" s="2"/>
      <c r="M233" s="2"/>
    </row>
    <row r="234" spans="1:13" x14ac:dyDescent="0.35">
      <c r="A234" s="2"/>
      <c r="B234" s="2"/>
      <c r="C234" s="2"/>
      <c r="D234" s="2"/>
      <c r="E234" s="2"/>
      <c r="F234" s="2"/>
      <c r="G234" s="2"/>
      <c r="H234" s="2"/>
      <c r="I234" s="2"/>
      <c r="K234" s="2"/>
      <c r="L234" s="2"/>
      <c r="M234" s="2"/>
    </row>
    <row r="235" spans="1:13" x14ac:dyDescent="0.35">
      <c r="A235" s="2"/>
      <c r="B235" s="2"/>
      <c r="C235" s="2"/>
      <c r="D235" s="2"/>
      <c r="E235" s="2"/>
      <c r="F235" s="2"/>
      <c r="G235" s="2"/>
      <c r="H235" s="2"/>
      <c r="I235" s="2"/>
      <c r="K235" s="2"/>
      <c r="L235" s="2"/>
      <c r="M235" s="2"/>
    </row>
    <row r="236" spans="1:13" x14ac:dyDescent="0.35">
      <c r="A236" s="2"/>
      <c r="B236" s="2"/>
      <c r="C236" s="2"/>
      <c r="D236" s="2"/>
      <c r="E236" s="2"/>
      <c r="F236" s="2"/>
      <c r="G236" s="2"/>
      <c r="H236" s="2"/>
      <c r="I236" s="2"/>
      <c r="K236" s="2"/>
      <c r="L236" s="2"/>
      <c r="M236" s="2"/>
    </row>
    <row r="237" spans="1:13" x14ac:dyDescent="0.35">
      <c r="A237" s="2"/>
      <c r="B237" s="2"/>
      <c r="C237" s="2"/>
      <c r="D237" s="2"/>
      <c r="E237" s="2"/>
      <c r="F237" s="2"/>
      <c r="G237" s="2"/>
      <c r="H237" s="2"/>
      <c r="I237" s="2"/>
      <c r="K237" s="2"/>
      <c r="L237" s="2"/>
      <c r="M237" s="2"/>
    </row>
    <row r="238" spans="1:13" x14ac:dyDescent="0.35">
      <c r="A238" s="2"/>
      <c r="B238" s="2"/>
      <c r="C238" s="2"/>
      <c r="D238" s="2"/>
      <c r="E238" s="2"/>
      <c r="F238" s="2"/>
      <c r="G238" s="2"/>
      <c r="H238" s="2"/>
      <c r="I238" s="2"/>
      <c r="K238" s="2"/>
      <c r="L238" s="2"/>
      <c r="M238" s="2"/>
    </row>
    <row r="239" spans="1:13" x14ac:dyDescent="0.35">
      <c r="A239" s="2"/>
      <c r="B239" s="2"/>
      <c r="C239" s="2"/>
      <c r="D239" s="2"/>
      <c r="E239" s="2"/>
      <c r="F239" s="2"/>
      <c r="G239" s="2"/>
      <c r="H239" s="2"/>
      <c r="I239" s="2"/>
      <c r="K239" s="2"/>
      <c r="L239" s="2"/>
      <c r="M239" s="2"/>
    </row>
    <row r="240" spans="1:13" x14ac:dyDescent="0.35">
      <c r="A240" s="2"/>
      <c r="B240" s="2"/>
      <c r="C240" s="2"/>
      <c r="D240" s="2"/>
      <c r="E240" s="2"/>
      <c r="F240" s="2"/>
      <c r="G240" s="2"/>
      <c r="H240" s="2"/>
      <c r="I240" s="2"/>
      <c r="K240" s="2"/>
      <c r="L240" s="2"/>
      <c r="M240" s="2"/>
    </row>
    <row r="241" spans="1:13" x14ac:dyDescent="0.35">
      <c r="A241" s="2"/>
      <c r="B241" s="2"/>
      <c r="C241" s="2"/>
      <c r="D241" s="2"/>
      <c r="E241" s="2"/>
      <c r="F241" s="2"/>
      <c r="G241" s="2"/>
      <c r="H241" s="2"/>
      <c r="I241" s="2"/>
      <c r="K241" s="2"/>
      <c r="L241" s="2"/>
      <c r="M241" s="2"/>
    </row>
    <row r="242" spans="1:13" x14ac:dyDescent="0.35">
      <c r="A242" s="2"/>
      <c r="B242" s="2"/>
      <c r="C242" s="2"/>
      <c r="D242" s="2"/>
      <c r="E242" s="2"/>
      <c r="F242" s="2"/>
      <c r="G242" s="2"/>
      <c r="H242" s="2"/>
      <c r="I242" s="2"/>
      <c r="K242" s="2"/>
      <c r="L242" s="2"/>
      <c r="M242" s="2"/>
    </row>
    <row r="243" spans="1:13" x14ac:dyDescent="0.35">
      <c r="A243" s="2"/>
      <c r="B243" s="2"/>
      <c r="C243" s="2"/>
      <c r="D243" s="2"/>
      <c r="E243" s="2"/>
      <c r="F243" s="2"/>
      <c r="G243" s="2"/>
      <c r="H243" s="2"/>
      <c r="I243" s="2"/>
      <c r="K243" s="2"/>
      <c r="L243" s="2"/>
      <c r="M243" s="2"/>
    </row>
    <row r="244" spans="1:13" x14ac:dyDescent="0.35">
      <c r="A244" s="2"/>
      <c r="B244" s="2"/>
      <c r="C244" s="2"/>
      <c r="D244" s="2"/>
      <c r="E244" s="2"/>
      <c r="F244" s="2"/>
      <c r="G244" s="2"/>
      <c r="H244" s="2"/>
      <c r="I244" s="2"/>
      <c r="K244" s="2"/>
      <c r="L244" s="2"/>
      <c r="M244" s="2"/>
    </row>
    <row r="245" spans="1:13" x14ac:dyDescent="0.35">
      <c r="A245" s="2"/>
      <c r="B245" s="2"/>
      <c r="C245" s="2"/>
      <c r="D245" s="2"/>
      <c r="E245" s="2"/>
      <c r="F245" s="2"/>
      <c r="G245" s="2"/>
      <c r="H245" s="2"/>
      <c r="I245" s="2"/>
      <c r="K245" s="2"/>
      <c r="L245" s="2"/>
      <c r="M245" s="2"/>
    </row>
    <row r="246" spans="1:13" x14ac:dyDescent="0.35">
      <c r="A246" s="2"/>
      <c r="B246" s="2"/>
      <c r="C246" s="2"/>
      <c r="D246" s="2"/>
      <c r="E246" s="2"/>
      <c r="F246" s="2"/>
      <c r="G246" s="2"/>
      <c r="H246" s="2"/>
      <c r="I246" s="2"/>
      <c r="K246" s="2"/>
      <c r="L246" s="2"/>
      <c r="M246" s="2"/>
    </row>
    <row r="247" spans="1:13" x14ac:dyDescent="0.35">
      <c r="A247" s="2"/>
      <c r="B247" s="2"/>
      <c r="C247" s="2"/>
      <c r="D247" s="2"/>
      <c r="E247" s="2"/>
      <c r="F247" s="2"/>
      <c r="G247" s="2"/>
      <c r="H247" s="2"/>
      <c r="I247" s="2"/>
      <c r="K247" s="2"/>
      <c r="L247" s="2"/>
      <c r="M247" s="2"/>
    </row>
    <row r="248" spans="1:13" x14ac:dyDescent="0.35">
      <c r="A248" s="2"/>
      <c r="B248" s="2"/>
      <c r="C248" s="2"/>
      <c r="D248" s="2"/>
      <c r="E248" s="2"/>
      <c r="F248" s="2"/>
      <c r="G248" s="2"/>
      <c r="H248" s="2"/>
      <c r="I248" s="2"/>
      <c r="K248" s="2"/>
      <c r="L248" s="2"/>
      <c r="M248" s="2"/>
    </row>
    <row r="249" spans="1:13" x14ac:dyDescent="0.35">
      <c r="A249" s="2"/>
      <c r="B249" s="2"/>
      <c r="C249" s="2"/>
      <c r="D249" s="2"/>
      <c r="E249" s="2"/>
      <c r="F249" s="2"/>
      <c r="G249" s="2"/>
      <c r="H249" s="2"/>
      <c r="I249" s="2"/>
      <c r="K249" s="2"/>
      <c r="L249" s="2"/>
      <c r="M249" s="2"/>
    </row>
    <row r="250" spans="1:13" x14ac:dyDescent="0.35">
      <c r="A250" s="2"/>
      <c r="B250" s="2"/>
      <c r="C250" s="2"/>
      <c r="D250" s="2"/>
      <c r="E250" s="2"/>
      <c r="F250" s="2"/>
      <c r="G250" s="2"/>
      <c r="H250" s="2"/>
      <c r="I250" s="2"/>
      <c r="K250" s="2"/>
      <c r="L250" s="2"/>
      <c r="M250" s="2"/>
    </row>
    <row r="251" spans="1:13" x14ac:dyDescent="0.35">
      <c r="A251" s="2"/>
      <c r="B251" s="2"/>
      <c r="C251" s="2"/>
      <c r="D251" s="2"/>
      <c r="E251" s="2"/>
      <c r="F251" s="2"/>
      <c r="G251" s="2"/>
      <c r="H251" s="2"/>
      <c r="I251" s="2"/>
      <c r="K251" s="2"/>
      <c r="L251" s="2"/>
      <c r="M251" s="2"/>
    </row>
    <row r="252" spans="1:13" x14ac:dyDescent="0.35">
      <c r="A252" s="2"/>
      <c r="B252" s="2"/>
      <c r="C252" s="2"/>
      <c r="D252" s="2"/>
      <c r="E252" s="2"/>
      <c r="F252" s="2"/>
      <c r="G252" s="2"/>
      <c r="H252" s="2"/>
      <c r="I252" s="2"/>
      <c r="K252" s="2"/>
      <c r="L252" s="2"/>
      <c r="M252" s="2"/>
    </row>
    <row r="253" spans="1:13" x14ac:dyDescent="0.35">
      <c r="A253" s="2"/>
      <c r="B253" s="2"/>
      <c r="C253" s="2"/>
      <c r="D253" s="2"/>
      <c r="E253" s="2"/>
      <c r="F253" s="2"/>
      <c r="G253" s="2"/>
      <c r="H253" s="2"/>
      <c r="I253" s="2"/>
      <c r="K253" s="2"/>
      <c r="L253" s="2"/>
      <c r="M253" s="2"/>
    </row>
    <row r="254" spans="1:13" x14ac:dyDescent="0.35">
      <c r="A254" s="2"/>
      <c r="B254" s="2"/>
      <c r="C254" s="2"/>
      <c r="D254" s="2"/>
      <c r="E254" s="2"/>
      <c r="F254" s="2"/>
      <c r="G254" s="2"/>
      <c r="H254" s="2"/>
      <c r="I254" s="2"/>
      <c r="K254" s="2"/>
      <c r="L254" s="2"/>
      <c r="M254" s="2"/>
    </row>
    <row r="255" spans="1:13" x14ac:dyDescent="0.35">
      <c r="A255" s="2"/>
      <c r="B255" s="2"/>
      <c r="C255" s="2"/>
      <c r="D255" s="2"/>
      <c r="E255" s="2"/>
      <c r="F255" s="2"/>
      <c r="G255" s="2"/>
      <c r="H255" s="2"/>
      <c r="I255" s="2"/>
      <c r="K255" s="2"/>
      <c r="L255" s="2"/>
      <c r="M255" s="2"/>
    </row>
    <row r="256" spans="1:13" x14ac:dyDescent="0.35">
      <c r="A256" s="2"/>
      <c r="B256" s="2"/>
      <c r="C256" s="2"/>
      <c r="D256" s="2"/>
      <c r="E256" s="2"/>
      <c r="F256" s="2"/>
      <c r="G256" s="2"/>
      <c r="H256" s="2"/>
      <c r="I256" s="2"/>
      <c r="K256" s="2"/>
      <c r="L256" s="2"/>
      <c r="M256" s="2"/>
    </row>
    <row r="257" spans="1:13" x14ac:dyDescent="0.35">
      <c r="A257" s="2"/>
      <c r="B257" s="2"/>
      <c r="C257" s="2"/>
      <c r="D257" s="2"/>
      <c r="E257" s="2"/>
      <c r="F257" s="2"/>
      <c r="G257" s="2"/>
      <c r="H257" s="2"/>
      <c r="I257" s="2"/>
      <c r="K257" s="2"/>
      <c r="L257" s="2"/>
      <c r="M257" s="2"/>
    </row>
    <row r="258" spans="1:13" x14ac:dyDescent="0.35">
      <c r="A258" s="2"/>
      <c r="B258" s="2"/>
      <c r="C258" s="2"/>
      <c r="D258" s="2"/>
      <c r="E258" s="2"/>
      <c r="F258" s="2"/>
      <c r="G258" s="2"/>
      <c r="H258" s="2"/>
      <c r="I258" s="2"/>
      <c r="K258" s="2"/>
      <c r="L258" s="2"/>
      <c r="M258" s="2"/>
    </row>
    <row r="259" spans="1:13" x14ac:dyDescent="0.35">
      <c r="A259" s="2"/>
      <c r="B259" s="2"/>
      <c r="C259" s="2"/>
      <c r="D259" s="2"/>
      <c r="E259" s="2"/>
      <c r="F259" s="2"/>
      <c r="G259" s="2"/>
      <c r="H259" s="2"/>
      <c r="I259" s="2"/>
      <c r="K259" s="2"/>
      <c r="L259" s="2"/>
      <c r="M259" s="2"/>
    </row>
    <row r="260" spans="1:13" x14ac:dyDescent="0.35">
      <c r="A260" s="2"/>
      <c r="B260" s="2"/>
      <c r="C260" s="2"/>
      <c r="D260" s="2"/>
      <c r="E260" s="2"/>
      <c r="F260" s="2"/>
      <c r="G260" s="2"/>
      <c r="H260" s="2"/>
      <c r="I260" s="2"/>
      <c r="K260" s="2"/>
      <c r="L260" s="2"/>
      <c r="M260" s="2"/>
    </row>
    <row r="261" spans="1:13" x14ac:dyDescent="0.35">
      <c r="A261" s="2"/>
      <c r="B261" s="2"/>
      <c r="C261" s="2"/>
      <c r="D261" s="2"/>
      <c r="E261" s="2"/>
      <c r="F261" s="2"/>
      <c r="G261" s="2"/>
      <c r="H261" s="2"/>
      <c r="I261" s="2"/>
      <c r="K261" s="2"/>
      <c r="L261" s="2"/>
      <c r="M261" s="2"/>
    </row>
    <row r="262" spans="1:13" x14ac:dyDescent="0.35">
      <c r="A262" s="2"/>
      <c r="B262" s="2"/>
      <c r="C262" s="2"/>
      <c r="D262" s="2"/>
      <c r="E262" s="2"/>
      <c r="F262" s="2"/>
      <c r="G262" s="2"/>
      <c r="H262" s="2"/>
      <c r="I262" s="2"/>
      <c r="K262" s="2"/>
      <c r="L262" s="2"/>
      <c r="M262" s="2"/>
    </row>
    <row r="263" spans="1:13" x14ac:dyDescent="0.35">
      <c r="A263" s="2"/>
      <c r="B263" s="2"/>
      <c r="C263" s="2"/>
      <c r="D263" s="2"/>
      <c r="E263" s="2"/>
      <c r="F263" s="2"/>
      <c r="G263" s="2"/>
      <c r="H263" s="2"/>
      <c r="I263" s="2"/>
      <c r="K263" s="2"/>
      <c r="L263" s="2"/>
      <c r="M263" s="2"/>
    </row>
    <row r="264" spans="1:13" x14ac:dyDescent="0.35">
      <c r="A264" s="2"/>
      <c r="B264" s="2"/>
      <c r="C264" s="2"/>
      <c r="D264" s="2"/>
      <c r="E264" s="2"/>
      <c r="F264" s="2"/>
      <c r="G264" s="2"/>
      <c r="H264" s="2"/>
      <c r="I264" s="2"/>
      <c r="K264" s="2"/>
      <c r="L264" s="2"/>
      <c r="M264" s="2"/>
    </row>
    <row r="265" spans="1:13" x14ac:dyDescent="0.35">
      <c r="A265" s="2"/>
      <c r="B265" s="2"/>
      <c r="C265" s="2"/>
      <c r="D265" s="2"/>
      <c r="E265" s="2"/>
      <c r="F265" s="2"/>
      <c r="G265" s="2"/>
      <c r="H265" s="2"/>
      <c r="I265" s="2"/>
      <c r="K265" s="2"/>
      <c r="L265" s="2"/>
      <c r="M265" s="2"/>
    </row>
    <row r="266" spans="1:13" x14ac:dyDescent="0.35">
      <c r="A266" s="2"/>
      <c r="B266" s="2"/>
      <c r="C266" s="2"/>
      <c r="D266" s="2"/>
      <c r="E266" s="2"/>
      <c r="F266" s="2"/>
      <c r="G266" s="2"/>
      <c r="H266" s="2"/>
      <c r="I266" s="2"/>
      <c r="K266" s="2"/>
      <c r="L266" s="2"/>
      <c r="M266" s="2"/>
    </row>
    <row r="267" spans="1:13" x14ac:dyDescent="0.35">
      <c r="A267" s="2"/>
      <c r="B267" s="2"/>
      <c r="C267" s="2"/>
      <c r="D267" s="2"/>
      <c r="E267" s="2"/>
      <c r="F267" s="2"/>
      <c r="G267" s="2"/>
      <c r="H267" s="2"/>
      <c r="I267" s="2"/>
      <c r="K267" s="2"/>
      <c r="L267" s="2"/>
      <c r="M267" s="2"/>
    </row>
    <row r="268" spans="1:13" x14ac:dyDescent="0.35">
      <c r="A268" s="2"/>
      <c r="B268" s="2"/>
      <c r="C268" s="2"/>
      <c r="D268" s="2"/>
      <c r="E268" s="2"/>
      <c r="F268" s="2"/>
      <c r="G268" s="2"/>
      <c r="H268" s="2"/>
      <c r="I268" s="2"/>
      <c r="K268" s="2"/>
      <c r="L268" s="2"/>
      <c r="M268" s="2"/>
    </row>
    <row r="269" spans="1:13" x14ac:dyDescent="0.35">
      <c r="A269" s="2"/>
      <c r="B269" s="2"/>
      <c r="C269" s="2"/>
      <c r="D269" s="2"/>
      <c r="E269" s="2"/>
      <c r="F269" s="2"/>
      <c r="G269" s="2"/>
      <c r="H269" s="2"/>
      <c r="I269" s="2"/>
      <c r="K269" s="2"/>
      <c r="L269" s="2"/>
      <c r="M269" s="2"/>
    </row>
    <row r="270" spans="1:13" x14ac:dyDescent="0.35">
      <c r="A270" s="2"/>
      <c r="B270" s="2"/>
      <c r="C270" s="2"/>
      <c r="D270" s="2"/>
      <c r="E270" s="2"/>
      <c r="F270" s="2"/>
      <c r="G270" s="2"/>
      <c r="H270" s="2"/>
      <c r="I270" s="2"/>
      <c r="K270" s="2"/>
      <c r="L270" s="2"/>
      <c r="M270" s="2"/>
    </row>
    <row r="271" spans="1:13" x14ac:dyDescent="0.35">
      <c r="A271" s="2"/>
      <c r="B271" s="2"/>
      <c r="C271" s="2"/>
      <c r="D271" s="2"/>
      <c r="E271" s="2"/>
      <c r="F271" s="2"/>
      <c r="G271" s="2"/>
      <c r="H271" s="2"/>
      <c r="I271" s="2"/>
      <c r="K271" s="2"/>
      <c r="L271" s="2"/>
      <c r="M271" s="2"/>
    </row>
    <row r="272" spans="1:13" x14ac:dyDescent="0.35">
      <c r="A272" s="2"/>
      <c r="B272" s="2"/>
      <c r="C272" s="2"/>
      <c r="D272" s="2"/>
      <c r="E272" s="2"/>
      <c r="F272" s="2"/>
      <c r="G272" s="2"/>
      <c r="H272" s="2"/>
      <c r="I272" s="2"/>
      <c r="K272" s="2"/>
      <c r="L272" s="2"/>
      <c r="M272" s="2"/>
    </row>
    <row r="273" spans="1:13" x14ac:dyDescent="0.35">
      <c r="A273" s="2"/>
      <c r="B273" s="2"/>
      <c r="C273" s="2"/>
      <c r="D273" s="2"/>
      <c r="E273" s="2"/>
      <c r="F273" s="2"/>
      <c r="G273" s="2"/>
      <c r="H273" s="2"/>
      <c r="I273" s="2"/>
      <c r="K273" s="2"/>
      <c r="L273" s="2"/>
      <c r="M273" s="2"/>
    </row>
    <row r="274" spans="1:13" x14ac:dyDescent="0.35">
      <c r="A274" s="2"/>
      <c r="B274" s="2"/>
      <c r="C274" s="2"/>
      <c r="D274" s="2"/>
      <c r="E274" s="2"/>
      <c r="F274" s="2"/>
      <c r="G274" s="2"/>
      <c r="H274" s="2"/>
      <c r="I274" s="2"/>
      <c r="K274" s="2"/>
      <c r="L274" s="2"/>
      <c r="M274" s="2"/>
    </row>
  </sheetData>
  <printOptions horizontalCentered="1"/>
  <pageMargins left="0" right="0.15" top="0.63" bottom="0.36" header="0.22" footer="0.17"/>
  <pageSetup scale="64" orientation="landscape" horizontalDpi="4294967295" verticalDpi="4294967295" r:id="rId1"/>
  <headerFooter alignWithMargins="0">
    <oddHeader xml:space="preserve">&amp;L&amp;"Times New Roman,Bold"&amp;12REVISED AS OF &amp;D&amp;C&amp;"Times New Roman,Bold"UNIVERSITY of SOUTHERN CALIFORNIA
Statement of Activities
USC, Norris, REDC,  USC Care, AMI-USC, ICT Productions and APF
Restated for Publication &amp;R
</oddHeader>
    <oddFooter>&amp;Cpage &amp;P+1&amp;R&amp;Z&amp;F\&amp;A : &amp;D</oddFooter>
  </headerFooter>
  <colBreaks count="1" manualBreakCount="1">
    <brk id="6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Q274"/>
  <sheetViews>
    <sheetView showZeros="0" topLeftCell="A8" zoomScaleNormal="100" workbookViewId="0">
      <pane xSplit="1" ySplit="6" topLeftCell="B14" activePane="bottomRight" state="frozen"/>
      <selection activeCell="A8" sqref="A8"/>
      <selection pane="topRight" activeCell="B8" sqref="B8"/>
      <selection pane="bottomLeft" activeCell="A14" sqref="A14"/>
      <selection pane="bottomRight" activeCell="B65" sqref="B65"/>
    </sheetView>
  </sheetViews>
  <sheetFormatPr defaultColWidth="9.1171875" defaultRowHeight="10.35" x14ac:dyDescent="0.35"/>
  <cols>
    <col min="1" max="1" width="35.87890625" style="1" customWidth="1"/>
    <col min="2" max="3" width="15.29296875" style="1" customWidth="1"/>
    <col min="4" max="4" width="16.29296875" style="1" bestFit="1" customWidth="1"/>
    <col min="5" max="5" width="15.29296875" style="1" customWidth="1"/>
    <col min="6" max="7" width="16.29296875" style="1" bestFit="1" customWidth="1"/>
    <col min="8" max="8" width="15.29296875" style="1" customWidth="1"/>
    <col min="9" max="9" width="16.29296875" style="1" bestFit="1" customWidth="1"/>
    <col min="10" max="10" width="2.41015625" style="2" customWidth="1"/>
    <col min="11" max="12" width="16.29296875" style="1" bestFit="1" customWidth="1"/>
    <col min="13" max="13" width="16.1171875" style="1" customWidth="1"/>
    <col min="14" max="16384" width="9.1171875" style="1"/>
  </cols>
  <sheetData>
    <row r="1" spans="1:13" x14ac:dyDescent="0.35">
      <c r="A1" s="2"/>
    </row>
    <row r="3" spans="1:13" x14ac:dyDescent="0.35">
      <c r="M3" s="2"/>
    </row>
    <row r="4" spans="1:13" x14ac:dyDescent="0.35">
      <c r="M4" s="2"/>
    </row>
    <row r="5" spans="1:13" x14ac:dyDescent="0.35">
      <c r="B5" s="2"/>
      <c r="I5" s="82"/>
      <c r="J5" s="81"/>
      <c r="K5" s="81"/>
      <c r="L5" s="81"/>
      <c r="M5" s="68" t="s">
        <v>87</v>
      </c>
    </row>
    <row r="6" spans="1:13" ht="9.75" customHeight="1" thickBot="1" x14ac:dyDescent="0.4">
      <c r="A6" s="2"/>
      <c r="B6" s="2"/>
      <c r="C6" s="70"/>
      <c r="D6" s="70"/>
      <c r="E6" s="71"/>
      <c r="F6" s="70"/>
      <c r="G6" s="70"/>
      <c r="H6" s="71"/>
      <c r="I6" s="80"/>
      <c r="J6" s="80"/>
      <c r="K6" s="80"/>
      <c r="L6" s="80"/>
      <c r="M6" s="79" t="s">
        <v>118</v>
      </c>
    </row>
    <row r="7" spans="1:13" ht="9.75" customHeight="1" x14ac:dyDescent="0.35">
      <c r="A7" s="2"/>
      <c r="B7" s="78"/>
      <c r="C7" s="70"/>
      <c r="D7" s="70"/>
      <c r="E7" s="71"/>
      <c r="F7" s="70"/>
      <c r="G7" s="70"/>
      <c r="H7" s="71"/>
      <c r="I7" s="63"/>
      <c r="J7" s="63"/>
      <c r="K7" s="63"/>
      <c r="L7" s="63"/>
      <c r="M7" s="77"/>
    </row>
    <row r="8" spans="1:13" ht="9.75" customHeight="1" x14ac:dyDescent="0.35">
      <c r="A8" s="2"/>
      <c r="B8" s="78" t="s">
        <v>73</v>
      </c>
      <c r="C8" s="70"/>
      <c r="D8" s="70"/>
      <c r="E8" s="71"/>
      <c r="F8" s="70"/>
      <c r="G8" s="70"/>
      <c r="H8" s="71"/>
      <c r="I8" s="63"/>
      <c r="J8" s="63"/>
      <c r="K8" s="63"/>
      <c r="L8" s="63"/>
      <c r="M8" s="77"/>
    </row>
    <row r="9" spans="1:13" ht="9.75" customHeight="1" x14ac:dyDescent="0.35">
      <c r="A9" s="2"/>
      <c r="B9" s="76" t="s">
        <v>62</v>
      </c>
      <c r="C9" s="70"/>
      <c r="D9" s="70"/>
      <c r="E9" s="71"/>
      <c r="F9" s="70"/>
      <c r="G9" s="70"/>
      <c r="H9" s="71"/>
      <c r="I9" s="63"/>
      <c r="J9" s="63"/>
      <c r="K9" s="63"/>
      <c r="L9" s="63"/>
      <c r="M9" s="63"/>
    </row>
    <row r="10" spans="1:13" ht="9.75" customHeight="1" x14ac:dyDescent="0.35">
      <c r="A10" s="2"/>
      <c r="B10" s="11"/>
      <c r="C10" s="11"/>
      <c r="D10" s="75" t="s">
        <v>85</v>
      </c>
      <c r="E10" s="74"/>
      <c r="F10" s="11"/>
      <c r="G10" s="11"/>
      <c r="H10" s="74"/>
      <c r="I10" s="73"/>
      <c r="J10" s="63"/>
      <c r="K10" s="63"/>
      <c r="L10" s="63"/>
      <c r="M10" s="63"/>
    </row>
    <row r="11" spans="1:13" ht="9.75" customHeight="1" x14ac:dyDescent="0.35">
      <c r="A11" s="2"/>
      <c r="B11" s="13"/>
      <c r="C11" s="13"/>
      <c r="D11" s="72" t="s">
        <v>84</v>
      </c>
      <c r="E11" s="67" t="s">
        <v>83</v>
      </c>
      <c r="F11" s="13"/>
      <c r="G11" s="2"/>
      <c r="H11" s="71"/>
      <c r="I11" s="68" t="s">
        <v>71</v>
      </c>
      <c r="J11" s="63"/>
      <c r="K11" s="68" t="s">
        <v>82</v>
      </c>
      <c r="L11" s="69" t="s">
        <v>81</v>
      </c>
      <c r="M11" s="63"/>
    </row>
    <row r="12" spans="1:13" ht="9.75" customHeight="1" x14ac:dyDescent="0.35">
      <c r="A12" s="2"/>
      <c r="B12" s="13" t="s">
        <v>79</v>
      </c>
      <c r="C12" s="13" t="s">
        <v>78</v>
      </c>
      <c r="D12" s="67" t="s">
        <v>77</v>
      </c>
      <c r="E12" s="67" t="s">
        <v>77</v>
      </c>
      <c r="F12" s="13" t="s">
        <v>76</v>
      </c>
      <c r="G12" s="13" t="s">
        <v>75</v>
      </c>
      <c r="H12" s="13" t="s">
        <v>74</v>
      </c>
      <c r="I12" s="69" t="s">
        <v>73</v>
      </c>
      <c r="J12" s="63"/>
      <c r="K12" s="68" t="s">
        <v>72</v>
      </c>
      <c r="L12" s="68" t="s">
        <v>72</v>
      </c>
      <c r="M12" s="68" t="s">
        <v>71</v>
      </c>
    </row>
    <row r="13" spans="1:13" ht="9.75" customHeight="1" x14ac:dyDescent="0.35">
      <c r="A13" s="2"/>
      <c r="B13" s="66" t="s">
        <v>69</v>
      </c>
      <c r="C13" s="66" t="s">
        <v>68</v>
      </c>
      <c r="D13" s="67" t="s">
        <v>67</v>
      </c>
      <c r="E13" s="66" t="s">
        <v>66</v>
      </c>
      <c r="F13" s="66" t="s">
        <v>65</v>
      </c>
      <c r="G13" s="66" t="s">
        <v>64</v>
      </c>
      <c r="H13" s="66" t="s">
        <v>63</v>
      </c>
      <c r="I13" s="65" t="s">
        <v>62</v>
      </c>
      <c r="J13" s="63"/>
      <c r="K13" s="65" t="s">
        <v>62</v>
      </c>
      <c r="L13" s="65" t="s">
        <v>62</v>
      </c>
      <c r="M13" s="65" t="s">
        <v>62</v>
      </c>
    </row>
    <row r="14" spans="1:13" ht="9.75" customHeight="1" x14ac:dyDescent="0.35">
      <c r="A14" s="33" t="s">
        <v>60</v>
      </c>
      <c r="D14" s="9"/>
      <c r="I14" s="64"/>
      <c r="J14" s="63"/>
      <c r="K14" s="62"/>
      <c r="L14" s="62"/>
      <c r="M14" s="62"/>
    </row>
    <row r="15" spans="1:13" ht="9.75" customHeight="1" x14ac:dyDescent="0.35">
      <c r="A15" s="6" t="s">
        <v>59</v>
      </c>
      <c r="B15" s="30">
        <f>ROUND('[9]Changes FY15'!B15,-3)</f>
        <v>1710225000</v>
      </c>
      <c r="C15" s="20">
        <f>ROUND('[9]Changes FY15'!C15,-3)</f>
        <v>0</v>
      </c>
      <c r="D15" s="20">
        <f>ROUND('[9]Changes FY15'!D15,-3)</f>
        <v>0</v>
      </c>
      <c r="E15" s="20">
        <f>ROUND('[9]Changes FY15'!E15,-3)</f>
        <v>0</v>
      </c>
      <c r="F15" s="20">
        <f>ROUND('[9]Changes FY15'!F15,-3)</f>
        <v>0</v>
      </c>
      <c r="G15" s="20">
        <f>ROUND('[9]Changes FY15'!G15,-3)</f>
        <v>0</v>
      </c>
      <c r="H15" s="20">
        <f>ROUND('[9]Changes FY15'!H15,-3)</f>
        <v>0</v>
      </c>
      <c r="I15" s="32">
        <f t="shared" ref="I15:I30" si="0">SUM(B15:H15)</f>
        <v>1710225000</v>
      </c>
      <c r="J15" s="28"/>
      <c r="K15" s="29">
        <f>ROUND('[9]Changes FY15'!K15,-3)</f>
        <v>0</v>
      </c>
      <c r="L15" s="29">
        <f>ROUND('[9]Changes FY15'!L15,-3)</f>
        <v>0</v>
      </c>
      <c r="M15" s="32">
        <f t="shared" ref="M15:M32" si="1">SUM(I15:L15)</f>
        <v>1710225000</v>
      </c>
    </row>
    <row r="16" spans="1:13" ht="9.75" customHeight="1" x14ac:dyDescent="0.35">
      <c r="A16" s="6" t="s">
        <v>58</v>
      </c>
      <c r="B16" s="134">
        <f>ROUND('[9]Changes FY15'!B16,-3)</f>
        <v>-460276000</v>
      </c>
      <c r="C16" s="20">
        <f>ROUND('[9]Changes FY15'!C16,-3)</f>
        <v>0</v>
      </c>
      <c r="D16" s="20">
        <f>ROUND('[9]Changes FY15'!D16,-3)</f>
        <v>0</v>
      </c>
      <c r="E16" s="20">
        <f>ROUND('[9]Changes FY15'!E16,-3)</f>
        <v>0</v>
      </c>
      <c r="F16" s="20">
        <f>ROUND('[9]Changes FY15'!F16,-3)</f>
        <v>0</v>
      </c>
      <c r="G16" s="20">
        <f>ROUND('[9]Changes FY15'!G16,-3)</f>
        <v>0</v>
      </c>
      <c r="H16" s="20">
        <f>ROUND('[9]Changes FY15'!H16,-3)</f>
        <v>0</v>
      </c>
      <c r="I16" s="28">
        <f t="shared" si="0"/>
        <v>-460276000</v>
      </c>
      <c r="J16" s="28"/>
      <c r="K16" s="29">
        <f>ROUND('[9]Changes FY15'!K16,-3)</f>
        <v>0</v>
      </c>
      <c r="L16" s="29">
        <f>ROUND('[9]Changes FY15'!L16,-3)</f>
        <v>0</v>
      </c>
      <c r="M16" s="28">
        <f t="shared" si="1"/>
        <v>-460276000</v>
      </c>
    </row>
    <row r="17" spans="1:13" ht="9.75" customHeight="1" x14ac:dyDescent="0.35">
      <c r="A17" s="61" t="s">
        <v>57</v>
      </c>
      <c r="B17" s="30">
        <f>ROUND('[9]Changes FY15'!B17,-3)</f>
        <v>1249949000</v>
      </c>
      <c r="C17" s="20">
        <f>ROUND('[9]Changes FY15'!C17,-3)</f>
        <v>0</v>
      </c>
      <c r="D17" s="20">
        <f>ROUND('[9]Changes FY15'!D17,-3)</f>
        <v>0</v>
      </c>
      <c r="E17" s="20">
        <f>ROUND('[9]Changes FY15'!E17,-3)</f>
        <v>0</v>
      </c>
      <c r="F17" s="20">
        <f>ROUND('[9]Changes FY15'!F17,-3)</f>
        <v>0</v>
      </c>
      <c r="G17" s="20">
        <f>ROUND('[9]Changes FY15'!G17,-3)</f>
        <v>0</v>
      </c>
      <c r="H17" s="20">
        <f>ROUND('[9]Changes FY15'!H17,-3)</f>
        <v>0</v>
      </c>
      <c r="I17" s="87">
        <f t="shared" si="0"/>
        <v>1249949000</v>
      </c>
      <c r="J17" s="88"/>
      <c r="K17" s="29">
        <f>ROUND('[9]Changes FY15'!K17,-3)</f>
        <v>0</v>
      </c>
      <c r="L17" s="29">
        <f>ROUND('[9]Changes FY15'!L17,-3)</f>
        <v>0</v>
      </c>
      <c r="M17" s="87">
        <f t="shared" si="1"/>
        <v>1249949000</v>
      </c>
    </row>
    <row r="18" spans="1:13" ht="9.75" customHeight="1" x14ac:dyDescent="0.35">
      <c r="A18" s="6" t="s">
        <v>56</v>
      </c>
      <c r="B18" s="20">
        <f>ROUND('[9]Changes FY15'!B18,-3)</f>
        <v>27352000</v>
      </c>
      <c r="C18" s="20">
        <f>ROUND('[9]Changes FY15'!C18,-3)</f>
        <v>0</v>
      </c>
      <c r="D18" s="30">
        <f>ROUND('[9]Changes FY15'!D18,-3)</f>
        <v>18175000</v>
      </c>
      <c r="E18" s="20">
        <f>ROUND('[9]Changes FY15'!E18,-3)</f>
        <v>0</v>
      </c>
      <c r="F18" s="20">
        <f>ROUND('[9]Changes FY15'!F18,-3)</f>
        <v>0</v>
      </c>
      <c r="G18" s="20">
        <f>ROUND('[9]Changes FY15'!G18,-3)</f>
        <v>0</v>
      </c>
      <c r="H18" s="20">
        <f>ROUND('[9]Changes FY15'!H18,-3)</f>
        <v>0</v>
      </c>
      <c r="I18" s="28">
        <f t="shared" si="0"/>
        <v>45527000</v>
      </c>
      <c r="J18" s="28"/>
      <c r="K18" s="29">
        <f>ROUND('[9]Changes FY15'!K18,-3)</f>
        <v>0</v>
      </c>
      <c r="L18" s="31">
        <f>ROUND('[9]Changes FY15'!L18,-3)</f>
        <v>432000</v>
      </c>
      <c r="M18" s="28">
        <f t="shared" si="1"/>
        <v>45959000</v>
      </c>
    </row>
    <row r="19" spans="1:13" ht="9.75" customHeight="1" x14ac:dyDescent="0.35">
      <c r="A19" s="6" t="s">
        <v>55</v>
      </c>
      <c r="B19" s="20">
        <f>ROUND('[9]Changes FY15'!B19,-3)</f>
        <v>3277000</v>
      </c>
      <c r="C19" s="20">
        <f>ROUND('[9]Changes FY15'!C19,-3)</f>
        <v>0</v>
      </c>
      <c r="D19" s="20">
        <f>ROUND('[9]Changes FY15'!D19,-3)</f>
        <v>834000</v>
      </c>
      <c r="E19" s="30">
        <f>ROUND('[9]Changes FY15'!E19,-3)</f>
        <v>10548000</v>
      </c>
      <c r="F19" s="20">
        <f>ROUND('[9]Changes FY15'!F19,-3)</f>
        <v>0</v>
      </c>
      <c r="G19" s="20">
        <f>ROUND('[9]Changes FY15'!G19,-3)</f>
        <v>0</v>
      </c>
      <c r="H19" s="30">
        <f>ROUND('[9]Changes FY15'!H19,-3)</f>
        <v>-299000</v>
      </c>
      <c r="I19" s="28">
        <f t="shared" si="0"/>
        <v>14360000</v>
      </c>
      <c r="J19" s="28"/>
      <c r="K19" s="29">
        <f>ROUND('[9]Changes FY15'!K19,-3)</f>
        <v>0</v>
      </c>
      <c r="L19" s="29">
        <f>ROUND('[9]Changes FY15'!L19,-3)</f>
        <v>205000</v>
      </c>
      <c r="M19" s="28">
        <f t="shared" si="1"/>
        <v>14565000</v>
      </c>
    </row>
    <row r="20" spans="1:13" ht="9.75" customHeight="1" x14ac:dyDescent="0.35">
      <c r="A20" s="6" t="s">
        <v>54</v>
      </c>
      <c r="B20" s="20">
        <f>ROUND('[9]Changes FY15'!B20,-3)</f>
        <v>0</v>
      </c>
      <c r="C20" s="20">
        <f>ROUND('[9]Changes FY15'!C20,-3)</f>
        <v>0</v>
      </c>
      <c r="D20" s="20">
        <f>ROUND('[9]Changes FY15'!D20,-3)</f>
        <v>-1784000</v>
      </c>
      <c r="E20" s="20">
        <f>ROUND('[9]Changes FY15'!E20,-3)</f>
        <v>0</v>
      </c>
      <c r="F20" s="20">
        <f>ROUND('[9]Changes FY15'!F20,-3)</f>
        <v>0</v>
      </c>
      <c r="G20" s="30">
        <f>ROUND('[9]Changes FY15'!G20,-3)</f>
        <v>35349000</v>
      </c>
      <c r="H20" s="20">
        <f>ROUND('[9]Changes FY15'!H20,-3)</f>
        <v>0</v>
      </c>
      <c r="I20" s="28">
        <f t="shared" si="0"/>
        <v>33565000</v>
      </c>
      <c r="J20" s="28"/>
      <c r="K20" s="31">
        <f>ROUND('[9]Changes FY15'!K20,-3)</f>
        <v>73090000</v>
      </c>
      <c r="L20" s="29">
        <f>ROUND('[9]Changes FY15'!L20,-3)</f>
        <v>-2214000</v>
      </c>
      <c r="M20" s="28">
        <f t="shared" si="1"/>
        <v>104441000</v>
      </c>
    </row>
    <row r="21" spans="1:13" ht="9.75" customHeight="1" x14ac:dyDescent="0.35">
      <c r="A21" s="6" t="s">
        <v>53</v>
      </c>
      <c r="B21" s="20">
        <f>ROUND('[9]Changes FY15'!B21,-3)</f>
        <v>0</v>
      </c>
      <c r="C21" s="20">
        <f>ROUND('[9]Changes FY15'!C21,-3)</f>
        <v>0</v>
      </c>
      <c r="D21" s="20">
        <f>ROUND('[9]Changes FY15'!D21,-3)</f>
        <v>313568000</v>
      </c>
      <c r="E21" s="20">
        <f>ROUND('[9]Changes FY15'!E21,-3)</f>
        <v>0</v>
      </c>
      <c r="F21" s="20">
        <f>ROUND('[9]Changes FY15'!F21,-3)</f>
        <v>0</v>
      </c>
      <c r="G21" s="20">
        <f>ROUND('[9]Changes FY15'!G21,-3)</f>
        <v>0</v>
      </c>
      <c r="H21" s="20">
        <f>ROUND('[9]Changes FY15'!H21,-3)</f>
        <v>0</v>
      </c>
      <c r="I21" s="28">
        <f t="shared" si="0"/>
        <v>313568000</v>
      </c>
      <c r="J21" s="28"/>
      <c r="K21" s="29">
        <f>ROUND('[9]Changes FY15'!K21,-3)</f>
        <v>0</v>
      </c>
      <c r="L21" s="29">
        <f>ROUND('[9]Changes FY15'!L21,-3)</f>
        <v>0</v>
      </c>
      <c r="M21" s="28">
        <f t="shared" si="1"/>
        <v>313568000</v>
      </c>
    </row>
    <row r="22" spans="1:13" ht="9.75" customHeight="1" x14ac:dyDescent="0.35">
      <c r="A22" s="6" t="s">
        <v>52</v>
      </c>
      <c r="B22" s="20">
        <f>ROUND('[9]Changes FY15'!B22,-3)</f>
        <v>139247000</v>
      </c>
      <c r="C22" s="20">
        <f>ROUND('[9]Changes FY15'!C22,-3)</f>
        <v>0</v>
      </c>
      <c r="D22" s="20">
        <f>ROUND('[9]Changes FY15'!D22,-3)</f>
        <v>2362000</v>
      </c>
      <c r="E22" s="20">
        <f>ROUND('[9]Changes FY15'!E22,-3)</f>
        <v>0</v>
      </c>
      <c r="F22" s="20">
        <f>ROUND('[9]Changes FY15'!F22,-3)</f>
        <v>0</v>
      </c>
      <c r="G22" s="20">
        <f>ROUND('[9]Changes FY15'!G22,-3)</f>
        <v>0</v>
      </c>
      <c r="H22" s="20">
        <f>ROUND('[9]Changes FY15'!H22,-3)</f>
        <v>0</v>
      </c>
      <c r="I22" s="28">
        <f t="shared" si="0"/>
        <v>141609000</v>
      </c>
      <c r="J22" s="28"/>
      <c r="K22" s="29">
        <f>ROUND('[9]Changes FY15'!K22,-3)</f>
        <v>0</v>
      </c>
      <c r="L22" s="29">
        <f>ROUND('[9]Changes FY15'!L22,-3)</f>
        <v>0</v>
      </c>
      <c r="M22" s="28">
        <f t="shared" si="1"/>
        <v>141609000</v>
      </c>
    </row>
    <row r="23" spans="1:13" ht="9.75" customHeight="1" x14ac:dyDescent="0.35">
      <c r="A23" s="6" t="s">
        <v>51</v>
      </c>
      <c r="B23" s="20">
        <f>ROUND('[9]Changes FY15'!B23,-3)</f>
        <v>33342000</v>
      </c>
      <c r="C23" s="20">
        <f>ROUND('[9]Changes FY15'!C23,-3)</f>
        <v>0</v>
      </c>
      <c r="D23" s="20">
        <f>ROUND('[9]Changes FY15'!D23,-3)</f>
        <v>202160000</v>
      </c>
      <c r="E23" s="20">
        <f>ROUND('[9]Changes FY15'!E23,-3)</f>
        <v>7995000</v>
      </c>
      <c r="F23" s="30">
        <f>ROUND('[9]Changes FY15'!F23,-3)</f>
        <v>5340000</v>
      </c>
      <c r="G23" s="20">
        <f>ROUND('[9]Changes FY15'!G23,-3)</f>
        <v>0</v>
      </c>
      <c r="H23" s="20">
        <f>ROUND('[9]Changes FY15'!H23,-3)</f>
        <v>0</v>
      </c>
      <c r="I23" s="28">
        <f t="shared" si="0"/>
        <v>248837000</v>
      </c>
      <c r="J23" s="28"/>
      <c r="K23" s="29">
        <f>ROUND('[9]Changes FY15'!K23,-3)</f>
        <v>124011000</v>
      </c>
      <c r="L23" s="29">
        <f>ROUND('[9]Changes FY15'!L23,-3)-1000</f>
        <v>164917000</v>
      </c>
      <c r="M23" s="28">
        <f t="shared" si="1"/>
        <v>537765000</v>
      </c>
    </row>
    <row r="24" spans="1:13" ht="9.75" customHeight="1" x14ac:dyDescent="0.35">
      <c r="A24" s="6" t="s">
        <v>50</v>
      </c>
      <c r="B24" s="20">
        <f>ROUND('[9]Changes FY15'!B24,-3)</f>
        <v>42709000</v>
      </c>
      <c r="C24" s="20">
        <f>ROUND('[9]Changes FY15'!C24,-3)</f>
        <v>0</v>
      </c>
      <c r="D24" s="20">
        <f>ROUND('[9]Changes FY15'!D24,-3)</f>
        <v>78356000</v>
      </c>
      <c r="E24" s="20">
        <f>ROUND('[9]Changes FY15'!E24,-3)</f>
        <v>0</v>
      </c>
      <c r="F24" s="20">
        <f>ROUND('[9]Changes FY15'!F24,-3)</f>
        <v>0</v>
      </c>
      <c r="G24" s="20">
        <f>ROUND('[9]Changes FY15'!G24,-3)</f>
        <v>0</v>
      </c>
      <c r="H24" s="20">
        <f>ROUND('[9]Changes FY15'!H24,-3)</f>
        <v>0</v>
      </c>
      <c r="I24" s="28">
        <f t="shared" si="0"/>
        <v>121065000</v>
      </c>
      <c r="J24" s="28"/>
      <c r="K24" s="29">
        <f>ROUND('[9]Changes FY15'!K24,-3)</f>
        <v>0</v>
      </c>
      <c r="L24" s="29">
        <f>ROUND('[9]Changes FY15'!L24,-3)</f>
        <v>0</v>
      </c>
      <c r="M24" s="28">
        <f t="shared" si="1"/>
        <v>121065000</v>
      </c>
    </row>
    <row r="25" spans="1:13" ht="9.75" customHeight="1" x14ac:dyDescent="0.35">
      <c r="A25" s="6" t="s">
        <v>49</v>
      </c>
      <c r="B25" s="20">
        <f>ROUND('[9]Changes FY15'!B25,-3)</f>
        <v>308515000</v>
      </c>
      <c r="C25" s="20">
        <f>ROUND('[9]Changes FY15'!C25,-3)</f>
        <v>0</v>
      </c>
      <c r="D25" s="20">
        <f>ROUND('[9]Changes FY15'!D25,-3)</f>
        <v>0</v>
      </c>
      <c r="E25" s="20">
        <f>ROUND('[9]Changes FY15'!E25,-3)</f>
        <v>0</v>
      </c>
      <c r="F25" s="20">
        <f>ROUND('[9]Changes FY15'!F25,-3)</f>
        <v>0</v>
      </c>
      <c r="G25" s="20">
        <f>ROUND('[9]Changes FY15'!G25,-3)</f>
        <v>0</v>
      </c>
      <c r="H25" s="20">
        <f>ROUND('[9]Changes FY15'!H25,-3)</f>
        <v>0</v>
      </c>
      <c r="I25" s="28">
        <f t="shared" si="0"/>
        <v>308515000</v>
      </c>
      <c r="J25" s="28"/>
      <c r="K25" s="29">
        <f>ROUND('[9]Changes FY15'!K25,-3)</f>
        <v>0</v>
      </c>
      <c r="L25" s="29">
        <f>ROUND('[9]Changes FY15'!L25,-3)</f>
        <v>0</v>
      </c>
      <c r="M25" s="28">
        <f t="shared" si="1"/>
        <v>308515000</v>
      </c>
    </row>
    <row r="26" spans="1:13" ht="9.75" customHeight="1" x14ac:dyDescent="0.35">
      <c r="A26" s="6" t="s">
        <v>92</v>
      </c>
      <c r="B26" s="20">
        <f>ROUND('[9]Changes FY15'!B26,-3)</f>
        <v>0</v>
      </c>
      <c r="C26" s="20">
        <f>ROUND('[9]Changes FY15'!C26,-3)-1000</f>
        <v>1167317000</v>
      </c>
      <c r="D26" s="20">
        <f>ROUND('[9]Changes FY15'!D26,-3)</f>
        <v>0</v>
      </c>
      <c r="E26" s="20">
        <f>ROUND('[9]Changes FY15'!E26,-3)</f>
        <v>0</v>
      </c>
      <c r="F26" s="20">
        <f>ROUND('[9]Changes FY15'!F26,-3)</f>
        <v>0</v>
      </c>
      <c r="G26" s="20">
        <f>ROUND('[9]Changes FY15'!G26,-3)</f>
        <v>0</v>
      </c>
      <c r="H26" s="20">
        <f>ROUND('[9]Changes FY15'!H26,-3)</f>
        <v>0</v>
      </c>
      <c r="I26" s="28">
        <f t="shared" si="0"/>
        <v>1167317000</v>
      </c>
      <c r="J26" s="28"/>
      <c r="K26" s="29">
        <f>ROUND('[9]Changes FY15'!K26,-3)</f>
        <v>0</v>
      </c>
      <c r="L26" s="29">
        <f>ROUND('[9]Changes FY15'!L26,-3)</f>
        <v>0</v>
      </c>
      <c r="M26" s="28">
        <f t="shared" si="1"/>
        <v>1167317000</v>
      </c>
    </row>
    <row r="27" spans="1:13" ht="9.75" customHeight="1" x14ac:dyDescent="0.35">
      <c r="A27" s="6" t="s">
        <v>48</v>
      </c>
      <c r="B27" s="20">
        <f>ROUND('[9]Changes FY15'!B27,-3)</f>
        <v>0</v>
      </c>
      <c r="C27" s="30">
        <f>ROUND('[9]Changes FY15'!C27,-3)</f>
        <v>138522000</v>
      </c>
      <c r="D27" s="20">
        <f>ROUND('[9]Changes FY15'!D27,-3)</f>
        <v>0</v>
      </c>
      <c r="E27" s="20">
        <f>ROUND('[9]Changes FY15'!E27,-3)</f>
        <v>0</v>
      </c>
      <c r="F27" s="20">
        <f>ROUND('[9]Changes FY15'!F27,-3)</f>
        <v>0</v>
      </c>
      <c r="G27" s="20">
        <f>ROUND('[9]Changes FY15'!G27,-3)</f>
        <v>0</v>
      </c>
      <c r="H27" s="20">
        <f>ROUND('[9]Changes FY15'!H27,-3)</f>
        <v>0</v>
      </c>
      <c r="I27" s="28">
        <f t="shared" si="0"/>
        <v>138522000</v>
      </c>
      <c r="J27" s="28"/>
      <c r="K27" s="29">
        <f>ROUND('[9]Changes FY15'!K27,-3)</f>
        <v>0</v>
      </c>
      <c r="L27" s="29">
        <f>ROUND('[9]Changes FY15'!L27,-3)</f>
        <v>0</v>
      </c>
      <c r="M27" s="28">
        <f t="shared" si="1"/>
        <v>138522000</v>
      </c>
    </row>
    <row r="28" spans="1:13" ht="9.75" customHeight="1" x14ac:dyDescent="0.35">
      <c r="A28" s="6" t="s">
        <v>47</v>
      </c>
      <c r="B28" s="20">
        <f>ROUND('[9]Changes FY15'!B28,-3)</f>
        <v>0</v>
      </c>
      <c r="C28" s="20">
        <f>ROUND('[9]Changes FY15'!C28,-3)</f>
        <v>5043000</v>
      </c>
      <c r="D28" s="20">
        <f>ROUND('[9]Changes FY15'!D28,-3)</f>
        <v>0</v>
      </c>
      <c r="E28" s="20">
        <f>ROUND('[9]Changes FY15'!E28,-3)</f>
        <v>0</v>
      </c>
      <c r="F28" s="20">
        <f>ROUND('[9]Changes FY15'!F28,-3)</f>
        <v>0</v>
      </c>
      <c r="G28" s="20">
        <f>ROUND('[9]Changes FY15'!G28,-3)</f>
        <v>0</v>
      </c>
      <c r="H28" s="20">
        <f>ROUND('[9]Changes FY15'!H28,-3)</f>
        <v>0</v>
      </c>
      <c r="I28" s="28">
        <f t="shared" si="0"/>
        <v>5043000</v>
      </c>
      <c r="J28" s="28"/>
      <c r="K28" s="29">
        <f>ROUND('[9]Changes FY15'!K28,-3)</f>
        <v>0</v>
      </c>
      <c r="L28" s="29">
        <f>ROUND('[9]Changes FY15'!L28,-3)</f>
        <v>0</v>
      </c>
      <c r="M28" s="28">
        <f t="shared" si="1"/>
        <v>5043000</v>
      </c>
    </row>
    <row r="29" spans="1:13" s="2" customFormat="1" ht="10.5" customHeight="1" x14ac:dyDescent="0.35">
      <c r="A29" s="2" t="s">
        <v>46</v>
      </c>
      <c r="B29" s="20">
        <f>ROUND('[9]Changes FY15'!B29,-3)</f>
        <v>0</v>
      </c>
      <c r="C29" s="20">
        <f>ROUND('[9]Changes FY15'!C29,-3)</f>
        <v>0</v>
      </c>
      <c r="D29" s="20">
        <f>ROUND('[9]Changes FY15'!D29,-3)</f>
        <v>0</v>
      </c>
      <c r="E29" s="20">
        <f>ROUND('[9]Changes FY15'!E29,-3)</f>
        <v>0</v>
      </c>
      <c r="F29" s="20">
        <f>ROUND('[9]Changes FY15'!F29,-3)</f>
        <v>0</v>
      </c>
      <c r="G29" s="20">
        <f>ROUND('[9]Changes FY15'!G29,-3)</f>
        <v>0</v>
      </c>
      <c r="H29" s="20">
        <f>ROUND('[9]Changes FY15'!H29,-3)</f>
        <v>0</v>
      </c>
      <c r="I29" s="28">
        <f t="shared" si="0"/>
        <v>0</v>
      </c>
      <c r="J29" s="28"/>
      <c r="K29" s="29">
        <f>ROUND('[9]Changes FY15'!K29,-3)</f>
        <v>0</v>
      </c>
      <c r="L29" s="29">
        <f>ROUND('[9]Changes FY15'!L29,-3)</f>
        <v>0</v>
      </c>
      <c r="M29" s="28">
        <f t="shared" si="1"/>
        <v>0</v>
      </c>
    </row>
    <row r="30" spans="1:13" ht="9.75" customHeight="1" x14ac:dyDescent="0.35">
      <c r="A30" s="6" t="s">
        <v>45</v>
      </c>
      <c r="B30" s="20">
        <f>ROUND('[9]Changes FY15'!B30,-3)-1000</f>
        <v>104667000</v>
      </c>
      <c r="C30" s="20">
        <f>ROUND('[9]Changes FY15'!C30,-3)</f>
        <v>0</v>
      </c>
      <c r="D30" s="20">
        <f>ROUND('[9]Changes FY15'!D30,-3)</f>
        <v>0</v>
      </c>
      <c r="E30" s="20">
        <f>ROUND('[9]Changes FY15'!E30,-3)</f>
        <v>0</v>
      </c>
      <c r="F30" s="20">
        <f>ROUND('[9]Changes FY15'!F30,-3)+1000</f>
        <v>-8275000</v>
      </c>
      <c r="G30" s="20">
        <f>ROUND('[9]Changes FY15'!G30,-3)</f>
        <v>0</v>
      </c>
      <c r="H30" s="20">
        <f>ROUND('[9]Changes FY15'!H30,-3)</f>
        <v>0</v>
      </c>
      <c r="I30" s="28">
        <f t="shared" si="0"/>
        <v>96392000</v>
      </c>
      <c r="J30" s="28"/>
      <c r="K30" s="29">
        <f>ROUND('[9]Changes FY15'!K30,-3)</f>
        <v>0</v>
      </c>
      <c r="L30" s="29">
        <f>ROUND('[9]Changes FY15'!L30,-3)</f>
        <v>0</v>
      </c>
      <c r="M30" s="28">
        <f t="shared" si="1"/>
        <v>96392000</v>
      </c>
    </row>
    <row r="31" spans="1:13" ht="9.75" customHeight="1" x14ac:dyDescent="0.35">
      <c r="A31" s="6" t="s">
        <v>44</v>
      </c>
      <c r="B31" s="20">
        <f>ROUND('[9]Changes FY15'!B31,-3)</f>
        <v>0</v>
      </c>
      <c r="C31" s="20">
        <f>ROUND('[9]Changes FY15'!C31,-3)</f>
        <v>0</v>
      </c>
      <c r="D31" s="20">
        <f>ROUND('[9]Changes FY15'!D31,-3)</f>
        <v>0</v>
      </c>
      <c r="E31" s="20">
        <f>ROUND('[9]Changes FY15'!E31,-3)</f>
        <v>0</v>
      </c>
      <c r="F31" s="20">
        <f>ROUND('[9]Changes FY15'!F31,-3)</f>
        <v>0</v>
      </c>
      <c r="G31" s="20">
        <f>ROUND('[9]Changes FY15'!G31,-3)</f>
        <v>0</v>
      </c>
      <c r="H31" s="20">
        <f>ROUND('[9]Changes FY15'!H31,-3)</f>
        <v>0</v>
      </c>
      <c r="I31" s="28"/>
      <c r="J31" s="28"/>
      <c r="K31" s="29">
        <f>ROUND('[9]Changes FY15'!K31,-3)</f>
        <v>37000</v>
      </c>
      <c r="L31" s="29">
        <f>ROUND('[9]Changes FY15'!L31,-3)</f>
        <v>-2033000</v>
      </c>
      <c r="M31" s="28">
        <f t="shared" si="1"/>
        <v>-1996000</v>
      </c>
    </row>
    <row r="32" spans="1:13" ht="9.75" customHeight="1" x14ac:dyDescent="0.35">
      <c r="A32" s="6" t="s">
        <v>43</v>
      </c>
      <c r="B32" s="20">
        <f>ROUND('[9]Changes FY15'!B32,-3)</f>
        <v>0</v>
      </c>
      <c r="C32" s="20">
        <f>ROUND('[9]Changes FY15'!C32,-3)</f>
        <v>0</v>
      </c>
      <c r="D32" s="20">
        <f>ROUND('[9]Changes FY15'!D32,-3)</f>
        <v>52025000</v>
      </c>
      <c r="E32" s="20">
        <f>ROUND('[9]Changes FY15'!E32,-3)</f>
        <v>6751000</v>
      </c>
      <c r="F32" s="20">
        <f>ROUND('[9]Changes FY15'!F32,-3)</f>
        <v>0</v>
      </c>
      <c r="G32" s="20">
        <f>ROUND('[9]Changes FY15'!G32,-3)</f>
        <v>102287000</v>
      </c>
      <c r="H32" s="20">
        <f>ROUND('[9]Changes FY15'!H32,-3)</f>
        <v>0</v>
      </c>
      <c r="I32" s="28">
        <f>SUM(B32:H32)</f>
        <v>161063000</v>
      </c>
      <c r="J32" s="28"/>
      <c r="K32" s="29">
        <f>ROUND('[9]Changes FY15'!K32,-3)</f>
        <v>-164473000</v>
      </c>
      <c r="L32" s="29">
        <f>ROUND('[9]Changes FY15'!L32,-3)</f>
        <v>3410000</v>
      </c>
      <c r="M32" s="28">
        <f t="shared" si="1"/>
        <v>0</v>
      </c>
    </row>
    <row r="33" spans="1:13" ht="12.95" customHeight="1" x14ac:dyDescent="0.35">
      <c r="A33" s="37" t="s">
        <v>42</v>
      </c>
      <c r="B33" s="57">
        <f t="shared" ref="B33:M33" si="2">SUM(B17:B32)</f>
        <v>1909058000</v>
      </c>
      <c r="C33" s="57">
        <f t="shared" si="2"/>
        <v>1310882000</v>
      </c>
      <c r="D33" s="57">
        <f t="shared" si="2"/>
        <v>665696000</v>
      </c>
      <c r="E33" s="57">
        <f t="shared" si="2"/>
        <v>25294000</v>
      </c>
      <c r="F33" s="57">
        <f t="shared" si="2"/>
        <v>-2935000</v>
      </c>
      <c r="G33" s="57">
        <f t="shared" si="2"/>
        <v>137636000</v>
      </c>
      <c r="H33" s="57">
        <f t="shared" si="2"/>
        <v>-299000</v>
      </c>
      <c r="I33" s="56">
        <f t="shared" si="2"/>
        <v>4045332000</v>
      </c>
      <c r="J33" s="56">
        <f t="shared" si="2"/>
        <v>0</v>
      </c>
      <c r="K33" s="56">
        <f t="shared" si="2"/>
        <v>32665000</v>
      </c>
      <c r="L33" s="56">
        <f t="shared" si="2"/>
        <v>164717000</v>
      </c>
      <c r="M33" s="56">
        <f t="shared" si="2"/>
        <v>4242714000</v>
      </c>
    </row>
    <row r="34" spans="1:13" ht="12.95" customHeight="1" x14ac:dyDescent="0.35">
      <c r="A34" s="54"/>
      <c r="B34" s="53"/>
      <c r="C34" s="53"/>
      <c r="D34" s="53"/>
      <c r="E34" s="53"/>
      <c r="F34" s="53"/>
      <c r="G34" s="53"/>
      <c r="H34" s="53"/>
      <c r="I34" s="43"/>
      <c r="J34" s="28"/>
      <c r="K34" s="43"/>
      <c r="L34" s="43"/>
      <c r="M34" s="43"/>
    </row>
    <row r="35" spans="1:13" ht="9.75" customHeight="1" x14ac:dyDescent="0.35">
      <c r="A35" s="33" t="s">
        <v>41</v>
      </c>
      <c r="B35" s="20"/>
      <c r="C35" s="20"/>
      <c r="D35" s="20"/>
      <c r="E35" s="20"/>
      <c r="F35" s="20"/>
      <c r="G35" s="20"/>
      <c r="H35" s="20"/>
      <c r="I35" s="28"/>
      <c r="J35" s="28"/>
      <c r="K35" s="28"/>
      <c r="L35" s="28"/>
      <c r="M35" s="28"/>
    </row>
    <row r="36" spans="1:13" s="2" customFormat="1" ht="9.75" customHeight="1" x14ac:dyDescent="0.35">
      <c r="A36" s="6" t="s">
        <v>40</v>
      </c>
      <c r="B36" s="20">
        <f>ROUND('[9]Changes FY15'!B36,-3)</f>
        <v>1738136000</v>
      </c>
      <c r="C36" s="20">
        <f>ROUND('[9]Changes FY15'!C36,-3)</f>
        <v>18000000</v>
      </c>
      <c r="D36" s="20">
        <f>ROUND('[9]Changes FY15'!D36,-3)</f>
        <v>659466000</v>
      </c>
      <c r="E36" s="20">
        <f>ROUND('[9]Changes FY15'!E36,-3)</f>
        <v>0</v>
      </c>
      <c r="F36" s="20">
        <f>ROUND('[9]Changes FY15'!F36,-3)</f>
        <v>0</v>
      </c>
      <c r="G36" s="20">
        <f>ROUND('[9]Changes FY15'!G36,-3)</f>
        <v>0</v>
      </c>
      <c r="H36" s="20">
        <f>ROUND('[9]Changes FY15'!H36,-3)</f>
        <v>0</v>
      </c>
      <c r="I36" s="28">
        <f>SUM(B36:H36)</f>
        <v>2415602000</v>
      </c>
      <c r="J36" s="28"/>
      <c r="K36" s="29">
        <f>ROUND('[9]Changes FY15'!K36,-3)</f>
        <v>0</v>
      </c>
      <c r="L36" s="29">
        <f>ROUND('[9]Changes FY15'!L36,-3)</f>
        <v>0</v>
      </c>
      <c r="M36" s="28">
        <f>SUM(I36:L36)</f>
        <v>2415602000</v>
      </c>
    </row>
    <row r="37" spans="1:13" s="2" customFormat="1" ht="9.75" customHeight="1" x14ac:dyDescent="0.35">
      <c r="A37" s="2" t="s">
        <v>39</v>
      </c>
      <c r="B37" s="20">
        <f>ROUND('[9]Changes FY15'!B37,-3)</f>
        <v>0</v>
      </c>
      <c r="C37" s="20">
        <f>ROUND('[9]Changes FY15'!C37,-3)</f>
        <v>1300218000</v>
      </c>
      <c r="D37" s="20">
        <f>ROUND('[9]Changes FY15'!D37,-3)</f>
        <v>0</v>
      </c>
      <c r="E37" s="20">
        <f>ROUND('[9]Changes FY15'!E37,-3)</f>
        <v>0</v>
      </c>
      <c r="F37" s="20">
        <f>ROUND('[9]Changes FY15'!F37,-3)</f>
        <v>0</v>
      </c>
      <c r="G37" s="20">
        <f>ROUND('[9]Changes FY15'!G37,-3)</f>
        <v>0</v>
      </c>
      <c r="H37" s="20">
        <f>ROUND('[9]Changes FY15'!H37,-3)</f>
        <v>0</v>
      </c>
      <c r="I37" s="28">
        <f>SUM(B37:H37)</f>
        <v>1300218000</v>
      </c>
      <c r="J37" s="28"/>
      <c r="K37" s="29">
        <f>ROUND('[9]Changes FY15'!K37,-3)</f>
        <v>0</v>
      </c>
      <c r="L37" s="29">
        <f>ROUND('[9]Changes FY15'!L37,-3)</f>
        <v>0</v>
      </c>
      <c r="M37" s="28">
        <f>SUM(I37:L37)</f>
        <v>1300218000</v>
      </c>
    </row>
    <row r="38" spans="1:13" ht="9.75" customHeight="1" x14ac:dyDescent="0.35">
      <c r="A38" s="6" t="s">
        <v>38</v>
      </c>
      <c r="B38" s="20">
        <f>ROUND('[9]Changes FY15'!B38,-3)</f>
        <v>0</v>
      </c>
      <c r="C38" s="20">
        <f>ROUND('[9]Changes FY15'!C38,-3)</f>
        <v>38111000</v>
      </c>
      <c r="D38" s="20">
        <f>ROUND('[9]Changes FY15'!D38,-3)</f>
        <v>0</v>
      </c>
      <c r="E38" s="20">
        <f>ROUND('[9]Changes FY15'!E38,-3)</f>
        <v>0</v>
      </c>
      <c r="F38" s="20">
        <f>ROUND('[9]Changes FY15'!F38,-3)</f>
        <v>160246000</v>
      </c>
      <c r="G38" s="20">
        <f>ROUND('[9]Changes FY15'!G38,-3)</f>
        <v>0</v>
      </c>
      <c r="H38" s="20">
        <f>ROUND('[9]Changes FY15'!H38,-3)</f>
        <v>0</v>
      </c>
      <c r="I38" s="28">
        <f>SUM(B38:H38)</f>
        <v>198357000</v>
      </c>
      <c r="J38" s="28"/>
      <c r="K38" s="29">
        <f>ROUND('[9]Changes FY15'!K38,-3)</f>
        <v>0</v>
      </c>
      <c r="L38" s="29">
        <f>ROUND('[9]Changes FY15'!L38,-3)</f>
        <v>0</v>
      </c>
      <c r="M38" s="28">
        <f>SUM(I38:L38)</f>
        <v>198357000</v>
      </c>
    </row>
    <row r="39" spans="1:13" ht="9.75" customHeight="1" x14ac:dyDescent="0.35">
      <c r="A39" s="6" t="s">
        <v>37</v>
      </c>
      <c r="B39" s="20">
        <f>ROUND('[9]Changes FY15'!B39,-3)</f>
        <v>0</v>
      </c>
      <c r="C39" s="20">
        <f>ROUND('[9]Changes FY15'!C39,-3)</f>
        <v>31000</v>
      </c>
      <c r="D39" s="20">
        <f>ROUND('[9]Changes FY15'!D39,-3)</f>
        <v>0</v>
      </c>
      <c r="E39" s="20">
        <f>ROUND('[9]Changes FY15'!E39,-3)</f>
        <v>66147000</v>
      </c>
      <c r="F39" s="20">
        <f>ROUND('[9]Changes FY15'!F39,-3)</f>
        <v>0</v>
      </c>
      <c r="G39" s="20">
        <f>ROUND('[9]Changes FY15'!G39,-3)</f>
        <v>0</v>
      </c>
      <c r="H39" s="20">
        <f>ROUND('[9]Changes FY15'!H39,-3)</f>
        <v>0</v>
      </c>
      <c r="I39" s="28">
        <f>SUM(B39:H39)</f>
        <v>66178000</v>
      </c>
      <c r="J39" s="28"/>
      <c r="K39" s="29">
        <f>ROUND('[9]Changes FY15'!K39,-3)</f>
        <v>0</v>
      </c>
      <c r="L39" s="29">
        <f>ROUND('[9]Changes FY15'!L39,-3)</f>
        <v>0</v>
      </c>
      <c r="M39" s="28">
        <f>SUM(I39:L39)</f>
        <v>66178000</v>
      </c>
    </row>
    <row r="40" spans="1:13" s="9" customFormat="1" ht="12" customHeight="1" x14ac:dyDescent="0.35">
      <c r="A40" s="37" t="s">
        <v>35</v>
      </c>
      <c r="B40" s="57">
        <f t="shared" ref="B40:M40" si="3">SUM(B36:B39)</f>
        <v>1738136000</v>
      </c>
      <c r="C40" s="57">
        <f t="shared" si="3"/>
        <v>1356360000</v>
      </c>
      <c r="D40" s="57">
        <f t="shared" si="3"/>
        <v>659466000</v>
      </c>
      <c r="E40" s="57">
        <f t="shared" si="3"/>
        <v>66147000</v>
      </c>
      <c r="F40" s="57">
        <f t="shared" si="3"/>
        <v>160246000</v>
      </c>
      <c r="G40" s="57">
        <f t="shared" si="3"/>
        <v>0</v>
      </c>
      <c r="H40" s="57">
        <f t="shared" si="3"/>
        <v>0</v>
      </c>
      <c r="I40" s="56">
        <f t="shared" si="3"/>
        <v>3980355000</v>
      </c>
      <c r="J40" s="28">
        <f t="shared" si="3"/>
        <v>0</v>
      </c>
      <c r="K40" s="56">
        <f t="shared" si="3"/>
        <v>0</v>
      </c>
      <c r="L40" s="56">
        <f t="shared" si="3"/>
        <v>0</v>
      </c>
      <c r="M40" s="56">
        <f t="shared" si="3"/>
        <v>3980355000</v>
      </c>
    </row>
    <row r="41" spans="1:13" s="15" customFormat="1" ht="12" customHeight="1" x14ac:dyDescent="0.35">
      <c r="A41" s="55"/>
      <c r="B41" s="53"/>
      <c r="C41" s="53"/>
      <c r="D41" s="53"/>
      <c r="E41" s="53"/>
      <c r="F41" s="53"/>
      <c r="G41" s="53"/>
      <c r="H41" s="53"/>
      <c r="I41" s="43"/>
      <c r="J41" s="28"/>
      <c r="K41" s="43"/>
      <c r="L41" s="43"/>
      <c r="M41" s="43"/>
    </row>
    <row r="42" spans="1:13" s="15" customFormat="1" ht="9.75" customHeight="1" x14ac:dyDescent="0.35">
      <c r="A42" s="54" t="s">
        <v>34</v>
      </c>
      <c r="B42" s="53"/>
      <c r="C42" s="53"/>
      <c r="D42" s="53"/>
      <c r="E42" s="53"/>
      <c r="F42" s="53"/>
      <c r="G42" s="53"/>
      <c r="H42" s="53"/>
      <c r="I42" s="43"/>
      <c r="J42" s="28"/>
      <c r="K42" s="28"/>
      <c r="L42" s="28"/>
      <c r="M42" s="28"/>
    </row>
    <row r="43" spans="1:13" ht="12" customHeight="1" x14ac:dyDescent="0.35">
      <c r="A43" s="6" t="s">
        <v>33</v>
      </c>
      <c r="B43" s="20">
        <f>ROUND('[9]Changes FY15'!B43,-3)-1000</f>
        <v>-64094000</v>
      </c>
      <c r="C43" s="20">
        <f>ROUND('[9]Changes FY15'!C43,-3)</f>
        <v>-1068000</v>
      </c>
      <c r="D43" s="20">
        <f>ROUND('[9]Changes FY15'!D43,-3)</f>
        <v>0</v>
      </c>
      <c r="E43" s="20">
        <f>ROUND('[9]Changes FY15'!E43,-3)</f>
        <v>65162000</v>
      </c>
      <c r="F43" s="20">
        <f>ROUND('[9]Changes FY15'!F43,-3)</f>
        <v>0</v>
      </c>
      <c r="G43" s="20">
        <f>ROUND('[9]Changes FY15'!G43,-3)</f>
        <v>0</v>
      </c>
      <c r="H43" s="20">
        <f>ROUND('[9]Changes FY15'!H43,-3)</f>
        <v>0</v>
      </c>
      <c r="I43" s="28">
        <f t="shared" ref="I43:I51" si="4">SUM(B43:H43)</f>
        <v>0</v>
      </c>
      <c r="J43" s="28"/>
      <c r="K43" s="29">
        <f>ROUND('[9]Changes FY15'!K43,-3)</f>
        <v>0</v>
      </c>
      <c r="L43" s="29">
        <f>ROUND('[9]Changes FY15'!L43,-3)</f>
        <v>0</v>
      </c>
      <c r="M43" s="28">
        <f t="shared" ref="M43:M51" si="5">SUM(I43:L43)</f>
        <v>0</v>
      </c>
    </row>
    <row r="44" spans="1:13" ht="9.75" customHeight="1" x14ac:dyDescent="0.35">
      <c r="A44" s="6" t="s">
        <v>32</v>
      </c>
      <c r="B44" s="20">
        <f>ROUND('[9]Changes FY15'!B44,-3)</f>
        <v>0</v>
      </c>
      <c r="C44" s="20">
        <f>ROUND('[9]Changes FY15'!C44,-3)</f>
        <v>0</v>
      </c>
      <c r="D44" s="20">
        <f>ROUND('[9]Changes FY15'!D44,-3)</f>
        <v>0</v>
      </c>
      <c r="E44" s="20">
        <f>ROUND('[9]Changes FY15'!E44,-3)</f>
        <v>0</v>
      </c>
      <c r="F44" s="20">
        <f>ROUND('[9]Changes FY15'!F44,-3)</f>
        <v>0</v>
      </c>
      <c r="G44" s="20">
        <f>ROUND('[9]Changes FY15'!G44,-3)</f>
        <v>0</v>
      </c>
      <c r="H44" s="20">
        <f>ROUND('[9]Changes FY15'!H44,-3)</f>
        <v>0</v>
      </c>
      <c r="I44" s="28">
        <f t="shared" si="4"/>
        <v>0</v>
      </c>
      <c r="J44" s="28"/>
      <c r="K44" s="29">
        <f>ROUND('[9]Changes FY15'!K44,-3)</f>
        <v>0</v>
      </c>
      <c r="L44" s="29">
        <f>ROUND('[9]Changes FY15'!L44,-3)</f>
        <v>0</v>
      </c>
      <c r="M44" s="28">
        <f t="shared" si="5"/>
        <v>0</v>
      </c>
    </row>
    <row r="45" spans="1:13" ht="9.75" customHeight="1" x14ac:dyDescent="0.35">
      <c r="A45" s="6" t="s">
        <v>31</v>
      </c>
      <c r="B45" s="20">
        <f>ROUND('[9]Changes FY15'!B45,-3)</f>
        <v>-3745000</v>
      </c>
      <c r="C45" s="20">
        <f>ROUND('[9]Changes FY15'!C45,-3)</f>
        <v>0</v>
      </c>
      <c r="D45" s="20">
        <f>ROUND('[9]Changes FY15'!D45,-3)</f>
        <v>0</v>
      </c>
      <c r="E45" s="20">
        <f>ROUND('[9]Changes FY15'!E45,-3)</f>
        <v>0</v>
      </c>
      <c r="F45" s="20">
        <f>ROUND('[9]Changes FY15'!F45,-3)</f>
        <v>0</v>
      </c>
      <c r="G45" s="20">
        <f>ROUND('[9]Changes FY15'!G45,-3)</f>
        <v>3745000</v>
      </c>
      <c r="H45" s="20">
        <f>ROUND('[9]Changes FY15'!H45,-3)</f>
        <v>0</v>
      </c>
      <c r="I45" s="28">
        <f t="shared" si="4"/>
        <v>0</v>
      </c>
      <c r="J45" s="28"/>
      <c r="K45" s="29">
        <f>ROUND('[9]Changes FY15'!K45,-3)</f>
        <v>0</v>
      </c>
      <c r="L45" s="29">
        <f>ROUND('[9]Changes FY15'!L45,-3)</f>
        <v>0</v>
      </c>
      <c r="M45" s="28">
        <f t="shared" si="5"/>
        <v>0</v>
      </c>
    </row>
    <row r="46" spans="1:13" ht="9.75" customHeight="1" x14ac:dyDescent="0.35">
      <c r="A46" s="6" t="s">
        <v>30</v>
      </c>
      <c r="B46" s="20">
        <f>ROUND('[9]Changes FY15'!B46,-3)</f>
        <v>-35335000</v>
      </c>
      <c r="C46" s="20">
        <f>ROUND('[9]Changes FY15'!C46,-3)</f>
        <v>-1411000</v>
      </c>
      <c r="D46" s="20">
        <f>ROUND('[9]Changes FY15'!D46,-3)</f>
        <v>-3025000</v>
      </c>
      <c r="E46" s="20">
        <f>ROUND('[9]Changes FY15'!E46,-3)</f>
        <v>39771000</v>
      </c>
      <c r="F46" s="20">
        <f>ROUND('[9]Changes FY15'!F46,-3)</f>
        <v>0</v>
      </c>
      <c r="G46" s="20">
        <f>ROUND('[9]Changes FY15'!G46,-3)</f>
        <v>0</v>
      </c>
      <c r="H46" s="20">
        <f>ROUND('[9]Changes FY15'!H46,-3)</f>
        <v>0</v>
      </c>
      <c r="I46" s="28">
        <f t="shared" si="4"/>
        <v>0</v>
      </c>
      <c r="J46" s="28"/>
      <c r="K46" s="29">
        <f>ROUND('[9]Changes FY15'!K46,-3)</f>
        <v>0</v>
      </c>
      <c r="L46" s="29">
        <f>ROUND('[9]Changes FY15'!L46,-3)</f>
        <v>0</v>
      </c>
      <c r="M46" s="28">
        <f t="shared" si="5"/>
        <v>0</v>
      </c>
    </row>
    <row r="47" spans="1:13" ht="9.75" customHeight="1" x14ac:dyDescent="0.35">
      <c r="A47" s="6" t="s">
        <v>29</v>
      </c>
      <c r="B47" s="20">
        <f>ROUND('[9]Changes FY15'!B47,-3)</f>
        <v>59924000</v>
      </c>
      <c r="C47" s="20">
        <f>ROUND('[9]Changes FY15'!C47,-3)</f>
        <v>0</v>
      </c>
      <c r="D47" s="20">
        <f>ROUND('[9]Changes FY15'!D47,-3)</f>
        <v>85022000</v>
      </c>
      <c r="E47" s="20">
        <f>ROUND('[9]Changes FY15'!E47,-3)</f>
        <v>0</v>
      </c>
      <c r="F47" s="20">
        <f>ROUND('[9]Changes FY15'!F47,-3)</f>
        <v>0</v>
      </c>
      <c r="G47" s="20">
        <f>ROUND('[9]Changes FY15'!G47,-3)</f>
        <v>-144946000</v>
      </c>
      <c r="H47" s="20">
        <f>ROUND('[9]Changes FY15'!H47,-3)</f>
        <v>0</v>
      </c>
      <c r="I47" s="28">
        <f t="shared" si="4"/>
        <v>0</v>
      </c>
      <c r="J47" s="28"/>
      <c r="K47" s="29">
        <f>ROUND('[9]Changes FY15'!K47,-3)</f>
        <v>0</v>
      </c>
      <c r="L47" s="29">
        <f>ROUND('[9]Changes FY15'!L47,-3)</f>
        <v>0</v>
      </c>
      <c r="M47" s="28">
        <f t="shared" si="5"/>
        <v>0</v>
      </c>
    </row>
    <row r="48" spans="1:13" ht="9.75" customHeight="1" x14ac:dyDescent="0.35">
      <c r="A48" s="6" t="s">
        <v>28</v>
      </c>
      <c r="B48" s="20">
        <f>ROUND('[9]Changes FY15'!B48,-3)</f>
        <v>66380000</v>
      </c>
      <c r="C48" s="20">
        <f>ROUND('[9]Changes FY15'!C48,-3)</f>
        <v>0</v>
      </c>
      <c r="D48" s="20">
        <f>ROUND('[9]Changes FY15'!D48,-3)</f>
        <v>-66380000</v>
      </c>
      <c r="E48" s="20">
        <f>ROUND('[9]Changes FY15'!E48,-3)</f>
        <v>0</v>
      </c>
      <c r="F48" s="20">
        <f>ROUND('[9]Changes FY15'!F48,-3)</f>
        <v>0</v>
      </c>
      <c r="G48" s="20">
        <f>ROUND('[9]Changes FY15'!G48,-3)</f>
        <v>0</v>
      </c>
      <c r="H48" s="20">
        <f>ROUND('[9]Changes FY15'!H48,-3)</f>
        <v>0</v>
      </c>
      <c r="I48" s="28">
        <f t="shared" si="4"/>
        <v>0</v>
      </c>
      <c r="J48" s="28"/>
      <c r="K48" s="29">
        <f>ROUND('[9]Changes FY15'!K48,-3)</f>
        <v>0</v>
      </c>
      <c r="L48" s="29">
        <f>ROUND('[9]Changes FY15'!L48,-3)</f>
        <v>0</v>
      </c>
      <c r="M48" s="28">
        <f t="shared" si="5"/>
        <v>0</v>
      </c>
    </row>
    <row r="49" spans="1:13" ht="9.75" customHeight="1" x14ac:dyDescent="0.35">
      <c r="A49" s="52" t="s">
        <v>27</v>
      </c>
      <c r="B49" s="20">
        <f>ROUND('[9]Changes FY15'!B49,-3)</f>
        <v>-164199000</v>
      </c>
      <c r="C49" s="20">
        <f>ROUND('[9]Changes FY15'!C49,-3)</f>
        <v>-44431000</v>
      </c>
      <c r="D49" s="20">
        <f>ROUND('[9]Changes FY15'!D49,-3)</f>
        <v>51104000</v>
      </c>
      <c r="E49" s="20">
        <f>ROUND('[9]Changes FY15'!E49,-3)</f>
        <v>176357000</v>
      </c>
      <c r="F49" s="20">
        <f>ROUND('[9]Changes FY15'!F49,-3)</f>
        <v>-30069000</v>
      </c>
      <c r="G49" s="20">
        <f>ROUND('[9]Changes FY15'!G49,-3)</f>
        <v>11238000</v>
      </c>
      <c r="H49" s="20">
        <f>ROUND('[9]Changes FY15'!H49,-3)</f>
        <v>0</v>
      </c>
      <c r="I49" s="28">
        <f t="shared" si="4"/>
        <v>0</v>
      </c>
      <c r="J49" s="28"/>
      <c r="K49" s="29">
        <f>ROUND('[9]Changes FY15'!K49,-3)</f>
        <v>0</v>
      </c>
      <c r="L49" s="29">
        <f>ROUND('[9]Changes FY15'!L49,-3)</f>
        <v>0</v>
      </c>
      <c r="M49" s="28">
        <f t="shared" si="5"/>
        <v>0</v>
      </c>
    </row>
    <row r="50" spans="1:13" ht="9.75" customHeight="1" x14ac:dyDescent="0.35">
      <c r="A50" s="52" t="s">
        <v>26</v>
      </c>
      <c r="B50" s="20">
        <f>ROUND('[9]Changes FY15'!B50,-3)</f>
        <v>0</v>
      </c>
      <c r="C50" s="20">
        <f>ROUND('[9]Changes FY15'!C50,-3)</f>
        <v>0</v>
      </c>
      <c r="D50" s="20">
        <f>ROUND('[9]Changes FY15'!D50,-3)</f>
        <v>0</v>
      </c>
      <c r="E50" s="20">
        <f>ROUND('[9]Changes FY15'!E50,-3)</f>
        <v>0</v>
      </c>
      <c r="F50" s="20">
        <f>ROUND('[9]Changes FY15'!F50,-3)</f>
        <v>0</v>
      </c>
      <c r="G50" s="20">
        <f>ROUND('[9]Changes FY15'!G50,-3)</f>
        <v>0</v>
      </c>
      <c r="H50" s="20">
        <f>ROUND('[9]Changes FY15'!H50,-3)</f>
        <v>0</v>
      </c>
      <c r="I50" s="28">
        <f t="shared" si="4"/>
        <v>0</v>
      </c>
      <c r="J50" s="28"/>
      <c r="K50" s="29">
        <f>ROUND('[9]Changes FY15'!K50,-3)</f>
        <v>0</v>
      </c>
      <c r="L50" s="29">
        <f>ROUND('[9]Changes FY15'!L50,-3)</f>
        <v>0</v>
      </c>
      <c r="M50" s="28">
        <f t="shared" si="5"/>
        <v>0</v>
      </c>
    </row>
    <row r="51" spans="1:13" ht="9.75" customHeight="1" x14ac:dyDescent="0.35">
      <c r="A51" s="6" t="s">
        <v>25</v>
      </c>
      <c r="B51" s="20">
        <f>ROUND('[9]Changes FY15'!B51,-3)</f>
        <v>-29853000</v>
      </c>
      <c r="C51" s="20">
        <f>ROUND('[9]Changes FY15'!C51,-3)</f>
        <v>-292000</v>
      </c>
      <c r="D51" s="20">
        <f>ROUND('[9]Changes FY15'!D51,-3)</f>
        <v>41323000</v>
      </c>
      <c r="E51" s="20">
        <f>ROUND('[9]Changes FY15'!E51,-3)-1000</f>
        <v>-188736000</v>
      </c>
      <c r="F51" s="20">
        <f>ROUND('[9]Changes FY15'!F51,-3)</f>
        <v>177558000</v>
      </c>
      <c r="G51" s="20">
        <f>ROUND('[9]Changes FY15'!G51,-3)</f>
        <v>0</v>
      </c>
      <c r="H51" s="20">
        <f>ROUND('[9]Changes FY15'!H51,-3)</f>
        <v>0</v>
      </c>
      <c r="I51" s="28">
        <f t="shared" si="4"/>
        <v>0</v>
      </c>
      <c r="J51" s="28"/>
      <c r="K51" s="29">
        <f>ROUND('[9]Changes FY15'!K51,-3)</f>
        <v>0</v>
      </c>
      <c r="L51" s="29">
        <f>ROUND('[9]Changes FY15'!L51,-3)</f>
        <v>0</v>
      </c>
      <c r="M51" s="28">
        <f t="shared" si="5"/>
        <v>0</v>
      </c>
    </row>
    <row r="52" spans="1:13" s="15" customFormat="1" ht="11.7" x14ac:dyDescent="0.4">
      <c r="A52" s="49" t="s">
        <v>21</v>
      </c>
      <c r="B52" s="83">
        <f t="shared" ref="B52:I52" si="6">+B33-B40+SUM(B43:B51)</f>
        <v>0</v>
      </c>
      <c r="C52" s="83">
        <f t="shared" si="6"/>
        <v>-92680000</v>
      </c>
      <c r="D52" s="83">
        <f t="shared" si="6"/>
        <v>114274000</v>
      </c>
      <c r="E52" s="83">
        <f t="shared" si="6"/>
        <v>51701000</v>
      </c>
      <c r="F52" s="83">
        <f t="shared" si="6"/>
        <v>-15692000</v>
      </c>
      <c r="G52" s="83">
        <f t="shared" si="6"/>
        <v>7673000</v>
      </c>
      <c r="H52" s="83">
        <f t="shared" si="6"/>
        <v>-299000</v>
      </c>
      <c r="I52" s="56">
        <f t="shared" si="6"/>
        <v>64977000</v>
      </c>
      <c r="J52" s="47"/>
      <c r="K52" s="56">
        <f>+K33-K40+SUM(K43:K51)</f>
        <v>32665000</v>
      </c>
      <c r="L52" s="56">
        <f>+L33-L40+SUM(L43:L51)</f>
        <v>164717000</v>
      </c>
      <c r="M52" s="56">
        <f>+M33-M40+SUM(M43:M51)</f>
        <v>262359000</v>
      </c>
    </row>
    <row r="53" spans="1:13" s="15" customFormat="1" ht="11.7" x14ac:dyDescent="0.4">
      <c r="A53" s="49" t="s">
        <v>91</v>
      </c>
      <c r="B53" s="86"/>
      <c r="C53" s="86"/>
      <c r="D53" s="86"/>
      <c r="E53" s="86"/>
      <c r="F53" s="86"/>
      <c r="G53" s="20">
        <f>ROUND('[9]Changes FY15'!G53,-3)</f>
        <v>0</v>
      </c>
      <c r="H53" s="86"/>
      <c r="I53" s="28">
        <f>SUM(B53:H53)</f>
        <v>0</v>
      </c>
      <c r="J53" s="47"/>
      <c r="K53" s="29">
        <f>ROUND('[9]Changes FY15'!K53,-3)</f>
        <v>0</v>
      </c>
      <c r="L53" s="43"/>
      <c r="M53" s="28">
        <f>SUM(I53:L53)</f>
        <v>0</v>
      </c>
    </row>
    <row r="54" spans="1:13" s="15" customFormat="1" x14ac:dyDescent="0.35">
      <c r="A54" s="45" t="s">
        <v>20</v>
      </c>
      <c r="B54" s="20">
        <f>ROUND('[9]Changes FY15'!B54,-3)</f>
        <v>0</v>
      </c>
      <c r="C54" s="20">
        <f>ROUND('[9]Changes FY15'!C54,-3)</f>
        <v>0</v>
      </c>
      <c r="D54" s="20">
        <f>ROUND('[9]Changes FY15'!D54,-3)</f>
        <v>0</v>
      </c>
      <c r="E54" s="20">
        <f>ROUND('[9]Changes FY15'!E54,-3)</f>
        <v>0</v>
      </c>
      <c r="F54" s="20">
        <f>ROUND('[9]Changes FY15'!F54,-3)</f>
        <v>0</v>
      </c>
      <c r="G54" s="20">
        <f>ROUND('[9]Changes FY15'!G54,-3)</f>
        <v>0</v>
      </c>
      <c r="H54" s="20">
        <f>ROUND('[9]Changes FY15'!H54,-3)</f>
        <v>0</v>
      </c>
      <c r="I54" s="28">
        <f>SUM(B54:H54)</f>
        <v>0</v>
      </c>
      <c r="J54" s="28"/>
      <c r="K54" s="29">
        <f>ROUND('[9]Changes FY15'!K54,-3)</f>
        <v>0</v>
      </c>
      <c r="L54" s="43"/>
      <c r="M54" s="28">
        <f>SUM(I54:L54)</f>
        <v>0</v>
      </c>
    </row>
    <row r="55" spans="1:13" ht="12" customHeight="1" x14ac:dyDescent="0.35">
      <c r="A55" s="41" t="s">
        <v>19</v>
      </c>
      <c r="B55" s="20">
        <f>ROUND('[9]Changes FY15'!B55,-3)</f>
        <v>0</v>
      </c>
      <c r="C55" s="40">
        <f>ROUND('[9]Changes FY15'!C55,-3)+1000</f>
        <v>-140471000</v>
      </c>
      <c r="D55" s="40">
        <f>ROUND('[9]Changes FY15'!D55,-3)</f>
        <v>963049000</v>
      </c>
      <c r="E55" s="40">
        <f>ROUND('[9]Changes FY15'!E55,-3)</f>
        <v>225615000</v>
      </c>
      <c r="F55" s="40">
        <f>ROUND('[9]Changes FY15'!F55,-3)</f>
        <v>1052503000</v>
      </c>
      <c r="G55" s="40">
        <f>ROUND('[9]Changes FY15'!G55,-3)</f>
        <v>1330010000</v>
      </c>
      <c r="H55" s="40">
        <f>ROUND('[9]Changes FY15'!H55,-3)</f>
        <v>-12797000</v>
      </c>
      <c r="I55" s="39">
        <f>SUM(B55:H55)</f>
        <v>3417909000</v>
      </c>
      <c r="J55" s="39"/>
      <c r="K55" s="38">
        <f>ROUND('[9]Changes FY15'!K55,-3)-1000</f>
        <v>1966794000</v>
      </c>
      <c r="L55" s="38">
        <f>ROUND('[9]Changes FY15'!L55,-3)</f>
        <v>2077885000</v>
      </c>
      <c r="M55" s="38">
        <f>SUM(I55:L55)</f>
        <v>7462588000</v>
      </c>
    </row>
    <row r="56" spans="1:13" s="9" customFormat="1" ht="12" customHeight="1" x14ac:dyDescent="0.35">
      <c r="A56" s="37" t="s">
        <v>18</v>
      </c>
      <c r="B56" s="85">
        <f t="shared" ref="B56:M56" si="7">SUM(B52:B55)</f>
        <v>0</v>
      </c>
      <c r="C56" s="85">
        <f t="shared" si="7"/>
        <v>-233151000</v>
      </c>
      <c r="D56" s="85">
        <f t="shared" si="7"/>
        <v>1077323000</v>
      </c>
      <c r="E56" s="85">
        <f t="shared" si="7"/>
        <v>277316000</v>
      </c>
      <c r="F56" s="85">
        <f t="shared" si="7"/>
        <v>1036811000</v>
      </c>
      <c r="G56" s="85">
        <f t="shared" si="7"/>
        <v>1337683000</v>
      </c>
      <c r="H56" s="85">
        <f t="shared" si="7"/>
        <v>-13096000</v>
      </c>
      <c r="I56" s="23">
        <f t="shared" si="7"/>
        <v>3482886000</v>
      </c>
      <c r="J56" s="32">
        <f t="shared" si="7"/>
        <v>0</v>
      </c>
      <c r="K56" s="23">
        <f t="shared" si="7"/>
        <v>1999459000</v>
      </c>
      <c r="L56" s="23">
        <f t="shared" si="7"/>
        <v>2242602000</v>
      </c>
      <c r="M56" s="23">
        <f t="shared" si="7"/>
        <v>7724947000</v>
      </c>
    </row>
    <row r="57" spans="1:13" s="7" customFormat="1" ht="2.1" customHeight="1" x14ac:dyDescent="0.35">
      <c r="B57" s="35"/>
      <c r="C57" s="35"/>
      <c r="D57" s="35"/>
      <c r="E57" s="35"/>
      <c r="F57" s="35"/>
      <c r="G57" s="35"/>
      <c r="H57" s="35"/>
      <c r="I57" s="34"/>
      <c r="J57" s="28"/>
      <c r="K57" s="34"/>
      <c r="L57" s="34"/>
      <c r="M57" s="34"/>
    </row>
    <row r="58" spans="1:13" ht="9.9499999999999993" customHeight="1" x14ac:dyDescent="0.35">
      <c r="A58" s="2"/>
      <c r="B58" s="20"/>
      <c r="C58" s="20"/>
      <c r="D58" s="20"/>
      <c r="E58" s="20"/>
      <c r="F58" s="20"/>
      <c r="G58" s="20"/>
      <c r="H58" s="20"/>
      <c r="I58" s="28"/>
      <c r="J58" s="28"/>
      <c r="K58" s="28"/>
      <c r="L58" s="28"/>
      <c r="M58" s="28"/>
    </row>
    <row r="59" spans="1:13" ht="9.9499999999999993" customHeight="1" x14ac:dyDescent="0.35">
      <c r="A59" s="33" t="s">
        <v>17</v>
      </c>
      <c r="B59" s="20"/>
      <c r="C59" s="20"/>
      <c r="D59" s="20"/>
      <c r="E59" s="20"/>
      <c r="F59" s="20"/>
      <c r="G59" s="20"/>
      <c r="H59" s="20"/>
      <c r="I59" s="28"/>
      <c r="J59" s="28"/>
      <c r="K59" s="28"/>
      <c r="L59" s="28"/>
      <c r="M59" s="28"/>
    </row>
    <row r="60" spans="1:13" s="2" customFormat="1" ht="9.9499999999999993" customHeight="1" x14ac:dyDescent="0.35">
      <c r="A60" s="6" t="s">
        <v>16</v>
      </c>
      <c r="B60" s="30">
        <f>ROUND('[9]Changes FY15'!B60,-3)</f>
        <v>0</v>
      </c>
      <c r="C60" s="30">
        <f>ROUND('[9]Changes FY15'!C60,-3)-1000</f>
        <v>-34787000</v>
      </c>
      <c r="D60" s="30">
        <f>ROUND('[9]Changes FY15'!D60,-3)</f>
        <v>107712000</v>
      </c>
      <c r="E60" s="20">
        <f>ROUND('[9]Changes FY15'!E60,-3)</f>
        <v>0</v>
      </c>
      <c r="F60" s="20">
        <f>ROUND('[9]Changes FY15'!F60,-3)</f>
        <v>0</v>
      </c>
      <c r="G60" s="20">
        <f>ROUND('[9]Changes FY15'!G60,-3)</f>
        <v>0</v>
      </c>
      <c r="H60" s="30">
        <f>ROUND('[9]Changes FY15'!H60,-3)-1000</f>
        <v>-17740000</v>
      </c>
      <c r="I60" s="32">
        <f t="shared" ref="I60:I75" si="8">SUM(B60:H60)</f>
        <v>55185000</v>
      </c>
      <c r="J60" s="28"/>
      <c r="K60" s="29">
        <f>ROUND('[9]Changes FY15'!K60,-3)</f>
        <v>0</v>
      </c>
      <c r="L60" s="29">
        <f>ROUND('[9]Changes FY15'!L60,-3)</f>
        <v>0</v>
      </c>
      <c r="M60" s="32">
        <f t="shared" ref="M60:M75" si="9">SUM(I60:L60)</f>
        <v>55185000</v>
      </c>
    </row>
    <row r="61" spans="1:13" s="2" customFormat="1" ht="9.9499999999999993" customHeight="1" x14ac:dyDescent="0.35">
      <c r="A61" s="6" t="s">
        <v>15</v>
      </c>
      <c r="B61" s="30">
        <f>ROUND('[9]Changes FY15'!B61,-3)</f>
        <v>0</v>
      </c>
      <c r="C61" s="20">
        <f>ROUND('[9]Changes FY15'!C61,-3)</f>
        <v>-198364000</v>
      </c>
      <c r="D61" s="20">
        <f>ROUND('[9]Changes FY15'!D61,-3)</f>
        <v>755558000</v>
      </c>
      <c r="E61" s="30">
        <f>ROUND('[9]Changes FY15'!E61,-3)</f>
        <v>190994000</v>
      </c>
      <c r="F61" s="20">
        <f>ROUND('[9]Changes FY15'!F61,-3)</f>
        <v>0</v>
      </c>
      <c r="G61" s="20">
        <f>ROUND('[9]Changes FY15'!G61,-3)</f>
        <v>0</v>
      </c>
      <c r="H61" s="20">
        <f>ROUND('[9]Changes FY15'!H61,-3)</f>
        <v>4644000</v>
      </c>
      <c r="I61" s="28">
        <f t="shared" si="8"/>
        <v>752832000</v>
      </c>
      <c r="J61" s="28"/>
      <c r="K61" s="29">
        <f>ROUND('[9]Changes FY15'!K61,-3)</f>
        <v>0</v>
      </c>
      <c r="L61" s="29">
        <f>ROUND('[9]Changes FY15'!L61,-3)</f>
        <v>0</v>
      </c>
      <c r="M61" s="28">
        <f t="shared" si="9"/>
        <v>752832000</v>
      </c>
    </row>
    <row r="62" spans="1:13" s="2" customFormat="1" x14ac:dyDescent="0.35">
      <c r="A62" s="6" t="s">
        <v>14</v>
      </c>
      <c r="B62" s="30">
        <f>ROUND('[9]Changes FY15'!B62,-3)</f>
        <v>0</v>
      </c>
      <c r="C62" s="20">
        <f>ROUND('[9]Changes FY15'!C62,-3)</f>
        <v>0</v>
      </c>
      <c r="D62" s="20">
        <f>ROUND('[9]Changes FY15'!D62,-3)</f>
        <v>0</v>
      </c>
      <c r="E62" s="20">
        <f>ROUND('[9]Changes FY15'!E62,-3)</f>
        <v>0</v>
      </c>
      <c r="F62" s="20">
        <f>ROUND('[9]Changes FY15'!F62,-3)</f>
        <v>0</v>
      </c>
      <c r="G62" s="20">
        <f>ROUND('[9]Changes FY15'!G62,-3)</f>
        <v>0</v>
      </c>
      <c r="H62" s="20">
        <f>ROUND('[9]Changes FY15'!H62,-3)</f>
        <v>0</v>
      </c>
      <c r="I62" s="28">
        <f t="shared" si="8"/>
        <v>0</v>
      </c>
      <c r="J62" s="28"/>
      <c r="K62" s="31">
        <f>ROUND('[9]Changes FY15'!K62,-3)</f>
        <v>53802000</v>
      </c>
      <c r="L62" s="31">
        <f>ROUND('[9]Changes FY15'!L62,-3)</f>
        <v>25422000</v>
      </c>
      <c r="M62" s="28">
        <f t="shared" si="9"/>
        <v>79224000</v>
      </c>
    </row>
    <row r="63" spans="1:13" s="2" customFormat="1" ht="9.9499999999999993" customHeight="1" x14ac:dyDescent="0.35">
      <c r="A63" s="6" t="s">
        <v>13</v>
      </c>
      <c r="B63" s="30">
        <f>ROUND('[9]Changes FY15'!B63,-3)</f>
        <v>0</v>
      </c>
      <c r="C63" s="20">
        <f>ROUND('[9]Changes FY15'!C63,-3)</f>
        <v>0</v>
      </c>
      <c r="D63" s="20">
        <f>ROUND('[9]Changes FY15'!D63,-3)</f>
        <v>0</v>
      </c>
      <c r="E63" s="20">
        <f>ROUND('[9]Changes FY15'!E63,-3)</f>
        <v>0</v>
      </c>
      <c r="F63" s="20">
        <f>ROUND('[9]Changes FY15'!F63,-3)</f>
        <v>0</v>
      </c>
      <c r="G63" s="20">
        <f>ROUND('[9]Changes FY15'!G63,-3)</f>
        <v>0</v>
      </c>
      <c r="H63" s="20">
        <f>ROUND('[9]Changes FY15'!H63,-3)</f>
        <v>0</v>
      </c>
      <c r="I63" s="28">
        <f t="shared" si="8"/>
        <v>0</v>
      </c>
      <c r="J63" s="28"/>
      <c r="K63" s="29">
        <f>ROUND('[9]Changes FY15'!K63,-3)</f>
        <v>327070000</v>
      </c>
      <c r="L63" s="29">
        <f>ROUND('[9]Changes FY15'!L63,-3)</f>
        <v>321549000</v>
      </c>
      <c r="M63" s="28">
        <f t="shared" si="9"/>
        <v>648619000</v>
      </c>
    </row>
    <row r="64" spans="1:13" s="2" customFormat="1" ht="9.9499999999999993" customHeight="1" x14ac:dyDescent="0.35">
      <c r="A64" s="6" t="s">
        <v>90</v>
      </c>
      <c r="B64" s="30">
        <f>ROUND('[9]Changes FY15'!B64,-3)</f>
        <v>0</v>
      </c>
      <c r="C64" s="20">
        <f>ROUND('[9]Changes FY15'!C64,-3)</f>
        <v>0</v>
      </c>
      <c r="D64" s="20">
        <f>ROUND('[9]Changes FY15'!D64,-3)</f>
        <v>0</v>
      </c>
      <c r="E64" s="20">
        <f>ROUND('[9]Changes FY15'!E64,-3)</f>
        <v>0</v>
      </c>
      <c r="F64" s="20">
        <f>ROUND('[9]Changes FY15'!F64,-3)</f>
        <v>0</v>
      </c>
      <c r="G64" s="20">
        <f>ROUND('[9]Changes FY15'!G64,-3)</f>
        <v>0</v>
      </c>
      <c r="H64" s="20">
        <f>ROUND('[9]Changes FY15'!H64,-3)</f>
        <v>0</v>
      </c>
      <c r="I64" s="28">
        <f t="shared" si="8"/>
        <v>0</v>
      </c>
      <c r="J64" s="28"/>
      <c r="K64" s="29">
        <f>ROUND('[9]Changes FY15'!K64,-3)</f>
        <v>0</v>
      </c>
      <c r="L64" s="29">
        <f>ROUND('[9]Changes FY15'!L64,-3)</f>
        <v>0</v>
      </c>
      <c r="M64" s="28">
        <f t="shared" si="9"/>
        <v>0</v>
      </c>
    </row>
    <row r="65" spans="1:13" s="2" customFormat="1" ht="9.9499999999999993" customHeight="1" x14ac:dyDescent="0.35">
      <c r="A65" s="6" t="s">
        <v>12</v>
      </c>
      <c r="B65" s="30">
        <f>ROUND('[9]Changes FY15'!B65,-3)</f>
        <v>0</v>
      </c>
      <c r="C65" s="20">
        <f>ROUND('[9]Changes FY15'!C65,-3)</f>
        <v>0</v>
      </c>
      <c r="D65" s="20">
        <f>ROUND('[9]Changes FY15'!D65,-3)</f>
        <v>0</v>
      </c>
      <c r="E65" s="20">
        <f>ROUND('[9]Changes FY15'!E65,-3)</f>
        <v>0</v>
      </c>
      <c r="F65" s="20">
        <f>ROUND('[9]Changes FY15'!F65,-3)</f>
        <v>0</v>
      </c>
      <c r="G65" s="20">
        <f>ROUND('[9]Changes FY15'!G65,-3)</f>
        <v>0</v>
      </c>
      <c r="H65" s="20">
        <f>ROUND('[9]Changes FY15'!H65,-3)</f>
        <v>0</v>
      </c>
      <c r="I65" s="28">
        <f t="shared" si="8"/>
        <v>0</v>
      </c>
      <c r="J65" s="28"/>
      <c r="K65" s="29">
        <f>ROUND('[9]Changes FY15'!K65,-3)</f>
        <v>0</v>
      </c>
      <c r="L65" s="29">
        <f>ROUND('[9]Changes FY15'!L65,-3)</f>
        <v>0</v>
      </c>
      <c r="M65" s="28">
        <f t="shared" si="9"/>
        <v>0</v>
      </c>
    </row>
    <row r="66" spans="1:13" s="2" customFormat="1" ht="9.9499999999999993" customHeight="1" x14ac:dyDescent="0.35">
      <c r="A66" s="6" t="s">
        <v>11</v>
      </c>
      <c r="B66" s="30">
        <f>ROUND('[9]Changes FY15'!B66,-3)</f>
        <v>0</v>
      </c>
      <c r="C66" s="20">
        <f>ROUND('[9]Changes FY15'!C66,-3)</f>
        <v>0</v>
      </c>
      <c r="D66" s="20">
        <f>ROUND('[9]Changes FY15'!D66,-3)</f>
        <v>214053000</v>
      </c>
      <c r="E66" s="20">
        <f>ROUND('[9]Changes FY15'!E66,-3)</f>
        <v>0</v>
      </c>
      <c r="F66" s="20">
        <f>ROUND('[9]Changes FY15'!F66,-3)</f>
        <v>0</v>
      </c>
      <c r="G66" s="20">
        <f>ROUND('[9]Changes FY15'!G66,-3)</f>
        <v>0</v>
      </c>
      <c r="H66" s="20">
        <f>ROUND('[9]Changes FY15'!H66,-3)</f>
        <v>0</v>
      </c>
      <c r="I66" s="28">
        <f t="shared" si="8"/>
        <v>214053000</v>
      </c>
      <c r="J66" s="28"/>
      <c r="K66" s="29">
        <f>ROUND('[9]Changes FY15'!K66,-3)</f>
        <v>0</v>
      </c>
      <c r="L66" s="29">
        <f>ROUND('[9]Changes FY15'!L66,-3)</f>
        <v>0</v>
      </c>
      <c r="M66" s="28">
        <f t="shared" si="9"/>
        <v>214053000</v>
      </c>
    </row>
    <row r="67" spans="1:13" s="2" customFormat="1" ht="9.9499999999999993" customHeight="1" x14ac:dyDescent="0.35">
      <c r="A67" s="6" t="s">
        <v>10</v>
      </c>
      <c r="B67" s="30">
        <f>ROUND('[9]Changes FY15'!B67,-3)</f>
        <v>0</v>
      </c>
      <c r="C67" s="20">
        <f>ROUND('[9]Changes FY15'!C67,-3)</f>
        <v>0</v>
      </c>
      <c r="D67" s="20">
        <f>ROUND('[9]Changes FY15'!D67,-3)</f>
        <v>0</v>
      </c>
      <c r="E67" s="20">
        <f>ROUND('[9]Changes FY15'!E67,-3)</f>
        <v>0</v>
      </c>
      <c r="F67" s="20">
        <f>ROUND('[9]Changes FY15'!F67,-3)</f>
        <v>0</v>
      </c>
      <c r="G67" s="20">
        <f>ROUND('[9]Changes FY15'!G67,-3)</f>
        <v>0</v>
      </c>
      <c r="H67" s="20">
        <f>ROUND('[9]Changes FY15'!H67,-3)</f>
        <v>0</v>
      </c>
      <c r="I67" s="28">
        <f t="shared" si="8"/>
        <v>0</v>
      </c>
      <c r="J67" s="28"/>
      <c r="K67" s="29">
        <f>ROUND('[9]Changes FY15'!K67,-3)</f>
        <v>54168000</v>
      </c>
      <c r="L67" s="29">
        <f>ROUND('[9]Changes FY15'!L67,-3)+1000</f>
        <v>88222000</v>
      </c>
      <c r="M67" s="28">
        <f t="shared" si="9"/>
        <v>142390000</v>
      </c>
    </row>
    <row r="68" spans="1:13" s="2" customFormat="1" ht="9.9499999999999993" customHeight="1" x14ac:dyDescent="0.35">
      <c r="A68" s="6" t="s">
        <v>9</v>
      </c>
      <c r="B68" s="30">
        <f>ROUND('[9]Changes FY15'!B68,-3)</f>
        <v>0</v>
      </c>
      <c r="C68" s="20">
        <f>ROUND('[9]Changes FY15'!C68,-3)</f>
        <v>0</v>
      </c>
      <c r="D68" s="20">
        <f>ROUND('[9]Changes FY15'!D68,-3)</f>
        <v>0</v>
      </c>
      <c r="E68" s="20">
        <f>ROUND('[9]Changes FY15'!E68,-3)</f>
        <v>0</v>
      </c>
      <c r="F68" s="20">
        <f>ROUND('[9]Changes FY15'!F68,-3)</f>
        <v>0</v>
      </c>
      <c r="G68" s="20">
        <f>ROUND('[9]Changes FY15'!G68,-3)</f>
        <v>0</v>
      </c>
      <c r="H68" s="20">
        <f>ROUND('[9]Changes FY15'!H68,-3)</f>
        <v>0</v>
      </c>
      <c r="I68" s="28">
        <f t="shared" si="8"/>
        <v>0</v>
      </c>
      <c r="J68" s="28"/>
      <c r="K68" s="29">
        <f>ROUND('[9]Changes FY15'!K68,-3)</f>
        <v>1564419000</v>
      </c>
      <c r="L68" s="29">
        <f>ROUND('[9]Changes FY15'!L68,-3)</f>
        <v>1807409000</v>
      </c>
      <c r="M68" s="28">
        <f t="shared" si="9"/>
        <v>3371828000</v>
      </c>
    </row>
    <row r="69" spans="1:13" s="2" customFormat="1" x14ac:dyDescent="0.35">
      <c r="A69" s="6" t="s">
        <v>8</v>
      </c>
      <c r="B69" s="30">
        <f>ROUND('[9]Changes FY15'!B69,-3)</f>
        <v>0</v>
      </c>
      <c r="C69" s="20">
        <f>ROUND('[9]Changes FY15'!C69,-3)</f>
        <v>0</v>
      </c>
      <c r="D69" s="20">
        <f>ROUND('[9]Changes FY15'!D69,-3)</f>
        <v>0</v>
      </c>
      <c r="E69" s="20">
        <f>ROUND('[9]Changes FY15'!E69,-3)</f>
        <v>0</v>
      </c>
      <c r="F69" s="20">
        <f>ROUND('[9]Changes FY15'!F69,-3)</f>
        <v>0</v>
      </c>
      <c r="G69" s="20">
        <f>ROUND('[9]Changes FY15'!G69,-3)</f>
        <v>0</v>
      </c>
      <c r="H69" s="20">
        <f>ROUND('[9]Changes FY15'!H69,-3)</f>
        <v>0</v>
      </c>
      <c r="I69" s="28">
        <f t="shared" si="8"/>
        <v>0</v>
      </c>
      <c r="J69" s="28"/>
      <c r="K69" s="29">
        <f>ROUND('[9]Changes FY15'!K69,-3)</f>
        <v>0</v>
      </c>
      <c r="L69" s="29">
        <f>ROUND('[9]Changes FY15'!L69,-3)</f>
        <v>0</v>
      </c>
      <c r="M69" s="28">
        <f t="shared" si="9"/>
        <v>0</v>
      </c>
    </row>
    <row r="70" spans="1:13" s="2" customFormat="1" x14ac:dyDescent="0.35">
      <c r="A70" s="6" t="s">
        <v>7</v>
      </c>
      <c r="B70" s="30">
        <f>ROUND('[9]Changes FY15'!B70,-3)</f>
        <v>0</v>
      </c>
      <c r="C70" s="20">
        <f>ROUND('[9]Changes FY15'!C70,-3)</f>
        <v>0</v>
      </c>
      <c r="D70" s="20">
        <f>ROUND('[9]Changes FY15'!D70,-3)</f>
        <v>0</v>
      </c>
      <c r="E70" s="20">
        <f>ROUND('[9]Changes FY15'!E70,-3)</f>
        <v>0</v>
      </c>
      <c r="F70" s="20">
        <f>ROUND('[9]Changes FY15'!F70,-3)</f>
        <v>0</v>
      </c>
      <c r="G70" s="20">
        <f>ROUND('[9]Changes FY15'!G70,-3)</f>
        <v>1337683000</v>
      </c>
      <c r="H70" s="20">
        <f>ROUND('[9]Changes FY15'!H70,-3)</f>
        <v>0</v>
      </c>
      <c r="I70" s="28">
        <f t="shared" si="8"/>
        <v>1337683000</v>
      </c>
      <c r="J70" s="28"/>
      <c r="K70" s="29">
        <f>ROUND('[9]Changes FY15'!K70,-3)</f>
        <v>0</v>
      </c>
      <c r="L70" s="29">
        <f>ROUND('[9]Changes FY15'!L70,-3)</f>
        <v>0</v>
      </c>
      <c r="M70" s="28">
        <f t="shared" si="9"/>
        <v>1337683000</v>
      </c>
    </row>
    <row r="71" spans="1:13" s="2" customFormat="1" x14ac:dyDescent="0.35">
      <c r="A71" s="6" t="s">
        <v>6</v>
      </c>
      <c r="B71" s="30">
        <f>ROUND('[9]Changes FY15'!B71,-3)</f>
        <v>0</v>
      </c>
      <c r="C71" s="20">
        <f>ROUND('[9]Changes FY15'!C71,-3)</f>
        <v>0</v>
      </c>
      <c r="D71" s="20">
        <f>ROUND('[9]Changes FY15'!D71,-3)</f>
        <v>0</v>
      </c>
      <c r="E71" s="20">
        <f>ROUND('[9]Changes FY15'!E71,-3)</f>
        <v>0</v>
      </c>
      <c r="F71" s="20">
        <f>ROUND('[9]Changes FY15'!F71,-3)</f>
        <v>0</v>
      </c>
      <c r="G71" s="20">
        <f>ROUND('[9]Changes FY15'!G71,-3)</f>
        <v>0</v>
      </c>
      <c r="H71" s="20">
        <f>ROUND('[9]Changes FY15'!H71,-3)</f>
        <v>0</v>
      </c>
      <c r="I71" s="28">
        <f t="shared" si="8"/>
        <v>0</v>
      </c>
      <c r="J71" s="28"/>
      <c r="K71" s="29">
        <f>ROUND('[9]Changes FY15'!K71,-3)</f>
        <v>0</v>
      </c>
      <c r="L71" s="29">
        <f>ROUND('[9]Changes FY15'!L71,-3)</f>
        <v>0</v>
      </c>
      <c r="M71" s="28">
        <f t="shared" si="9"/>
        <v>0</v>
      </c>
    </row>
    <row r="72" spans="1:13" s="2" customFormat="1" x14ac:dyDescent="0.35">
      <c r="A72" s="6" t="s">
        <v>5</v>
      </c>
      <c r="B72" s="30">
        <f>ROUND('[9]Changes FY15'!B72,-3)</f>
        <v>0</v>
      </c>
      <c r="C72" s="20">
        <f>ROUND('[9]Changes FY15'!C72,-3)</f>
        <v>0</v>
      </c>
      <c r="D72" s="20">
        <f>ROUND('[9]Changes FY15'!D72,-3)</f>
        <v>0</v>
      </c>
      <c r="E72" s="20">
        <f>ROUND('[9]Changes FY15'!E72,-3)</f>
        <v>0</v>
      </c>
      <c r="F72" s="20">
        <f>ROUND('[9]Changes FY15'!F72,-3)</f>
        <v>0</v>
      </c>
      <c r="G72" s="20">
        <f>ROUND('[9]Changes FY15'!G72,-3)</f>
        <v>0</v>
      </c>
      <c r="H72" s="20">
        <f>ROUND('[9]Changes FY15'!H72,-3)</f>
        <v>0</v>
      </c>
      <c r="I72" s="28">
        <f t="shared" si="8"/>
        <v>0</v>
      </c>
      <c r="J72" s="28"/>
      <c r="K72" s="29">
        <f>ROUND('[9]Changes FY15'!K72,-3)</f>
        <v>0</v>
      </c>
      <c r="L72" s="29">
        <f>ROUND('[9]Changes FY15'!L72,-3)</f>
        <v>0</v>
      </c>
      <c r="M72" s="28">
        <f t="shared" si="9"/>
        <v>0</v>
      </c>
    </row>
    <row r="73" spans="1:13" s="2" customFormat="1" x14ac:dyDescent="0.35">
      <c r="A73" s="6" t="s">
        <v>4</v>
      </c>
      <c r="B73" s="30">
        <f>ROUND('[9]Changes FY15'!B73,-3)</f>
        <v>0</v>
      </c>
      <c r="C73" s="20">
        <f>ROUND('[9]Changes FY15'!C73,-3)</f>
        <v>0</v>
      </c>
      <c r="D73" s="20">
        <f>ROUND('[9]Changes FY15'!D73,-3)</f>
        <v>0</v>
      </c>
      <c r="E73" s="20">
        <f>ROUND('[9]Changes FY15'!E73,-3)</f>
        <v>0</v>
      </c>
      <c r="F73" s="20">
        <f>ROUND('[9]Changes FY15'!F73,-3)</f>
        <v>0</v>
      </c>
      <c r="G73" s="20">
        <f>ROUND('[9]Changes FY15'!G73,-3)</f>
        <v>0</v>
      </c>
      <c r="H73" s="20">
        <f>ROUND('[9]Changes FY15'!H73,-3)</f>
        <v>0</v>
      </c>
      <c r="I73" s="28">
        <f t="shared" si="8"/>
        <v>0</v>
      </c>
      <c r="J73" s="28"/>
      <c r="K73" s="29">
        <f>ROUND('[9]Changes FY15'!K73,-3)</f>
        <v>0</v>
      </c>
      <c r="L73" s="29">
        <f>ROUND('[9]Changes FY15'!L73,-3)</f>
        <v>0</v>
      </c>
      <c r="M73" s="28">
        <f t="shared" si="9"/>
        <v>0</v>
      </c>
    </row>
    <row r="74" spans="1:13" s="2" customFormat="1" x14ac:dyDescent="0.35">
      <c r="A74" s="6" t="s">
        <v>3</v>
      </c>
      <c r="B74" s="30">
        <f>ROUND('[9]Changes FY15'!B74,-3)</f>
        <v>0</v>
      </c>
      <c r="C74" s="20">
        <f>ROUND('[9]Changes FY15'!C74,-3)</f>
        <v>0</v>
      </c>
      <c r="D74" s="20">
        <f>ROUND('[9]Changes FY15'!D74,-3)</f>
        <v>0</v>
      </c>
      <c r="E74" s="20">
        <f>ROUND('[9]Changes FY15'!E74,-3)+1000</f>
        <v>86322000</v>
      </c>
      <c r="F74" s="20">
        <f>ROUND('[9]Changes FY15'!F74,-3)</f>
        <v>0</v>
      </c>
      <c r="G74" s="20">
        <f>ROUND('[9]Changes FY15'!G74,-3)</f>
        <v>0</v>
      </c>
      <c r="H74" s="20">
        <f>ROUND('[9]Changes FY15'!H74,-3)</f>
        <v>0</v>
      </c>
      <c r="I74" s="28">
        <f t="shared" si="8"/>
        <v>86322000</v>
      </c>
      <c r="J74" s="28"/>
      <c r="K74" s="29">
        <f>ROUND('[9]Changes FY15'!K74,-3)</f>
        <v>0</v>
      </c>
      <c r="L74" s="29">
        <f>ROUND('[9]Changes FY15'!L74,-3)</f>
        <v>0</v>
      </c>
      <c r="M74" s="28">
        <f t="shared" si="9"/>
        <v>86322000</v>
      </c>
    </row>
    <row r="75" spans="1:13" s="2" customFormat="1" x14ac:dyDescent="0.35">
      <c r="A75" s="6" t="s">
        <v>2</v>
      </c>
      <c r="B75" s="30">
        <f>ROUND('[9]Changes FY15'!B75,-3)</f>
        <v>0</v>
      </c>
      <c r="C75" s="20">
        <f>ROUND('[9]Changes FY15'!C75,-3)</f>
        <v>0</v>
      </c>
      <c r="D75" s="20">
        <f>ROUND('[9]Changes FY15'!D75,-3)</f>
        <v>0</v>
      </c>
      <c r="E75" s="20">
        <f>ROUND('[9]Changes FY15'!E75,-3)</f>
        <v>0</v>
      </c>
      <c r="F75" s="20">
        <f>ROUND('[9]Changes FY15'!F75,-3)</f>
        <v>1036811000</v>
      </c>
      <c r="G75" s="20">
        <f>ROUND('[9]Changes FY15'!G75,-3)</f>
        <v>0</v>
      </c>
      <c r="H75" s="20">
        <f>ROUND('[9]Changes FY15'!H75,-3)</f>
        <v>0</v>
      </c>
      <c r="I75" s="28">
        <f t="shared" si="8"/>
        <v>1036811000</v>
      </c>
      <c r="J75" s="28"/>
      <c r="K75" s="29">
        <f>ROUND('[9]Changes FY15'!K75,-3)</f>
        <v>0</v>
      </c>
      <c r="L75" s="29">
        <f>ROUND('[9]Changes FY15'!L75,-3)</f>
        <v>0</v>
      </c>
      <c r="M75" s="28">
        <f t="shared" si="9"/>
        <v>1036811000</v>
      </c>
    </row>
    <row r="76" spans="1:13" s="2" customFormat="1" ht="12" thickBot="1" x14ac:dyDescent="0.45">
      <c r="A76" s="27"/>
      <c r="B76" s="26">
        <f t="shared" ref="B76:I76" si="10">SUM(B60:B75)</f>
        <v>0</v>
      </c>
      <c r="C76" s="25">
        <f t="shared" si="10"/>
        <v>-233151000</v>
      </c>
      <c r="D76" s="25">
        <f t="shared" si="10"/>
        <v>1077323000</v>
      </c>
      <c r="E76" s="25">
        <f t="shared" si="10"/>
        <v>277316000</v>
      </c>
      <c r="F76" s="25">
        <f t="shared" si="10"/>
        <v>1036811000</v>
      </c>
      <c r="G76" s="25">
        <f t="shared" si="10"/>
        <v>1337683000</v>
      </c>
      <c r="H76" s="25">
        <f t="shared" si="10"/>
        <v>-13096000</v>
      </c>
      <c r="I76" s="23">
        <f t="shared" si="10"/>
        <v>3482886000</v>
      </c>
      <c r="J76" s="24"/>
      <c r="K76" s="23">
        <f>SUM(K60:K75)</f>
        <v>1999459000</v>
      </c>
      <c r="L76" s="23">
        <f>SUM(L60:L75)</f>
        <v>2242602000</v>
      </c>
      <c r="M76" s="23">
        <f>SUM(M60:M75)</f>
        <v>7724947000</v>
      </c>
    </row>
    <row r="77" spans="1:13" s="2" customFormat="1" ht="10.7" thickTop="1" x14ac:dyDescent="0.35">
      <c r="A77" s="21" t="s">
        <v>1</v>
      </c>
      <c r="B77" s="19"/>
      <c r="C77" s="19"/>
      <c r="D77" s="19"/>
      <c r="E77" s="19"/>
      <c r="F77" s="19"/>
      <c r="G77" s="19"/>
      <c r="H77" s="19"/>
      <c r="I77" s="19"/>
      <c r="J77" s="20"/>
      <c r="K77" s="19"/>
      <c r="L77" s="19"/>
      <c r="M77" s="19"/>
    </row>
    <row r="78" spans="1:13" s="2" customFormat="1" x14ac:dyDescent="0.35">
      <c r="A78" s="2" t="s">
        <v>0</v>
      </c>
      <c r="B78" s="18">
        <f t="shared" ref="B78:M78" si="11">B56-B76</f>
        <v>0</v>
      </c>
      <c r="C78" s="18">
        <f t="shared" si="11"/>
        <v>0</v>
      </c>
      <c r="D78" s="18">
        <f t="shared" si="11"/>
        <v>0</v>
      </c>
      <c r="E78" s="18">
        <f t="shared" si="11"/>
        <v>0</v>
      </c>
      <c r="F78" s="18">
        <f t="shared" si="11"/>
        <v>0</v>
      </c>
      <c r="G78" s="18">
        <f t="shared" si="11"/>
        <v>0</v>
      </c>
      <c r="H78" s="18">
        <f t="shared" si="11"/>
        <v>0</v>
      </c>
      <c r="I78" s="18">
        <f t="shared" si="11"/>
        <v>0</v>
      </c>
      <c r="J78" s="18">
        <f t="shared" si="11"/>
        <v>0</v>
      </c>
      <c r="K78" s="18">
        <f t="shared" si="11"/>
        <v>0</v>
      </c>
      <c r="L78" s="18">
        <f t="shared" si="11"/>
        <v>0</v>
      </c>
      <c r="M78" s="18">
        <f t="shared" si="11"/>
        <v>0</v>
      </c>
    </row>
    <row r="79" spans="1:13" s="2" customFormat="1" x14ac:dyDescent="0.35"/>
    <row r="80" spans="1:13" s="2" customFormat="1" x14ac:dyDescent="0.35">
      <c r="D80" s="17"/>
    </row>
    <row r="81" spans="1:13" s="2" customFormat="1" x14ac:dyDescent="0.35">
      <c r="G81" s="14"/>
      <c r="H81" s="14"/>
      <c r="I81" s="14"/>
      <c r="J81" s="14"/>
      <c r="K81" s="14"/>
    </row>
    <row r="82" spans="1:13" s="2" customFormat="1" x14ac:dyDescent="0.35">
      <c r="G82" s="14"/>
      <c r="H82" s="16"/>
      <c r="I82" s="16"/>
      <c r="J82" s="14"/>
      <c r="K82" s="14"/>
    </row>
    <row r="83" spans="1:13" ht="11.1" customHeight="1" x14ac:dyDescent="0.35">
      <c r="A83" s="2"/>
      <c r="B83" s="2"/>
      <c r="C83" s="2"/>
      <c r="D83" s="2"/>
      <c r="E83" s="2"/>
      <c r="G83" s="15"/>
      <c r="H83" s="15"/>
      <c r="I83" s="15"/>
      <c r="J83" s="14"/>
      <c r="K83" s="15"/>
      <c r="L83" s="2"/>
      <c r="M83" s="2"/>
    </row>
    <row r="84" spans="1:13" x14ac:dyDescent="0.35">
      <c r="A84" s="2"/>
      <c r="B84" s="2"/>
      <c r="C84" s="2"/>
      <c r="D84" s="2"/>
      <c r="E84" s="2"/>
      <c r="G84" s="15"/>
      <c r="H84" s="15"/>
      <c r="I84" s="15"/>
      <c r="J84" s="14"/>
      <c r="K84" s="14"/>
      <c r="L84" s="2"/>
      <c r="M84" s="2"/>
    </row>
    <row r="85" spans="1:13" x14ac:dyDescent="0.35">
      <c r="A85" s="2"/>
      <c r="B85" s="2"/>
      <c r="C85" s="2"/>
      <c r="D85" s="2"/>
      <c r="E85" s="2"/>
      <c r="G85" s="15"/>
      <c r="H85" s="15"/>
      <c r="I85" s="15"/>
      <c r="J85" s="14"/>
      <c r="K85" s="15"/>
      <c r="L85" s="2"/>
      <c r="M85" s="2"/>
    </row>
    <row r="86" spans="1:13" ht="11.1" customHeight="1" x14ac:dyDescent="0.35">
      <c r="A86" s="2"/>
      <c r="B86" s="2"/>
      <c r="C86" s="2"/>
      <c r="D86" s="2"/>
      <c r="E86" s="2"/>
      <c r="G86" s="15"/>
      <c r="H86" s="15"/>
      <c r="I86" s="15"/>
      <c r="J86" s="14"/>
      <c r="K86" s="14"/>
      <c r="L86" s="2"/>
      <c r="M86" s="2"/>
    </row>
    <row r="87" spans="1:13" x14ac:dyDescent="0.35">
      <c r="A87" s="2"/>
      <c r="B87" s="2"/>
      <c r="C87" s="2"/>
      <c r="D87" s="2"/>
      <c r="E87" s="2"/>
      <c r="G87" s="15"/>
      <c r="H87" s="15"/>
      <c r="I87" s="15"/>
      <c r="J87" s="14"/>
      <c r="K87" s="14"/>
      <c r="L87" s="2"/>
      <c r="M87" s="2"/>
    </row>
    <row r="88" spans="1:13" x14ac:dyDescent="0.35">
      <c r="A88" s="2"/>
      <c r="B88" s="2"/>
      <c r="C88" s="2"/>
      <c r="D88" s="2"/>
      <c r="E88" s="2"/>
      <c r="K88" s="2"/>
      <c r="L88" s="2"/>
      <c r="M88" s="2"/>
    </row>
    <row r="89" spans="1:13" x14ac:dyDescent="0.35">
      <c r="A89" s="2"/>
      <c r="B89" s="2"/>
      <c r="C89" s="2"/>
      <c r="D89" s="2"/>
      <c r="E89" s="2"/>
      <c r="K89" s="2"/>
      <c r="L89" s="2"/>
      <c r="M89" s="2"/>
    </row>
    <row r="90" spans="1:13" x14ac:dyDescent="0.35">
      <c r="A90" s="2"/>
      <c r="B90" s="2"/>
      <c r="C90" s="2"/>
      <c r="D90" s="2"/>
      <c r="E90" s="2"/>
      <c r="K90" s="2"/>
      <c r="L90" s="2"/>
      <c r="M90" s="2"/>
    </row>
    <row r="91" spans="1:13" x14ac:dyDescent="0.35">
      <c r="A91" s="2"/>
      <c r="B91" s="2"/>
      <c r="C91" s="2"/>
      <c r="D91" s="2"/>
      <c r="E91" s="2"/>
      <c r="K91" s="2"/>
      <c r="L91" s="2"/>
      <c r="M91" s="2"/>
    </row>
    <row r="92" spans="1:13" x14ac:dyDescent="0.35">
      <c r="A92" s="2"/>
      <c r="B92" s="2"/>
      <c r="C92" s="2"/>
      <c r="D92" s="2"/>
      <c r="E92" s="2"/>
      <c r="K92" s="2"/>
      <c r="L92" s="2"/>
      <c r="M92" s="2"/>
    </row>
    <row r="93" spans="1:13" x14ac:dyDescent="0.35">
      <c r="A93" s="2"/>
      <c r="B93" s="2"/>
      <c r="C93" s="2"/>
      <c r="D93" s="2"/>
      <c r="E93" s="2"/>
      <c r="K93" s="2"/>
      <c r="L93" s="2"/>
      <c r="M93" s="2"/>
    </row>
    <row r="94" spans="1:13" x14ac:dyDescent="0.35">
      <c r="A94" s="2"/>
      <c r="B94" s="2"/>
      <c r="C94" s="2"/>
      <c r="D94" s="2"/>
      <c r="E94" s="2"/>
      <c r="K94" s="2"/>
      <c r="L94" s="2"/>
      <c r="M94" s="2"/>
    </row>
    <row r="95" spans="1:13" x14ac:dyDescent="0.35">
      <c r="A95" s="2"/>
      <c r="B95" s="2"/>
      <c r="C95" s="2"/>
      <c r="D95" s="2"/>
      <c r="E95" s="2"/>
      <c r="K95" s="2"/>
      <c r="L95" s="2"/>
      <c r="M95" s="2"/>
    </row>
    <row r="96" spans="1:13" x14ac:dyDescent="0.35">
      <c r="A96" s="2"/>
      <c r="B96" s="2"/>
      <c r="C96" s="2"/>
      <c r="D96" s="2"/>
      <c r="E96" s="2"/>
      <c r="K96" s="2"/>
      <c r="L96" s="2"/>
      <c r="M96" s="2"/>
    </row>
    <row r="97" spans="1:13" x14ac:dyDescent="0.35">
      <c r="A97" s="2"/>
      <c r="B97" s="2"/>
      <c r="C97" s="2"/>
      <c r="D97" s="2"/>
      <c r="E97" s="2"/>
      <c r="K97" s="2"/>
      <c r="L97" s="2"/>
      <c r="M97" s="2"/>
    </row>
    <row r="98" spans="1:13" x14ac:dyDescent="0.35">
      <c r="A98" s="2"/>
      <c r="B98" s="2"/>
      <c r="C98" s="2"/>
      <c r="D98" s="2"/>
      <c r="E98" s="2"/>
      <c r="K98" s="2"/>
      <c r="L98" s="2"/>
      <c r="M98" s="2"/>
    </row>
    <row r="99" spans="1:13" x14ac:dyDescent="0.35">
      <c r="A99" s="2"/>
      <c r="B99" s="2"/>
      <c r="C99" s="2"/>
      <c r="D99" s="2"/>
      <c r="E99" s="2"/>
      <c r="K99" s="2"/>
      <c r="L99" s="2"/>
      <c r="M99" s="2"/>
    </row>
    <row r="100" spans="1:13" x14ac:dyDescent="0.35">
      <c r="A100" s="2"/>
      <c r="B100" s="2"/>
      <c r="C100" s="2"/>
      <c r="D100" s="2"/>
      <c r="E100" s="2"/>
      <c r="K100" s="2"/>
      <c r="L100" s="2"/>
      <c r="M100" s="2"/>
    </row>
    <row r="101" spans="1:13" x14ac:dyDescent="0.35">
      <c r="A101" s="2"/>
      <c r="B101" s="2"/>
      <c r="C101" s="2"/>
      <c r="D101" s="2"/>
      <c r="E101" s="2"/>
      <c r="F101" s="5"/>
      <c r="G101" s="5"/>
      <c r="H101" s="5"/>
      <c r="I101" s="5"/>
      <c r="K101" s="2"/>
      <c r="L101" s="2"/>
      <c r="M101" s="2"/>
    </row>
    <row r="102" spans="1:13" x14ac:dyDescent="0.35">
      <c r="A102" s="2"/>
      <c r="B102" s="2"/>
      <c r="C102" s="2"/>
      <c r="D102" s="2"/>
      <c r="E102" s="2"/>
      <c r="F102" s="5"/>
      <c r="G102" s="5"/>
      <c r="H102" s="5"/>
      <c r="I102" s="5"/>
      <c r="K102" s="2"/>
      <c r="L102" s="2"/>
      <c r="M102" s="2"/>
    </row>
    <row r="103" spans="1:13" x14ac:dyDescent="0.35">
      <c r="A103" s="2"/>
      <c r="B103" s="2"/>
      <c r="C103" s="2"/>
      <c r="D103" s="2"/>
      <c r="E103" s="2"/>
      <c r="F103" s="2"/>
      <c r="G103" s="2"/>
      <c r="H103" s="2"/>
      <c r="I103" s="13"/>
      <c r="K103" s="2"/>
      <c r="L103" s="2"/>
      <c r="M103" s="2"/>
    </row>
    <row r="104" spans="1:13" x14ac:dyDescent="0.35">
      <c r="A104" s="2"/>
      <c r="B104" s="2"/>
      <c r="C104" s="2"/>
      <c r="D104" s="2"/>
      <c r="E104" s="2"/>
      <c r="F104" s="2"/>
      <c r="G104" s="2"/>
      <c r="H104" s="2"/>
      <c r="I104" s="13"/>
      <c r="K104" s="2"/>
      <c r="L104" s="2"/>
      <c r="M104" s="2"/>
    </row>
    <row r="105" spans="1:13" x14ac:dyDescent="0.35">
      <c r="A105" s="2"/>
      <c r="B105" s="2"/>
      <c r="C105" s="2"/>
      <c r="D105" s="2"/>
      <c r="E105" s="2"/>
      <c r="F105" s="2"/>
      <c r="G105" s="2"/>
      <c r="H105" s="2"/>
      <c r="K105" s="2"/>
      <c r="L105" s="2"/>
      <c r="M105" s="2"/>
    </row>
    <row r="106" spans="1:13" x14ac:dyDescent="0.35">
      <c r="A106" s="2"/>
      <c r="B106" s="2"/>
      <c r="C106" s="2"/>
      <c r="D106" s="2"/>
      <c r="E106" s="2"/>
      <c r="F106" s="2"/>
      <c r="G106" s="2"/>
      <c r="H106" s="2"/>
      <c r="I106" s="12"/>
      <c r="K106" s="2"/>
      <c r="L106" s="2"/>
      <c r="M106" s="2"/>
    </row>
    <row r="107" spans="1:13" x14ac:dyDescent="0.35">
      <c r="A107" s="2"/>
      <c r="B107" s="2"/>
      <c r="C107" s="2"/>
      <c r="D107" s="2"/>
      <c r="E107" s="2"/>
      <c r="F107" s="2"/>
      <c r="G107" s="2"/>
      <c r="H107" s="2"/>
      <c r="I107" s="12"/>
      <c r="K107" s="2"/>
      <c r="L107" s="2"/>
      <c r="M107" s="2"/>
    </row>
    <row r="108" spans="1:13" x14ac:dyDescent="0.35">
      <c r="A108" s="2"/>
      <c r="B108" s="2"/>
      <c r="C108" s="2"/>
      <c r="D108" s="2"/>
      <c r="E108" s="2"/>
      <c r="F108" s="2"/>
      <c r="G108" s="2"/>
      <c r="H108" s="2"/>
      <c r="I108" s="12"/>
      <c r="K108" s="2"/>
      <c r="L108" s="2"/>
      <c r="M108" s="2"/>
    </row>
    <row r="109" spans="1:13" x14ac:dyDescent="0.35">
      <c r="A109" s="2"/>
      <c r="B109" s="2"/>
      <c r="C109" s="2"/>
      <c r="D109" s="2"/>
      <c r="E109" s="2"/>
      <c r="F109" s="2"/>
      <c r="G109" s="2"/>
      <c r="H109" s="2"/>
      <c r="I109" s="12"/>
      <c r="K109" s="2"/>
      <c r="L109" s="2"/>
      <c r="M109" s="2"/>
    </row>
    <row r="110" spans="1:13" ht="11.1" customHeight="1" x14ac:dyDescent="0.35">
      <c r="A110" s="2"/>
      <c r="B110" s="2"/>
      <c r="C110" s="2"/>
      <c r="D110" s="2"/>
      <c r="E110" s="2"/>
      <c r="F110" s="2"/>
      <c r="G110" s="2"/>
      <c r="H110" s="2"/>
      <c r="I110" s="12"/>
      <c r="K110" s="2"/>
      <c r="L110" s="2"/>
      <c r="M110" s="2"/>
    </row>
    <row r="111" spans="1:13" ht="11.1" customHeight="1" x14ac:dyDescent="0.35">
      <c r="A111" s="2"/>
      <c r="B111" s="2"/>
      <c r="C111" s="2"/>
      <c r="D111" s="2"/>
      <c r="E111" s="2"/>
      <c r="F111" s="2"/>
      <c r="G111" s="2"/>
      <c r="H111" s="2"/>
      <c r="I111" s="12"/>
      <c r="K111" s="2"/>
      <c r="L111" s="2"/>
      <c r="M111" s="2"/>
    </row>
    <row r="112" spans="1:13" ht="11.1" customHeight="1" x14ac:dyDescent="0.35">
      <c r="A112" s="2"/>
      <c r="B112" s="2"/>
      <c r="C112" s="2"/>
      <c r="D112" s="2"/>
      <c r="E112" s="2"/>
      <c r="F112" s="2"/>
      <c r="G112" s="2"/>
      <c r="H112" s="2"/>
      <c r="I112" s="12"/>
      <c r="K112" s="2"/>
      <c r="L112" s="2"/>
      <c r="M112" s="2"/>
    </row>
    <row r="113" spans="1:13" ht="11.1" customHeight="1" x14ac:dyDescent="0.35">
      <c r="A113" s="2"/>
      <c r="B113" s="2"/>
      <c r="C113" s="2"/>
      <c r="D113" s="2"/>
      <c r="E113" s="2"/>
      <c r="F113" s="2"/>
      <c r="G113" s="2"/>
      <c r="H113" s="2"/>
      <c r="I113" s="12"/>
      <c r="K113" s="2"/>
      <c r="L113" s="2"/>
      <c r="M113" s="2"/>
    </row>
    <row r="114" spans="1:13" ht="2.1" customHeight="1" x14ac:dyDescent="0.35">
      <c r="A114" s="2"/>
      <c r="B114" s="2"/>
      <c r="C114" s="2"/>
      <c r="D114" s="2"/>
      <c r="E114" s="2"/>
      <c r="F114" s="2"/>
      <c r="G114" s="2"/>
      <c r="H114" s="2"/>
      <c r="I114" s="12"/>
      <c r="K114" s="2"/>
      <c r="L114" s="2"/>
      <c r="M114" s="2"/>
    </row>
    <row r="115" spans="1:13" x14ac:dyDescent="0.35">
      <c r="A115" s="2"/>
      <c r="B115" s="2"/>
      <c r="C115" s="2"/>
      <c r="D115" s="2"/>
      <c r="E115" s="2"/>
      <c r="F115" s="2"/>
      <c r="G115" s="2"/>
      <c r="H115" s="2"/>
      <c r="I115" s="12"/>
      <c r="K115" s="2"/>
      <c r="L115" s="2"/>
      <c r="M115" s="2"/>
    </row>
    <row r="116" spans="1:13" x14ac:dyDescent="0.35">
      <c r="A116" s="2"/>
      <c r="B116" s="2"/>
      <c r="C116" s="2"/>
      <c r="D116" s="2"/>
      <c r="E116" s="2"/>
      <c r="F116" s="2"/>
      <c r="G116" s="2"/>
      <c r="H116" s="2"/>
      <c r="I116" s="2"/>
      <c r="K116" s="2"/>
      <c r="L116" s="2"/>
      <c r="M116" s="2"/>
    </row>
    <row r="117" spans="1:13" x14ac:dyDescent="0.35">
      <c r="A117" s="2"/>
      <c r="B117" s="2"/>
      <c r="C117" s="2"/>
      <c r="D117" s="2"/>
      <c r="E117" s="2"/>
      <c r="F117" s="2"/>
      <c r="G117" s="2"/>
      <c r="H117" s="2"/>
      <c r="I117" s="2"/>
      <c r="K117" s="2"/>
      <c r="L117" s="2"/>
      <c r="M117" s="2"/>
    </row>
    <row r="118" spans="1:13" x14ac:dyDescent="0.35">
      <c r="A118" s="2"/>
      <c r="B118" s="2"/>
      <c r="C118" s="2"/>
      <c r="D118" s="2"/>
      <c r="E118" s="2"/>
      <c r="F118" s="2"/>
      <c r="G118" s="2"/>
      <c r="H118" s="2"/>
      <c r="I118" s="2"/>
      <c r="K118" s="2"/>
      <c r="L118" s="2"/>
      <c r="M118" s="2"/>
    </row>
    <row r="119" spans="1:13" x14ac:dyDescent="0.35">
      <c r="A119" s="2"/>
      <c r="B119" s="2"/>
      <c r="C119" s="2"/>
      <c r="D119" s="2"/>
      <c r="E119" s="2"/>
      <c r="F119" s="2"/>
      <c r="G119" s="2"/>
      <c r="H119" s="2"/>
      <c r="I119" s="2"/>
      <c r="K119" s="2"/>
      <c r="L119" s="2"/>
      <c r="M119" s="2"/>
    </row>
    <row r="120" spans="1:13" x14ac:dyDescent="0.35">
      <c r="A120" s="2"/>
      <c r="B120" s="2"/>
      <c r="C120" s="2"/>
      <c r="D120" s="2"/>
      <c r="E120" s="2"/>
      <c r="F120" s="2"/>
      <c r="G120" s="2"/>
      <c r="H120" s="2"/>
      <c r="I120" s="2"/>
      <c r="K120" s="2"/>
      <c r="L120" s="2"/>
      <c r="M120" s="2"/>
    </row>
    <row r="121" spans="1:13" x14ac:dyDescent="0.35">
      <c r="A121" s="2"/>
      <c r="B121" s="2"/>
      <c r="C121" s="2"/>
      <c r="D121" s="2"/>
      <c r="E121" s="2"/>
      <c r="F121" s="2"/>
      <c r="G121" s="2"/>
      <c r="H121" s="2"/>
      <c r="I121" s="2"/>
      <c r="K121" s="2"/>
      <c r="L121" s="2"/>
      <c r="M121" s="2"/>
    </row>
    <row r="122" spans="1:13" x14ac:dyDescent="0.35">
      <c r="A122" s="2"/>
      <c r="B122" s="2"/>
      <c r="C122" s="2"/>
      <c r="D122" s="2"/>
      <c r="E122" s="2"/>
      <c r="F122" s="2"/>
      <c r="G122" s="2"/>
      <c r="H122" s="2"/>
      <c r="I122" s="2"/>
      <c r="K122" s="2"/>
      <c r="L122" s="2"/>
      <c r="M122" s="2"/>
    </row>
    <row r="123" spans="1:13" x14ac:dyDescent="0.35">
      <c r="A123" s="2"/>
      <c r="B123" s="2"/>
      <c r="C123" s="2"/>
      <c r="D123" s="2"/>
      <c r="E123" s="2"/>
      <c r="F123" s="2"/>
      <c r="G123" s="2"/>
      <c r="H123" s="2"/>
      <c r="I123" s="2"/>
      <c r="K123" s="2"/>
      <c r="L123" s="2"/>
      <c r="M123" s="2"/>
    </row>
    <row r="124" spans="1:13" x14ac:dyDescent="0.35">
      <c r="A124" s="2"/>
      <c r="B124" s="2"/>
      <c r="C124" s="2"/>
      <c r="D124" s="2"/>
      <c r="E124" s="2"/>
      <c r="F124" s="2"/>
      <c r="G124" s="2"/>
      <c r="H124" s="2"/>
      <c r="I124" s="2"/>
      <c r="K124" s="2"/>
      <c r="L124" s="2"/>
      <c r="M124" s="2"/>
    </row>
    <row r="125" spans="1:13" x14ac:dyDescent="0.35">
      <c r="A125" s="2"/>
      <c r="B125" s="2"/>
      <c r="C125" s="2"/>
      <c r="D125" s="2"/>
      <c r="E125" s="2"/>
      <c r="F125" s="2"/>
      <c r="G125" s="2"/>
      <c r="H125" s="2"/>
      <c r="I125" s="2"/>
      <c r="K125" s="2"/>
      <c r="L125" s="2"/>
      <c r="M125" s="2"/>
    </row>
    <row r="126" spans="1:13" x14ac:dyDescent="0.35">
      <c r="A126" s="2"/>
      <c r="B126" s="2"/>
      <c r="C126" s="2"/>
      <c r="D126" s="2"/>
      <c r="E126" s="2"/>
      <c r="F126" s="2"/>
      <c r="G126" s="2"/>
      <c r="H126" s="2"/>
      <c r="I126" s="2"/>
      <c r="K126" s="2"/>
      <c r="L126" s="2"/>
      <c r="M126" s="2"/>
    </row>
    <row r="127" spans="1:13" x14ac:dyDescent="0.35">
      <c r="A127" s="2"/>
      <c r="B127" s="2"/>
      <c r="C127" s="2"/>
      <c r="D127" s="2"/>
      <c r="E127" s="2"/>
      <c r="F127" s="2"/>
      <c r="G127" s="2"/>
      <c r="H127" s="2"/>
      <c r="I127" s="2"/>
      <c r="K127" s="2"/>
      <c r="L127" s="2"/>
      <c r="M127" s="2"/>
    </row>
    <row r="128" spans="1:13" x14ac:dyDescent="0.35">
      <c r="A128" s="2"/>
      <c r="B128" s="2"/>
      <c r="C128" s="2"/>
      <c r="D128" s="2"/>
      <c r="E128" s="2"/>
      <c r="F128" s="2"/>
      <c r="G128" s="2"/>
      <c r="H128" s="2"/>
      <c r="I128" s="2"/>
      <c r="K128" s="2"/>
      <c r="L128" s="2"/>
      <c r="M128" s="2"/>
    </row>
    <row r="129" spans="1:225" x14ac:dyDescent="0.35">
      <c r="A129" s="2"/>
      <c r="B129" s="2"/>
      <c r="C129" s="2"/>
      <c r="D129" s="2"/>
      <c r="E129" s="2"/>
      <c r="F129" s="2"/>
      <c r="G129" s="2"/>
      <c r="H129" s="2"/>
      <c r="I129" s="2"/>
      <c r="K129" s="2"/>
      <c r="L129" s="2"/>
      <c r="M129" s="2"/>
    </row>
    <row r="130" spans="1:225" x14ac:dyDescent="0.35">
      <c r="A130" s="2"/>
      <c r="B130" s="2"/>
      <c r="C130" s="2"/>
      <c r="D130" s="2"/>
      <c r="E130" s="2"/>
      <c r="F130" s="2"/>
      <c r="G130" s="2"/>
      <c r="H130" s="2"/>
      <c r="I130" s="2"/>
      <c r="K130" s="2"/>
      <c r="L130" s="2"/>
      <c r="M130" s="2"/>
    </row>
    <row r="131" spans="1:225" x14ac:dyDescent="0.35">
      <c r="A131" s="2"/>
      <c r="B131" s="2"/>
      <c r="C131" s="2"/>
      <c r="D131" s="2"/>
      <c r="E131" s="2"/>
      <c r="F131" s="2"/>
      <c r="G131" s="2"/>
      <c r="H131" s="2"/>
      <c r="I131" s="2"/>
      <c r="K131" s="2"/>
      <c r="L131" s="2"/>
      <c r="M131" s="2"/>
    </row>
    <row r="132" spans="1:225" x14ac:dyDescent="0.35">
      <c r="A132" s="2"/>
      <c r="B132" s="2"/>
      <c r="C132" s="2"/>
      <c r="D132" s="2"/>
      <c r="E132" s="2"/>
      <c r="F132" s="2"/>
      <c r="G132" s="2"/>
      <c r="H132" s="2"/>
      <c r="I132" s="2"/>
      <c r="K132" s="2"/>
      <c r="L132" s="2"/>
      <c r="M132" s="2"/>
    </row>
    <row r="133" spans="1:225" x14ac:dyDescent="0.35">
      <c r="A133" s="2"/>
      <c r="B133" s="2"/>
      <c r="C133" s="2"/>
      <c r="D133" s="2"/>
      <c r="E133" s="2"/>
      <c r="F133" s="2"/>
      <c r="G133" s="2"/>
      <c r="H133" s="2"/>
      <c r="I133" s="2"/>
      <c r="K133" s="2"/>
      <c r="L133" s="2"/>
      <c r="M133" s="2"/>
    </row>
    <row r="134" spans="1:225" x14ac:dyDescent="0.35">
      <c r="A134" s="2"/>
      <c r="B134" s="2"/>
      <c r="C134" s="2"/>
      <c r="D134" s="2"/>
      <c r="E134" s="2"/>
      <c r="F134" s="2"/>
      <c r="G134" s="2"/>
      <c r="H134" s="2"/>
      <c r="I134" s="2"/>
      <c r="K134" s="2"/>
      <c r="L134" s="2"/>
      <c r="M134" s="2"/>
    </row>
    <row r="135" spans="1:225" x14ac:dyDescent="0.35">
      <c r="A135" s="2"/>
      <c r="B135" s="2"/>
      <c r="C135" s="2"/>
      <c r="D135" s="2"/>
      <c r="E135" s="2"/>
      <c r="F135" s="2"/>
      <c r="G135" s="2"/>
      <c r="H135" s="2"/>
      <c r="I135" s="2"/>
      <c r="K135" s="2"/>
      <c r="L135" s="2"/>
      <c r="M135" s="2"/>
    </row>
    <row r="136" spans="1:225" x14ac:dyDescent="0.35">
      <c r="A136" s="2"/>
      <c r="B136" s="2"/>
      <c r="C136" s="2"/>
      <c r="D136" s="2"/>
      <c r="E136" s="2"/>
      <c r="F136" s="2"/>
      <c r="G136" s="2"/>
      <c r="H136" s="2"/>
      <c r="I136" s="2"/>
      <c r="K136" s="2"/>
      <c r="L136" s="2"/>
      <c r="M136" s="2"/>
    </row>
    <row r="137" spans="1:225" x14ac:dyDescent="0.35">
      <c r="A137" s="2"/>
      <c r="B137" s="2"/>
      <c r="C137" s="2"/>
      <c r="D137" s="2"/>
      <c r="E137" s="2"/>
      <c r="F137" s="2"/>
      <c r="G137" s="2"/>
      <c r="H137" s="2"/>
      <c r="I137" s="2"/>
      <c r="K137" s="2"/>
      <c r="L137" s="2"/>
      <c r="M137" s="2"/>
    </row>
    <row r="138" spans="1:225" x14ac:dyDescent="0.35">
      <c r="A138" s="2"/>
      <c r="B138" s="2"/>
      <c r="C138" s="2"/>
      <c r="D138" s="2"/>
      <c r="E138" s="2"/>
      <c r="F138" s="2"/>
      <c r="G138" s="2"/>
      <c r="H138" s="2"/>
      <c r="I138" s="2"/>
      <c r="K138" s="2"/>
      <c r="L138" s="2"/>
      <c r="M138" s="2"/>
    </row>
    <row r="139" spans="1:225" x14ac:dyDescent="0.35">
      <c r="A139" s="2"/>
      <c r="B139" s="2"/>
      <c r="C139" s="2"/>
      <c r="D139" s="2"/>
      <c r="E139" s="2"/>
      <c r="F139" s="2"/>
      <c r="G139" s="2"/>
      <c r="H139" s="2"/>
      <c r="I139" s="2"/>
      <c r="K139" s="2"/>
      <c r="L139" s="2"/>
      <c r="M139" s="2"/>
    </row>
    <row r="140" spans="1:225" x14ac:dyDescent="0.35">
      <c r="A140" s="2"/>
      <c r="B140" s="2"/>
      <c r="C140" s="2"/>
      <c r="D140" s="2"/>
      <c r="E140" s="2"/>
      <c r="F140" s="2"/>
      <c r="G140" s="2"/>
      <c r="H140" s="2"/>
      <c r="I140" s="2"/>
      <c r="K140" s="2"/>
      <c r="L140" s="2"/>
      <c r="M140" s="2"/>
    </row>
    <row r="141" spans="1:225" x14ac:dyDescent="0.35">
      <c r="A141" s="2"/>
      <c r="B141" s="2"/>
      <c r="C141" s="2"/>
      <c r="D141" s="2"/>
      <c r="E141" s="2"/>
      <c r="F141" s="2"/>
      <c r="G141" s="2"/>
      <c r="H141" s="2"/>
      <c r="I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</row>
    <row r="142" spans="1:225" x14ac:dyDescent="0.35">
      <c r="A142" s="2"/>
      <c r="B142" s="2"/>
      <c r="C142" s="2"/>
      <c r="D142" s="2"/>
      <c r="E142" s="2"/>
      <c r="F142" s="2"/>
      <c r="G142" s="2"/>
      <c r="H142" s="2"/>
      <c r="I142" s="2"/>
      <c r="K142" s="2"/>
      <c r="L142" s="2"/>
      <c r="M142" s="2"/>
    </row>
    <row r="143" spans="1:225" x14ac:dyDescent="0.35">
      <c r="A143" s="2"/>
      <c r="B143" s="2"/>
      <c r="C143" s="2"/>
      <c r="D143" s="2"/>
      <c r="E143" s="2"/>
      <c r="F143" s="2"/>
      <c r="G143" s="2"/>
      <c r="H143" s="2"/>
      <c r="I143" s="2"/>
      <c r="K143" s="2"/>
      <c r="L143" s="2"/>
      <c r="M143" s="2"/>
    </row>
    <row r="144" spans="1:225" x14ac:dyDescent="0.35">
      <c r="A144" s="2"/>
      <c r="B144" s="2"/>
      <c r="C144" s="2"/>
      <c r="D144" s="2"/>
      <c r="E144" s="2"/>
      <c r="F144" s="2"/>
      <c r="G144" s="2"/>
      <c r="H144" s="2"/>
      <c r="I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</row>
    <row r="145" spans="1:225" x14ac:dyDescent="0.35">
      <c r="A145" s="2"/>
      <c r="B145" s="2"/>
      <c r="C145" s="2"/>
      <c r="D145" s="2"/>
      <c r="E145" s="2"/>
      <c r="F145" s="2"/>
      <c r="G145" s="2"/>
      <c r="H145" s="2"/>
      <c r="I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</row>
    <row r="146" spans="1:225" x14ac:dyDescent="0.35">
      <c r="A146" s="2"/>
      <c r="B146" s="2"/>
      <c r="C146" s="2"/>
      <c r="D146" s="2"/>
      <c r="E146" s="2"/>
      <c r="F146" s="2"/>
      <c r="G146" s="2"/>
      <c r="H146" s="2"/>
      <c r="I146" s="2"/>
      <c r="K146" s="2"/>
      <c r="L146" s="2"/>
      <c r="M146" s="2"/>
    </row>
    <row r="147" spans="1:225" x14ac:dyDescent="0.35">
      <c r="A147" s="2"/>
      <c r="B147" s="2"/>
      <c r="C147" s="2"/>
      <c r="D147" s="2"/>
      <c r="E147" s="2"/>
      <c r="F147" s="2"/>
      <c r="G147" s="2"/>
      <c r="H147" s="2"/>
      <c r="I147" s="2"/>
      <c r="K147" s="2"/>
      <c r="L147" s="2"/>
      <c r="M147" s="2"/>
    </row>
    <row r="148" spans="1:225" x14ac:dyDescent="0.35">
      <c r="A148" s="2"/>
      <c r="B148" s="2"/>
      <c r="C148" s="2"/>
      <c r="D148" s="2"/>
      <c r="E148" s="2"/>
      <c r="F148" s="2"/>
      <c r="G148" s="2"/>
      <c r="H148" s="2"/>
      <c r="I148" s="2"/>
      <c r="K148" s="2"/>
      <c r="L148" s="2"/>
      <c r="M148" s="2"/>
    </row>
    <row r="149" spans="1:225" x14ac:dyDescent="0.35">
      <c r="A149" s="2"/>
      <c r="B149" s="2"/>
      <c r="C149" s="2"/>
      <c r="D149" s="2"/>
      <c r="E149" s="2"/>
      <c r="F149" s="2"/>
      <c r="G149" s="2"/>
      <c r="H149" s="2"/>
      <c r="I149" s="2"/>
      <c r="K149" s="2"/>
      <c r="L149" s="2"/>
      <c r="M149" s="2"/>
    </row>
    <row r="150" spans="1:225" x14ac:dyDescent="0.35">
      <c r="A150" s="2"/>
      <c r="B150" s="2"/>
      <c r="C150" s="2"/>
      <c r="D150" s="2"/>
      <c r="E150" s="2"/>
      <c r="F150" s="2"/>
      <c r="G150" s="2"/>
      <c r="H150" s="2"/>
      <c r="I150" s="2"/>
      <c r="K150" s="2"/>
      <c r="L150" s="2"/>
      <c r="M150" s="2"/>
    </row>
    <row r="151" spans="1:225" x14ac:dyDescent="0.35">
      <c r="A151" s="2"/>
      <c r="B151" s="2"/>
      <c r="C151" s="2"/>
      <c r="D151" s="2"/>
      <c r="E151" s="2"/>
      <c r="F151" s="2"/>
      <c r="G151" s="2"/>
      <c r="H151" s="2"/>
      <c r="I151" s="2"/>
      <c r="K151" s="2"/>
      <c r="L151" s="2"/>
      <c r="M151" s="2"/>
    </row>
    <row r="152" spans="1:225" x14ac:dyDescent="0.35">
      <c r="A152" s="2"/>
      <c r="B152" s="2"/>
      <c r="C152" s="2"/>
      <c r="D152" s="2"/>
      <c r="E152" s="2"/>
      <c r="F152" s="2"/>
      <c r="G152" s="2"/>
      <c r="H152" s="2"/>
      <c r="I152" s="2"/>
      <c r="K152" s="2"/>
      <c r="L152" s="2"/>
      <c r="M152" s="2"/>
    </row>
    <row r="153" spans="1:225" x14ac:dyDescent="0.35">
      <c r="A153" s="2"/>
      <c r="B153" s="2"/>
      <c r="C153" s="2"/>
      <c r="D153" s="2"/>
      <c r="E153" s="2"/>
      <c r="F153" s="2"/>
      <c r="G153" s="2"/>
      <c r="H153" s="2"/>
      <c r="I153" s="2"/>
      <c r="K153" s="2"/>
      <c r="L153" s="2"/>
      <c r="M153" s="2"/>
    </row>
    <row r="154" spans="1:225" x14ac:dyDescent="0.35">
      <c r="A154" s="2"/>
      <c r="B154" s="2"/>
      <c r="C154" s="2"/>
      <c r="D154" s="2"/>
      <c r="E154" s="2"/>
      <c r="F154" s="2"/>
      <c r="G154" s="2"/>
      <c r="H154" s="2"/>
      <c r="I154" s="2"/>
      <c r="K154" s="2"/>
      <c r="L154" s="2"/>
      <c r="M154" s="2"/>
    </row>
    <row r="155" spans="1:225" x14ac:dyDescent="0.35">
      <c r="A155" s="2"/>
      <c r="B155" s="2"/>
      <c r="C155" s="2"/>
      <c r="D155" s="2"/>
      <c r="E155" s="2"/>
      <c r="F155" s="2"/>
      <c r="G155" s="2"/>
      <c r="H155" s="2"/>
      <c r="I155" s="2"/>
      <c r="K155" s="2"/>
      <c r="L155" s="2"/>
      <c r="M155" s="2"/>
    </row>
    <row r="156" spans="1:225" x14ac:dyDescent="0.35">
      <c r="A156" s="2"/>
      <c r="B156" s="2"/>
      <c r="C156" s="2"/>
      <c r="D156" s="2"/>
      <c r="E156" s="2"/>
      <c r="F156" s="2"/>
      <c r="G156" s="2"/>
      <c r="H156" s="2"/>
      <c r="I156" s="2"/>
      <c r="K156" s="2"/>
      <c r="L156" s="2"/>
      <c r="M156" s="2"/>
    </row>
    <row r="157" spans="1:225" x14ac:dyDescent="0.35">
      <c r="A157" s="2"/>
      <c r="B157" s="2"/>
      <c r="C157" s="2"/>
      <c r="D157" s="2"/>
      <c r="E157" s="2"/>
      <c r="F157" s="2"/>
      <c r="G157" s="2"/>
      <c r="H157" s="2"/>
      <c r="I157" s="2"/>
      <c r="K157" s="2"/>
      <c r="L157" s="2"/>
      <c r="M157" s="2"/>
    </row>
    <row r="158" spans="1:225" x14ac:dyDescent="0.35">
      <c r="A158" s="2"/>
      <c r="B158" s="2"/>
      <c r="C158" s="2"/>
      <c r="D158" s="2"/>
      <c r="E158" s="2"/>
      <c r="F158" s="2"/>
      <c r="G158" s="2"/>
      <c r="H158" s="2"/>
      <c r="I158" s="2"/>
      <c r="K158" s="2"/>
      <c r="L158" s="2"/>
      <c r="M158" s="2"/>
    </row>
    <row r="159" spans="1:225" x14ac:dyDescent="0.35">
      <c r="A159" s="2"/>
      <c r="B159" s="2"/>
      <c r="C159" s="2"/>
      <c r="D159" s="2"/>
      <c r="E159" s="2"/>
      <c r="F159" s="2"/>
      <c r="G159" s="2"/>
      <c r="H159" s="2"/>
      <c r="I159" s="2"/>
      <c r="K159" s="2"/>
      <c r="L159" s="2"/>
      <c r="M159" s="2"/>
    </row>
    <row r="160" spans="1:225" x14ac:dyDescent="0.35">
      <c r="A160" s="2"/>
      <c r="B160" s="2"/>
      <c r="C160" s="2"/>
      <c r="D160" s="2"/>
      <c r="E160" s="2"/>
      <c r="F160" s="2"/>
      <c r="G160" s="2"/>
      <c r="H160" s="2"/>
      <c r="I160" s="2"/>
      <c r="K160" s="2"/>
      <c r="L160" s="2"/>
      <c r="M160" s="2"/>
    </row>
    <row r="161" spans="1:13" x14ac:dyDescent="0.35">
      <c r="A161" s="2"/>
      <c r="B161" s="2"/>
      <c r="C161" s="2"/>
      <c r="D161" s="2"/>
      <c r="E161" s="2"/>
      <c r="F161" s="2"/>
      <c r="G161" s="2"/>
      <c r="H161" s="2"/>
      <c r="I161" s="2"/>
      <c r="K161" s="2"/>
      <c r="L161" s="2"/>
      <c r="M161" s="2"/>
    </row>
    <row r="162" spans="1:13" x14ac:dyDescent="0.35">
      <c r="A162" s="2"/>
      <c r="B162" s="2"/>
      <c r="C162" s="2"/>
      <c r="D162" s="2"/>
      <c r="E162" s="2"/>
      <c r="F162" s="2"/>
      <c r="G162" s="2"/>
      <c r="H162" s="2"/>
      <c r="I162" s="2"/>
      <c r="K162" s="2"/>
      <c r="L162" s="2"/>
      <c r="M162" s="2"/>
    </row>
    <row r="163" spans="1:13" x14ac:dyDescent="0.35">
      <c r="A163" s="2"/>
      <c r="B163" s="2"/>
      <c r="C163" s="2"/>
      <c r="D163" s="2"/>
      <c r="E163" s="2"/>
      <c r="F163" s="2"/>
      <c r="G163" s="2"/>
      <c r="H163" s="2"/>
      <c r="I163" s="2"/>
      <c r="K163" s="2"/>
      <c r="L163" s="2"/>
      <c r="M163" s="2"/>
    </row>
    <row r="164" spans="1:13" x14ac:dyDescent="0.35">
      <c r="A164" s="2"/>
      <c r="B164" s="2"/>
      <c r="C164" s="2"/>
      <c r="D164" s="2"/>
      <c r="E164" s="2"/>
      <c r="F164" s="2"/>
      <c r="G164" s="2"/>
      <c r="H164" s="2"/>
      <c r="I164" s="2"/>
      <c r="K164" s="2"/>
      <c r="L164" s="2"/>
      <c r="M164" s="2"/>
    </row>
    <row r="165" spans="1:13" x14ac:dyDescent="0.35">
      <c r="A165" s="2"/>
      <c r="B165" s="2"/>
      <c r="C165" s="2"/>
      <c r="D165" s="2"/>
      <c r="E165" s="2"/>
      <c r="F165" s="2"/>
      <c r="G165" s="2"/>
      <c r="H165" s="2"/>
      <c r="I165" s="2"/>
      <c r="K165" s="2"/>
      <c r="L165" s="2"/>
      <c r="M165" s="2"/>
    </row>
    <row r="166" spans="1:13" x14ac:dyDescent="0.35">
      <c r="A166" s="2"/>
      <c r="B166" s="2"/>
      <c r="C166" s="2"/>
      <c r="D166" s="2"/>
      <c r="E166" s="2"/>
      <c r="F166" s="2"/>
      <c r="G166" s="2"/>
      <c r="H166" s="2"/>
      <c r="I166" s="2"/>
      <c r="K166" s="2"/>
      <c r="L166" s="2"/>
      <c r="M166" s="2"/>
    </row>
    <row r="167" spans="1:13" x14ac:dyDescent="0.35">
      <c r="A167" s="2"/>
      <c r="B167" s="2"/>
      <c r="C167" s="2"/>
      <c r="D167" s="2"/>
      <c r="E167" s="2"/>
      <c r="F167" s="2"/>
      <c r="G167" s="2"/>
      <c r="H167" s="2"/>
      <c r="I167" s="2"/>
      <c r="K167" s="2"/>
      <c r="L167" s="2"/>
      <c r="M167" s="2"/>
    </row>
    <row r="168" spans="1:13" x14ac:dyDescent="0.35">
      <c r="A168" s="2"/>
      <c r="B168" s="2"/>
      <c r="C168" s="2"/>
      <c r="D168" s="2"/>
      <c r="E168" s="2"/>
      <c r="F168" s="2"/>
      <c r="G168" s="2"/>
      <c r="H168" s="2"/>
      <c r="I168" s="2"/>
      <c r="K168" s="2"/>
      <c r="L168" s="2"/>
      <c r="M168" s="2"/>
    </row>
    <row r="169" spans="1:13" x14ac:dyDescent="0.35">
      <c r="A169" s="2"/>
      <c r="B169" s="2"/>
      <c r="C169" s="2"/>
      <c r="D169" s="2"/>
      <c r="E169" s="2"/>
      <c r="F169" s="2"/>
      <c r="G169" s="2"/>
      <c r="H169" s="2"/>
      <c r="I169" s="2"/>
      <c r="K169" s="2"/>
      <c r="L169" s="2"/>
      <c r="M169" s="2"/>
    </row>
    <row r="170" spans="1:13" x14ac:dyDescent="0.35">
      <c r="A170" s="2"/>
      <c r="B170" s="2"/>
      <c r="C170" s="2"/>
      <c r="D170" s="2"/>
      <c r="E170" s="2"/>
      <c r="F170" s="2"/>
      <c r="G170" s="2"/>
      <c r="H170" s="2"/>
      <c r="I170" s="2"/>
      <c r="K170" s="2"/>
      <c r="L170" s="2"/>
      <c r="M170" s="2"/>
    </row>
    <row r="171" spans="1:13" x14ac:dyDescent="0.35">
      <c r="A171" s="2"/>
      <c r="B171" s="2"/>
      <c r="C171" s="2"/>
      <c r="D171" s="2"/>
      <c r="E171" s="2"/>
      <c r="F171" s="2"/>
      <c r="G171" s="2"/>
      <c r="H171" s="2"/>
      <c r="I171" s="2"/>
      <c r="K171" s="2"/>
      <c r="L171" s="2"/>
      <c r="M171" s="2"/>
    </row>
    <row r="172" spans="1:13" x14ac:dyDescent="0.35">
      <c r="A172" s="2"/>
      <c r="B172" s="2"/>
      <c r="C172" s="2"/>
      <c r="D172" s="2"/>
      <c r="E172" s="2"/>
      <c r="F172" s="2"/>
      <c r="G172" s="2"/>
      <c r="H172" s="2"/>
      <c r="I172" s="2"/>
      <c r="K172" s="2"/>
      <c r="L172" s="2"/>
      <c r="M172" s="2"/>
    </row>
    <row r="173" spans="1:13" x14ac:dyDescent="0.35">
      <c r="A173" s="2"/>
      <c r="B173" s="2"/>
      <c r="C173" s="2"/>
      <c r="D173" s="2"/>
      <c r="E173" s="2"/>
      <c r="F173" s="2"/>
      <c r="G173" s="2"/>
      <c r="H173" s="2"/>
      <c r="I173" s="2"/>
      <c r="K173" s="2"/>
      <c r="L173" s="2"/>
      <c r="M173" s="2"/>
    </row>
    <row r="174" spans="1:13" x14ac:dyDescent="0.35">
      <c r="A174" s="2"/>
      <c r="B174" s="2"/>
      <c r="C174" s="2"/>
      <c r="D174" s="2"/>
      <c r="E174" s="2"/>
      <c r="F174" s="2"/>
      <c r="G174" s="2"/>
      <c r="H174" s="2"/>
      <c r="I174" s="2"/>
      <c r="K174" s="2"/>
      <c r="L174" s="2"/>
      <c r="M174" s="2"/>
    </row>
    <row r="175" spans="1:13" x14ac:dyDescent="0.35">
      <c r="A175" s="2"/>
      <c r="B175" s="2"/>
      <c r="C175" s="2"/>
      <c r="D175" s="2"/>
      <c r="E175" s="2"/>
      <c r="F175" s="2"/>
      <c r="G175" s="2"/>
      <c r="H175" s="2"/>
      <c r="I175" s="2"/>
      <c r="K175" s="2"/>
      <c r="L175" s="2"/>
      <c r="M175" s="2"/>
    </row>
    <row r="176" spans="1:13" x14ac:dyDescent="0.35">
      <c r="A176" s="2"/>
      <c r="B176" s="2"/>
      <c r="C176" s="2"/>
      <c r="D176" s="2"/>
      <c r="E176" s="2"/>
      <c r="F176" s="2"/>
      <c r="G176" s="2"/>
      <c r="H176" s="2"/>
      <c r="I176" s="2"/>
      <c r="K176" s="2"/>
      <c r="L176" s="2"/>
      <c r="M176" s="2"/>
    </row>
    <row r="177" spans="1:13" x14ac:dyDescent="0.35">
      <c r="A177" s="2"/>
      <c r="B177" s="2"/>
      <c r="C177" s="2"/>
      <c r="D177" s="2"/>
      <c r="E177" s="2"/>
      <c r="F177" s="2"/>
      <c r="G177" s="2"/>
      <c r="H177" s="2"/>
      <c r="I177" s="2"/>
      <c r="K177" s="2"/>
      <c r="L177" s="2"/>
      <c r="M177" s="2"/>
    </row>
    <row r="178" spans="1:13" x14ac:dyDescent="0.35">
      <c r="A178" s="2"/>
      <c r="B178" s="2"/>
      <c r="C178" s="2"/>
      <c r="D178" s="2"/>
      <c r="E178" s="2"/>
      <c r="F178" s="2"/>
      <c r="G178" s="2"/>
      <c r="H178" s="2"/>
      <c r="I178" s="2"/>
      <c r="K178" s="2"/>
      <c r="L178" s="2"/>
      <c r="M178" s="2"/>
    </row>
    <row r="179" spans="1:13" x14ac:dyDescent="0.35">
      <c r="A179" s="2"/>
      <c r="B179" s="2"/>
      <c r="C179" s="2"/>
      <c r="D179" s="2"/>
      <c r="E179" s="2"/>
      <c r="F179" s="2"/>
      <c r="G179" s="2"/>
      <c r="H179" s="2"/>
      <c r="I179" s="2"/>
      <c r="K179" s="2"/>
      <c r="L179" s="2"/>
      <c r="M179" s="2"/>
    </row>
    <row r="180" spans="1:13" x14ac:dyDescent="0.35">
      <c r="A180" s="2"/>
      <c r="B180" s="2"/>
      <c r="C180" s="2"/>
      <c r="D180" s="2"/>
      <c r="E180" s="2"/>
      <c r="F180" s="2"/>
      <c r="G180" s="2"/>
      <c r="H180" s="2"/>
      <c r="I180" s="2"/>
      <c r="K180" s="2"/>
      <c r="L180" s="2"/>
      <c r="M180" s="2"/>
    </row>
    <row r="181" spans="1:13" x14ac:dyDescent="0.35">
      <c r="A181" s="2"/>
      <c r="B181" s="2"/>
      <c r="C181" s="2"/>
      <c r="D181" s="2"/>
      <c r="E181" s="2"/>
      <c r="F181" s="2"/>
      <c r="G181" s="2"/>
      <c r="H181" s="2"/>
      <c r="I181" s="2"/>
      <c r="K181" s="2"/>
      <c r="L181" s="2"/>
      <c r="M181" s="2"/>
    </row>
    <row r="182" spans="1:13" x14ac:dyDescent="0.35">
      <c r="A182" s="2"/>
      <c r="B182" s="2"/>
      <c r="C182" s="2"/>
      <c r="D182" s="2"/>
      <c r="E182" s="2"/>
      <c r="F182" s="2"/>
      <c r="G182" s="2"/>
      <c r="H182" s="2"/>
      <c r="I182" s="2"/>
      <c r="K182" s="2"/>
      <c r="L182" s="2"/>
      <c r="M182" s="2"/>
    </row>
    <row r="183" spans="1:13" x14ac:dyDescent="0.35">
      <c r="A183" s="2"/>
      <c r="B183" s="2"/>
      <c r="C183" s="2"/>
      <c r="D183" s="2"/>
      <c r="E183" s="2"/>
      <c r="F183" s="2"/>
      <c r="G183" s="2"/>
      <c r="H183" s="2"/>
      <c r="I183" s="2"/>
      <c r="K183" s="2"/>
      <c r="L183" s="2"/>
      <c r="M183" s="2"/>
    </row>
    <row r="184" spans="1:13" x14ac:dyDescent="0.35">
      <c r="A184" s="2"/>
      <c r="B184" s="2"/>
      <c r="C184" s="2"/>
      <c r="D184" s="2"/>
      <c r="E184" s="2"/>
      <c r="F184" s="2"/>
      <c r="G184" s="2"/>
      <c r="H184" s="2"/>
      <c r="I184" s="2"/>
      <c r="K184" s="2"/>
      <c r="L184" s="2"/>
      <c r="M184" s="2"/>
    </row>
    <row r="185" spans="1:13" x14ac:dyDescent="0.35">
      <c r="A185" s="2"/>
      <c r="B185" s="2"/>
      <c r="C185" s="2"/>
      <c r="D185" s="2"/>
      <c r="E185" s="2"/>
      <c r="F185" s="2"/>
      <c r="G185" s="2"/>
      <c r="H185" s="2"/>
      <c r="I185" s="2"/>
      <c r="K185" s="2"/>
      <c r="L185" s="2"/>
      <c r="M185" s="2"/>
    </row>
    <row r="186" spans="1:13" x14ac:dyDescent="0.35">
      <c r="A186" s="2"/>
      <c r="B186" s="2"/>
      <c r="C186" s="2"/>
      <c r="D186" s="2"/>
      <c r="E186" s="2"/>
      <c r="F186" s="2"/>
      <c r="G186" s="2"/>
      <c r="H186" s="2"/>
      <c r="I186" s="2"/>
      <c r="K186" s="2"/>
      <c r="L186" s="2"/>
      <c r="M186" s="2"/>
    </row>
    <row r="187" spans="1:13" x14ac:dyDescent="0.35">
      <c r="A187" s="2"/>
      <c r="B187" s="2"/>
      <c r="C187" s="2"/>
      <c r="D187" s="2"/>
      <c r="E187" s="2"/>
      <c r="F187" s="2"/>
      <c r="G187" s="2"/>
      <c r="H187" s="2"/>
      <c r="I187" s="2"/>
      <c r="K187" s="2"/>
      <c r="L187" s="2"/>
      <c r="M187" s="2"/>
    </row>
    <row r="188" spans="1:13" x14ac:dyDescent="0.35">
      <c r="A188" s="2"/>
      <c r="B188" s="2"/>
      <c r="C188" s="2"/>
      <c r="D188" s="2"/>
      <c r="E188" s="2"/>
      <c r="F188" s="2"/>
      <c r="G188" s="2"/>
      <c r="H188" s="2"/>
      <c r="I188" s="2"/>
      <c r="K188" s="2"/>
      <c r="L188" s="2"/>
      <c r="M188" s="2"/>
    </row>
    <row r="189" spans="1:13" x14ac:dyDescent="0.35">
      <c r="A189" s="2"/>
      <c r="B189" s="2"/>
      <c r="C189" s="2"/>
      <c r="D189" s="2"/>
      <c r="E189" s="2"/>
      <c r="F189" s="2"/>
      <c r="G189" s="2"/>
      <c r="H189" s="2"/>
      <c r="I189" s="2"/>
      <c r="K189" s="2"/>
      <c r="L189" s="2"/>
      <c r="M189" s="2"/>
    </row>
    <row r="190" spans="1:13" x14ac:dyDescent="0.35">
      <c r="A190" s="2"/>
      <c r="B190" s="2"/>
      <c r="C190" s="2"/>
      <c r="D190" s="2"/>
      <c r="E190" s="2"/>
      <c r="F190" s="2"/>
      <c r="G190" s="2"/>
      <c r="H190" s="2"/>
      <c r="I190" s="2"/>
      <c r="K190" s="2"/>
      <c r="L190" s="2"/>
      <c r="M190" s="2"/>
    </row>
    <row r="191" spans="1:13" x14ac:dyDescent="0.35">
      <c r="A191" s="2"/>
      <c r="B191" s="2"/>
      <c r="C191" s="2"/>
      <c r="D191" s="2"/>
      <c r="E191" s="2"/>
      <c r="F191" s="2"/>
      <c r="G191" s="2"/>
      <c r="H191" s="2"/>
      <c r="I191" s="2"/>
      <c r="K191" s="2"/>
      <c r="L191" s="2"/>
      <c r="M191" s="2"/>
    </row>
    <row r="192" spans="1:13" x14ac:dyDescent="0.35">
      <c r="A192" s="2"/>
      <c r="B192" s="2"/>
      <c r="C192" s="2"/>
      <c r="D192" s="2"/>
      <c r="E192" s="2"/>
      <c r="F192" s="2"/>
      <c r="G192" s="2"/>
      <c r="H192" s="2"/>
      <c r="I192" s="2"/>
      <c r="K192" s="2"/>
      <c r="L192" s="2"/>
      <c r="M192" s="2"/>
    </row>
    <row r="193" spans="1:225" x14ac:dyDescent="0.35">
      <c r="A193" s="2"/>
      <c r="B193" s="2"/>
      <c r="C193" s="2"/>
      <c r="D193" s="2"/>
      <c r="E193" s="2"/>
      <c r="F193" s="2"/>
      <c r="G193" s="2"/>
      <c r="H193" s="2"/>
      <c r="I193" s="2"/>
      <c r="K193" s="2"/>
      <c r="L193" s="2"/>
      <c r="M193" s="2"/>
    </row>
    <row r="194" spans="1:225" x14ac:dyDescent="0.35">
      <c r="A194" s="2"/>
      <c r="B194" s="2"/>
      <c r="C194" s="2"/>
      <c r="D194" s="2"/>
      <c r="E194" s="2"/>
      <c r="F194" s="2"/>
      <c r="G194" s="2"/>
      <c r="H194" s="2"/>
      <c r="I194" s="2"/>
      <c r="K194" s="2"/>
      <c r="L194" s="2"/>
      <c r="M194" s="2"/>
    </row>
    <row r="195" spans="1:225" x14ac:dyDescent="0.35">
      <c r="A195" s="2"/>
      <c r="B195" s="2"/>
      <c r="C195" s="2"/>
      <c r="D195" s="2"/>
      <c r="E195" s="2"/>
      <c r="F195" s="2"/>
      <c r="G195" s="2"/>
      <c r="H195" s="2"/>
      <c r="I195" s="2"/>
      <c r="K195" s="2"/>
      <c r="L195" s="2"/>
      <c r="M195" s="2"/>
    </row>
    <row r="196" spans="1:225" x14ac:dyDescent="0.35">
      <c r="A196" s="2"/>
      <c r="B196" s="2"/>
      <c r="C196" s="2"/>
      <c r="D196" s="2"/>
      <c r="E196" s="2"/>
      <c r="F196" s="2"/>
      <c r="G196" s="2"/>
      <c r="H196" s="2"/>
      <c r="I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  <c r="GZ196" s="2"/>
      <c r="HA196" s="2"/>
      <c r="HB196" s="2"/>
      <c r="HC196" s="2"/>
      <c r="HD196" s="2"/>
      <c r="HE196" s="2"/>
      <c r="HF196" s="2"/>
      <c r="HG196" s="2"/>
      <c r="HH196" s="2"/>
      <c r="HI196" s="2"/>
      <c r="HJ196" s="2"/>
      <c r="HK196" s="2"/>
      <c r="HL196" s="2"/>
      <c r="HM196" s="2"/>
      <c r="HN196" s="2"/>
      <c r="HO196" s="2"/>
      <c r="HP196" s="2"/>
      <c r="HQ196" s="2"/>
    </row>
    <row r="197" spans="1:225" x14ac:dyDescent="0.35">
      <c r="A197" s="2"/>
      <c r="B197" s="2"/>
      <c r="C197" s="2"/>
      <c r="D197" s="2"/>
      <c r="E197" s="2"/>
      <c r="F197" s="2"/>
      <c r="G197" s="2"/>
      <c r="H197" s="2"/>
      <c r="I197" s="2"/>
      <c r="K197" s="2"/>
      <c r="L197" s="2"/>
      <c r="M197" s="2"/>
    </row>
    <row r="198" spans="1:225" x14ac:dyDescent="0.35">
      <c r="A198" s="2"/>
      <c r="B198" s="2"/>
      <c r="C198" s="2"/>
      <c r="D198" s="2"/>
      <c r="E198" s="2"/>
      <c r="F198" s="2"/>
      <c r="G198" s="2"/>
      <c r="H198" s="2"/>
      <c r="I198" s="2"/>
      <c r="K198" s="2"/>
      <c r="L198" s="2"/>
      <c r="M198" s="2"/>
    </row>
    <row r="199" spans="1:225" x14ac:dyDescent="0.35">
      <c r="A199" s="2"/>
      <c r="B199" s="2"/>
      <c r="C199" s="2"/>
      <c r="D199" s="2"/>
      <c r="E199" s="2"/>
      <c r="F199" s="2"/>
      <c r="G199" s="2"/>
      <c r="H199" s="2"/>
      <c r="I199" s="2"/>
      <c r="K199" s="2"/>
      <c r="L199" s="2"/>
      <c r="M199" s="2"/>
    </row>
    <row r="200" spans="1:225" x14ac:dyDescent="0.35">
      <c r="A200" s="2"/>
      <c r="B200" s="2"/>
      <c r="C200" s="2"/>
      <c r="D200" s="2"/>
      <c r="E200" s="2"/>
      <c r="F200" s="2"/>
      <c r="G200" s="2"/>
      <c r="H200" s="2"/>
      <c r="I200" s="2"/>
      <c r="K200" s="2"/>
      <c r="L200" s="2"/>
      <c r="M200" s="2"/>
    </row>
    <row r="201" spans="1:225" x14ac:dyDescent="0.35">
      <c r="A201" s="2"/>
      <c r="B201" s="2"/>
      <c r="C201" s="2"/>
      <c r="D201" s="2"/>
      <c r="E201" s="2"/>
      <c r="F201" s="2"/>
      <c r="G201" s="2"/>
      <c r="H201" s="2"/>
      <c r="I201" s="2"/>
      <c r="K201" s="2"/>
      <c r="L201" s="2"/>
      <c r="M201" s="2"/>
    </row>
    <row r="202" spans="1:225" x14ac:dyDescent="0.35">
      <c r="A202" s="2"/>
      <c r="B202" s="2"/>
      <c r="C202" s="2"/>
      <c r="D202" s="2"/>
      <c r="E202" s="2"/>
      <c r="F202" s="2"/>
      <c r="G202" s="2"/>
      <c r="H202" s="2"/>
      <c r="I202" s="2"/>
      <c r="K202" s="2"/>
      <c r="L202" s="2"/>
      <c r="M202" s="2"/>
    </row>
    <row r="203" spans="1:225" x14ac:dyDescent="0.35">
      <c r="A203" s="2"/>
      <c r="B203" s="2"/>
      <c r="C203" s="2"/>
      <c r="D203" s="2"/>
      <c r="E203" s="2"/>
      <c r="F203" s="2"/>
      <c r="G203" s="2"/>
      <c r="H203" s="2"/>
      <c r="I203" s="2"/>
      <c r="K203" s="2"/>
      <c r="L203" s="2"/>
      <c r="M203" s="2"/>
    </row>
    <row r="204" spans="1:225" x14ac:dyDescent="0.35">
      <c r="A204" s="2"/>
      <c r="B204" s="2"/>
      <c r="C204" s="2"/>
      <c r="D204" s="2"/>
      <c r="E204" s="2"/>
      <c r="F204" s="2"/>
      <c r="G204" s="2"/>
      <c r="H204" s="2"/>
      <c r="I204" s="2"/>
      <c r="K204" s="2"/>
      <c r="L204" s="2"/>
      <c r="M204" s="2"/>
    </row>
    <row r="205" spans="1:225" x14ac:dyDescent="0.35">
      <c r="A205" s="2"/>
      <c r="B205" s="2"/>
      <c r="C205" s="2"/>
      <c r="D205" s="2"/>
      <c r="E205" s="2"/>
      <c r="F205" s="2"/>
      <c r="G205" s="2"/>
      <c r="H205" s="2"/>
      <c r="I205" s="2"/>
      <c r="K205" s="2"/>
      <c r="L205" s="2"/>
      <c r="M205" s="2"/>
    </row>
    <row r="206" spans="1:225" x14ac:dyDescent="0.35">
      <c r="A206" s="2"/>
      <c r="B206" s="2"/>
      <c r="C206" s="2"/>
      <c r="D206" s="2"/>
      <c r="E206" s="2"/>
      <c r="F206" s="2"/>
      <c r="G206" s="2"/>
      <c r="H206" s="2"/>
      <c r="I206" s="2"/>
      <c r="K206" s="2"/>
      <c r="L206" s="2"/>
      <c r="M206" s="2"/>
    </row>
    <row r="207" spans="1:225" x14ac:dyDescent="0.35">
      <c r="A207" s="2"/>
      <c r="B207" s="2"/>
      <c r="C207" s="2"/>
      <c r="D207" s="2"/>
      <c r="E207" s="2"/>
      <c r="F207" s="2"/>
      <c r="G207" s="2"/>
      <c r="H207" s="2"/>
      <c r="I207" s="2"/>
      <c r="K207" s="2"/>
      <c r="L207" s="2"/>
      <c r="M207" s="2"/>
    </row>
    <row r="208" spans="1:225" x14ac:dyDescent="0.35">
      <c r="A208" s="2"/>
      <c r="B208" s="2"/>
      <c r="C208" s="2"/>
      <c r="D208" s="2"/>
      <c r="E208" s="2"/>
      <c r="F208" s="2"/>
      <c r="G208" s="2"/>
      <c r="H208" s="2"/>
      <c r="I208" s="2"/>
      <c r="K208" s="2"/>
      <c r="L208" s="2"/>
      <c r="M208" s="2"/>
    </row>
    <row r="209" spans="1:13" x14ac:dyDescent="0.35">
      <c r="A209" s="2"/>
      <c r="B209" s="2"/>
      <c r="C209" s="2"/>
      <c r="D209" s="2"/>
      <c r="E209" s="2"/>
      <c r="F209" s="2"/>
      <c r="G209" s="2"/>
      <c r="H209" s="2"/>
      <c r="I209" s="2"/>
      <c r="K209" s="2"/>
      <c r="L209" s="2"/>
      <c r="M209" s="2"/>
    </row>
    <row r="210" spans="1:13" x14ac:dyDescent="0.35">
      <c r="A210" s="2"/>
      <c r="B210" s="2"/>
      <c r="C210" s="2"/>
      <c r="D210" s="2"/>
      <c r="E210" s="2"/>
      <c r="F210" s="2"/>
      <c r="G210" s="2"/>
      <c r="H210" s="2"/>
      <c r="I210" s="2"/>
      <c r="K210" s="2"/>
      <c r="L210" s="2"/>
      <c r="M210" s="2"/>
    </row>
    <row r="211" spans="1:13" x14ac:dyDescent="0.35">
      <c r="A211" s="2"/>
      <c r="B211" s="2"/>
      <c r="C211" s="2"/>
      <c r="D211" s="2"/>
      <c r="E211" s="2"/>
      <c r="F211" s="2"/>
      <c r="G211" s="2"/>
      <c r="H211" s="2"/>
      <c r="I211" s="2"/>
      <c r="K211" s="2"/>
      <c r="L211" s="2"/>
      <c r="M211" s="2"/>
    </row>
    <row r="212" spans="1:13" x14ac:dyDescent="0.35">
      <c r="A212" s="2"/>
      <c r="B212" s="2"/>
      <c r="C212" s="2"/>
      <c r="D212" s="2"/>
      <c r="E212" s="2"/>
      <c r="F212" s="2"/>
      <c r="G212" s="2"/>
      <c r="H212" s="2"/>
      <c r="I212" s="2"/>
      <c r="K212" s="2"/>
      <c r="L212" s="2"/>
      <c r="M212" s="2"/>
    </row>
    <row r="213" spans="1:13" x14ac:dyDescent="0.35">
      <c r="A213" s="2"/>
      <c r="B213" s="2"/>
      <c r="C213" s="2"/>
      <c r="D213" s="2"/>
      <c r="E213" s="2"/>
      <c r="F213" s="2"/>
      <c r="G213" s="2"/>
      <c r="H213" s="2"/>
      <c r="I213" s="2"/>
      <c r="K213" s="2"/>
      <c r="L213" s="2"/>
      <c r="M213" s="2"/>
    </row>
    <row r="214" spans="1:13" x14ac:dyDescent="0.35">
      <c r="A214" s="2"/>
      <c r="B214" s="2"/>
      <c r="C214" s="2"/>
      <c r="D214" s="2"/>
      <c r="E214" s="2"/>
      <c r="F214" s="2"/>
      <c r="G214" s="2"/>
      <c r="H214" s="2"/>
      <c r="I214" s="2"/>
      <c r="K214" s="2"/>
      <c r="L214" s="2"/>
      <c r="M214" s="2"/>
    </row>
    <row r="215" spans="1:13" x14ac:dyDescent="0.35">
      <c r="A215" s="2"/>
      <c r="B215" s="2"/>
      <c r="C215" s="2"/>
      <c r="D215" s="2"/>
      <c r="E215" s="2"/>
      <c r="F215" s="2"/>
      <c r="G215" s="2"/>
      <c r="H215" s="2"/>
      <c r="I215" s="2"/>
      <c r="K215" s="2"/>
      <c r="L215" s="2"/>
      <c r="M215" s="2"/>
    </row>
    <row r="216" spans="1:13" x14ac:dyDescent="0.35">
      <c r="A216" s="2"/>
      <c r="B216" s="2"/>
      <c r="C216" s="2"/>
      <c r="D216" s="2"/>
      <c r="E216" s="2"/>
      <c r="F216" s="2"/>
      <c r="G216" s="2"/>
      <c r="H216" s="2"/>
      <c r="I216" s="2"/>
      <c r="K216" s="2"/>
      <c r="L216" s="2"/>
      <c r="M216" s="2"/>
    </row>
    <row r="217" spans="1:13" x14ac:dyDescent="0.35">
      <c r="A217" s="2"/>
      <c r="B217" s="2"/>
      <c r="C217" s="2"/>
      <c r="D217" s="2"/>
      <c r="E217" s="2"/>
      <c r="F217" s="2"/>
      <c r="G217" s="2"/>
      <c r="H217" s="2"/>
      <c r="I217" s="2"/>
      <c r="K217" s="2"/>
      <c r="L217" s="2"/>
      <c r="M217" s="2"/>
    </row>
    <row r="218" spans="1:13" x14ac:dyDescent="0.35">
      <c r="A218" s="2"/>
      <c r="B218" s="2"/>
      <c r="C218" s="2"/>
      <c r="D218" s="2"/>
      <c r="E218" s="2"/>
      <c r="F218" s="2"/>
      <c r="G218" s="2"/>
      <c r="H218" s="2"/>
      <c r="I218" s="2"/>
      <c r="K218" s="2"/>
      <c r="L218" s="2"/>
      <c r="M218" s="2"/>
    </row>
    <row r="219" spans="1:13" x14ac:dyDescent="0.35">
      <c r="A219" s="2"/>
      <c r="B219" s="2"/>
      <c r="C219" s="2"/>
      <c r="D219" s="2"/>
      <c r="E219" s="2"/>
      <c r="F219" s="2"/>
      <c r="G219" s="2"/>
      <c r="H219" s="2"/>
      <c r="I219" s="2"/>
      <c r="K219" s="2"/>
      <c r="L219" s="2"/>
      <c r="M219" s="2"/>
    </row>
    <row r="220" spans="1:13" x14ac:dyDescent="0.35">
      <c r="A220" s="2"/>
      <c r="B220" s="2"/>
      <c r="C220" s="2"/>
      <c r="D220" s="2"/>
      <c r="E220" s="2"/>
      <c r="F220" s="2"/>
      <c r="G220" s="2"/>
      <c r="H220" s="2"/>
      <c r="I220" s="2"/>
      <c r="K220" s="2"/>
      <c r="L220" s="2"/>
      <c r="M220" s="2"/>
    </row>
    <row r="221" spans="1:13" x14ac:dyDescent="0.35">
      <c r="A221" s="2"/>
      <c r="B221" s="2"/>
      <c r="C221" s="2"/>
      <c r="D221" s="2"/>
      <c r="E221" s="2"/>
      <c r="F221" s="2"/>
      <c r="G221" s="2"/>
      <c r="H221" s="2"/>
      <c r="I221" s="2"/>
      <c r="K221" s="2"/>
      <c r="L221" s="2"/>
      <c r="M221" s="2"/>
    </row>
    <row r="222" spans="1:13" x14ac:dyDescent="0.35">
      <c r="A222" s="2"/>
      <c r="B222" s="2"/>
      <c r="C222" s="2"/>
      <c r="D222" s="2"/>
      <c r="E222" s="2"/>
      <c r="F222" s="2"/>
      <c r="G222" s="2"/>
      <c r="H222" s="2"/>
      <c r="I222" s="2"/>
      <c r="K222" s="2"/>
      <c r="L222" s="2"/>
      <c r="M222" s="2"/>
    </row>
    <row r="223" spans="1:13" x14ac:dyDescent="0.35">
      <c r="A223" s="2"/>
      <c r="B223" s="2"/>
      <c r="C223" s="2"/>
      <c r="D223" s="2"/>
      <c r="E223" s="2"/>
      <c r="F223" s="2"/>
      <c r="G223" s="2"/>
      <c r="H223" s="2"/>
      <c r="I223" s="2"/>
      <c r="K223" s="2"/>
      <c r="L223" s="2"/>
      <c r="M223" s="2"/>
    </row>
    <row r="224" spans="1:13" x14ac:dyDescent="0.35">
      <c r="A224" s="2"/>
      <c r="B224" s="2"/>
      <c r="C224" s="2"/>
      <c r="D224" s="2"/>
      <c r="E224" s="2"/>
      <c r="F224" s="2"/>
      <c r="G224" s="2"/>
      <c r="H224" s="2"/>
      <c r="I224" s="2"/>
      <c r="K224" s="2"/>
      <c r="L224" s="2"/>
      <c r="M224" s="2"/>
    </row>
    <row r="225" spans="1:13" x14ac:dyDescent="0.35">
      <c r="A225" s="2"/>
      <c r="B225" s="2"/>
      <c r="C225" s="2"/>
      <c r="D225" s="2"/>
      <c r="E225" s="2"/>
      <c r="F225" s="2"/>
      <c r="G225" s="2"/>
      <c r="H225" s="2"/>
      <c r="I225" s="2"/>
      <c r="K225" s="2"/>
      <c r="L225" s="2"/>
      <c r="M225" s="2"/>
    </row>
    <row r="226" spans="1:13" x14ac:dyDescent="0.35">
      <c r="A226" s="2"/>
      <c r="B226" s="2"/>
      <c r="C226" s="2"/>
      <c r="D226" s="2"/>
      <c r="E226" s="2"/>
      <c r="F226" s="2"/>
      <c r="G226" s="2"/>
      <c r="H226" s="2"/>
      <c r="I226" s="2"/>
      <c r="K226" s="2"/>
      <c r="L226" s="2"/>
      <c r="M226" s="2"/>
    </row>
    <row r="227" spans="1:13" x14ac:dyDescent="0.35">
      <c r="A227" s="2"/>
      <c r="B227" s="2"/>
      <c r="C227" s="2"/>
      <c r="D227" s="2"/>
      <c r="E227" s="2"/>
      <c r="F227" s="2"/>
      <c r="G227" s="2"/>
      <c r="H227" s="2"/>
      <c r="I227" s="2"/>
      <c r="K227" s="2"/>
      <c r="L227" s="2"/>
      <c r="M227" s="2"/>
    </row>
    <row r="228" spans="1:13" x14ac:dyDescent="0.35">
      <c r="A228" s="2"/>
      <c r="B228" s="2"/>
      <c r="C228" s="2"/>
      <c r="D228" s="2"/>
      <c r="E228" s="2"/>
      <c r="F228" s="2"/>
      <c r="G228" s="2"/>
      <c r="H228" s="2"/>
      <c r="I228" s="2"/>
      <c r="K228" s="2"/>
      <c r="L228" s="2"/>
      <c r="M228" s="2"/>
    </row>
    <row r="229" spans="1:13" x14ac:dyDescent="0.35">
      <c r="A229" s="2"/>
      <c r="B229" s="2"/>
      <c r="C229" s="2"/>
      <c r="D229" s="2"/>
      <c r="E229" s="2"/>
      <c r="F229" s="2"/>
      <c r="G229" s="2"/>
      <c r="H229" s="2"/>
      <c r="I229" s="2"/>
      <c r="K229" s="2"/>
      <c r="L229" s="2"/>
      <c r="M229" s="2"/>
    </row>
    <row r="230" spans="1:13" x14ac:dyDescent="0.35">
      <c r="A230" s="2"/>
      <c r="B230" s="2"/>
      <c r="C230" s="2"/>
      <c r="D230" s="2"/>
      <c r="E230" s="2"/>
      <c r="F230" s="2"/>
      <c r="G230" s="2"/>
      <c r="H230" s="2"/>
      <c r="I230" s="2"/>
      <c r="K230" s="2"/>
      <c r="L230" s="2"/>
      <c r="M230" s="2"/>
    </row>
    <row r="231" spans="1:13" x14ac:dyDescent="0.35">
      <c r="A231" s="2"/>
      <c r="B231" s="2"/>
      <c r="C231" s="2"/>
      <c r="D231" s="2"/>
      <c r="E231" s="2"/>
      <c r="F231" s="2"/>
      <c r="G231" s="2"/>
      <c r="H231" s="2"/>
      <c r="I231" s="2"/>
      <c r="K231" s="2"/>
      <c r="L231" s="2"/>
      <c r="M231" s="2"/>
    </row>
    <row r="232" spans="1:13" x14ac:dyDescent="0.35">
      <c r="A232" s="2"/>
      <c r="B232" s="2"/>
      <c r="C232" s="2"/>
      <c r="D232" s="2"/>
      <c r="E232" s="2"/>
      <c r="F232" s="2"/>
      <c r="G232" s="2"/>
      <c r="H232" s="2"/>
      <c r="I232" s="2"/>
      <c r="K232" s="2"/>
      <c r="L232" s="2"/>
      <c r="M232" s="2"/>
    </row>
    <row r="233" spans="1:13" x14ac:dyDescent="0.35">
      <c r="A233" s="2"/>
      <c r="B233" s="2"/>
      <c r="C233" s="2"/>
      <c r="D233" s="2"/>
      <c r="E233" s="2"/>
      <c r="F233" s="2"/>
      <c r="G233" s="2"/>
      <c r="H233" s="2"/>
      <c r="I233" s="2"/>
      <c r="K233" s="2"/>
      <c r="L233" s="2"/>
      <c r="M233" s="2"/>
    </row>
    <row r="234" spans="1:13" x14ac:dyDescent="0.35">
      <c r="A234" s="2"/>
      <c r="B234" s="2"/>
      <c r="C234" s="2"/>
      <c r="D234" s="2"/>
      <c r="E234" s="2"/>
      <c r="F234" s="2"/>
      <c r="G234" s="2"/>
      <c r="H234" s="2"/>
      <c r="I234" s="2"/>
      <c r="K234" s="2"/>
      <c r="L234" s="2"/>
      <c r="M234" s="2"/>
    </row>
    <row r="235" spans="1:13" x14ac:dyDescent="0.35">
      <c r="A235" s="2"/>
      <c r="B235" s="2"/>
      <c r="C235" s="2"/>
      <c r="D235" s="2"/>
      <c r="E235" s="2"/>
      <c r="F235" s="2"/>
      <c r="G235" s="2"/>
      <c r="H235" s="2"/>
      <c r="I235" s="2"/>
      <c r="K235" s="2"/>
      <c r="L235" s="2"/>
      <c r="M235" s="2"/>
    </row>
    <row r="236" spans="1:13" x14ac:dyDescent="0.35">
      <c r="A236" s="2"/>
      <c r="B236" s="2"/>
      <c r="C236" s="2"/>
      <c r="D236" s="2"/>
      <c r="E236" s="2"/>
      <c r="F236" s="2"/>
      <c r="G236" s="2"/>
      <c r="H236" s="2"/>
      <c r="I236" s="2"/>
      <c r="K236" s="2"/>
      <c r="L236" s="2"/>
      <c r="M236" s="2"/>
    </row>
    <row r="237" spans="1:13" x14ac:dyDescent="0.35">
      <c r="A237" s="2"/>
      <c r="B237" s="2"/>
      <c r="C237" s="2"/>
      <c r="D237" s="2"/>
      <c r="E237" s="2"/>
      <c r="F237" s="2"/>
      <c r="G237" s="2"/>
      <c r="H237" s="2"/>
      <c r="I237" s="2"/>
      <c r="K237" s="2"/>
      <c r="L237" s="2"/>
      <c r="M237" s="2"/>
    </row>
    <row r="238" spans="1:13" x14ac:dyDescent="0.35">
      <c r="A238" s="2"/>
      <c r="B238" s="2"/>
      <c r="C238" s="2"/>
      <c r="D238" s="2"/>
      <c r="E238" s="2"/>
      <c r="F238" s="2"/>
      <c r="G238" s="2"/>
      <c r="H238" s="2"/>
      <c r="I238" s="2"/>
      <c r="K238" s="2"/>
      <c r="L238" s="2"/>
      <c r="M238" s="2"/>
    </row>
    <row r="239" spans="1:13" x14ac:dyDescent="0.35">
      <c r="A239" s="2"/>
      <c r="B239" s="2"/>
      <c r="C239" s="2"/>
      <c r="D239" s="2"/>
      <c r="E239" s="2"/>
      <c r="F239" s="2"/>
      <c r="G239" s="2"/>
      <c r="H239" s="2"/>
      <c r="I239" s="2"/>
      <c r="K239" s="2"/>
      <c r="L239" s="2"/>
      <c r="M239" s="2"/>
    </row>
    <row r="240" spans="1:13" x14ac:dyDescent="0.35">
      <c r="A240" s="2"/>
      <c r="B240" s="2"/>
      <c r="C240" s="2"/>
      <c r="D240" s="2"/>
      <c r="E240" s="2"/>
      <c r="F240" s="2"/>
      <c r="G240" s="2"/>
      <c r="H240" s="2"/>
      <c r="I240" s="2"/>
      <c r="K240" s="2"/>
      <c r="L240" s="2"/>
      <c r="M240" s="2"/>
    </row>
    <row r="241" spans="1:13" x14ac:dyDescent="0.35">
      <c r="A241" s="2"/>
      <c r="B241" s="2"/>
      <c r="C241" s="2"/>
      <c r="D241" s="2"/>
      <c r="E241" s="2"/>
      <c r="F241" s="2"/>
      <c r="G241" s="2"/>
      <c r="H241" s="2"/>
      <c r="I241" s="2"/>
      <c r="K241" s="2"/>
      <c r="L241" s="2"/>
      <c r="M241" s="2"/>
    </row>
    <row r="242" spans="1:13" x14ac:dyDescent="0.35">
      <c r="A242" s="2"/>
      <c r="B242" s="2"/>
      <c r="C242" s="2"/>
      <c r="D242" s="2"/>
      <c r="E242" s="2"/>
      <c r="F242" s="2"/>
      <c r="G242" s="2"/>
      <c r="H242" s="2"/>
      <c r="I242" s="2"/>
      <c r="K242" s="2"/>
      <c r="L242" s="2"/>
      <c r="M242" s="2"/>
    </row>
    <row r="243" spans="1:13" x14ac:dyDescent="0.35">
      <c r="A243" s="2"/>
      <c r="B243" s="2"/>
      <c r="C243" s="2"/>
      <c r="D243" s="2"/>
      <c r="E243" s="2"/>
      <c r="F243" s="2"/>
      <c r="G243" s="2"/>
      <c r="H243" s="2"/>
      <c r="I243" s="2"/>
      <c r="K243" s="2"/>
      <c r="L243" s="2"/>
      <c r="M243" s="2"/>
    </row>
    <row r="244" spans="1:13" x14ac:dyDescent="0.35">
      <c r="A244" s="2"/>
      <c r="B244" s="2"/>
      <c r="C244" s="2"/>
      <c r="D244" s="2"/>
      <c r="E244" s="2"/>
      <c r="F244" s="2"/>
      <c r="G244" s="2"/>
      <c r="H244" s="2"/>
      <c r="I244" s="2"/>
      <c r="K244" s="2"/>
      <c r="L244" s="2"/>
      <c r="M244" s="2"/>
    </row>
    <row r="245" spans="1:13" x14ac:dyDescent="0.35">
      <c r="A245" s="2"/>
      <c r="B245" s="2"/>
      <c r="C245" s="2"/>
      <c r="D245" s="2"/>
      <c r="E245" s="2"/>
      <c r="F245" s="2"/>
      <c r="G245" s="2"/>
      <c r="H245" s="2"/>
      <c r="I245" s="2"/>
      <c r="K245" s="2"/>
      <c r="L245" s="2"/>
      <c r="M245" s="2"/>
    </row>
    <row r="246" spans="1:13" x14ac:dyDescent="0.35">
      <c r="A246" s="2"/>
      <c r="B246" s="2"/>
      <c r="C246" s="2"/>
      <c r="D246" s="2"/>
      <c r="E246" s="2"/>
      <c r="F246" s="2"/>
      <c r="G246" s="2"/>
      <c r="H246" s="2"/>
      <c r="I246" s="2"/>
      <c r="K246" s="2"/>
      <c r="L246" s="2"/>
      <c r="M246" s="2"/>
    </row>
    <row r="247" spans="1:13" x14ac:dyDescent="0.35">
      <c r="A247" s="2"/>
      <c r="B247" s="2"/>
      <c r="C247" s="2"/>
      <c r="D247" s="2"/>
      <c r="E247" s="2"/>
      <c r="F247" s="2"/>
      <c r="G247" s="2"/>
      <c r="H247" s="2"/>
      <c r="I247" s="2"/>
      <c r="K247" s="2"/>
      <c r="L247" s="2"/>
      <c r="M247" s="2"/>
    </row>
    <row r="248" spans="1:13" x14ac:dyDescent="0.35">
      <c r="A248" s="2"/>
      <c r="B248" s="2"/>
      <c r="C248" s="2"/>
      <c r="D248" s="2"/>
      <c r="E248" s="2"/>
      <c r="F248" s="2"/>
      <c r="G248" s="2"/>
      <c r="H248" s="2"/>
      <c r="I248" s="2"/>
      <c r="K248" s="2"/>
      <c r="L248" s="2"/>
      <c r="M248" s="2"/>
    </row>
    <row r="249" spans="1:13" x14ac:dyDescent="0.35">
      <c r="A249" s="2"/>
      <c r="B249" s="2"/>
      <c r="C249" s="2"/>
      <c r="D249" s="2"/>
      <c r="E249" s="2"/>
      <c r="F249" s="2"/>
      <c r="G249" s="2"/>
      <c r="H249" s="2"/>
      <c r="I249" s="2"/>
      <c r="K249" s="2"/>
      <c r="L249" s="2"/>
      <c r="M249" s="2"/>
    </row>
    <row r="250" spans="1:13" x14ac:dyDescent="0.35">
      <c r="A250" s="2"/>
      <c r="B250" s="2"/>
      <c r="C250" s="2"/>
      <c r="D250" s="2"/>
      <c r="E250" s="2"/>
      <c r="F250" s="2"/>
      <c r="G250" s="2"/>
      <c r="H250" s="2"/>
      <c r="I250" s="2"/>
      <c r="K250" s="2"/>
      <c r="L250" s="2"/>
      <c r="M250" s="2"/>
    </row>
    <row r="251" spans="1:13" x14ac:dyDescent="0.35">
      <c r="A251" s="2"/>
      <c r="B251" s="2"/>
      <c r="C251" s="2"/>
      <c r="D251" s="2"/>
      <c r="E251" s="2"/>
      <c r="F251" s="2"/>
      <c r="G251" s="2"/>
      <c r="H251" s="2"/>
      <c r="I251" s="2"/>
      <c r="K251" s="2"/>
      <c r="L251" s="2"/>
      <c r="M251" s="2"/>
    </row>
    <row r="252" spans="1:13" x14ac:dyDescent="0.35">
      <c r="A252" s="2"/>
      <c r="B252" s="2"/>
      <c r="C252" s="2"/>
      <c r="D252" s="2"/>
      <c r="E252" s="2"/>
      <c r="F252" s="2"/>
      <c r="G252" s="2"/>
      <c r="H252" s="2"/>
      <c r="I252" s="2"/>
      <c r="K252" s="2"/>
      <c r="L252" s="2"/>
      <c r="M252" s="2"/>
    </row>
    <row r="253" spans="1:13" x14ac:dyDescent="0.35">
      <c r="A253" s="2"/>
      <c r="B253" s="2"/>
      <c r="C253" s="2"/>
      <c r="D253" s="2"/>
      <c r="E253" s="2"/>
      <c r="F253" s="2"/>
      <c r="G253" s="2"/>
      <c r="H253" s="2"/>
      <c r="I253" s="2"/>
      <c r="K253" s="2"/>
      <c r="L253" s="2"/>
      <c r="M253" s="2"/>
    </row>
    <row r="254" spans="1:13" x14ac:dyDescent="0.35">
      <c r="A254" s="2"/>
      <c r="B254" s="2"/>
      <c r="C254" s="2"/>
      <c r="D254" s="2"/>
      <c r="E254" s="2"/>
      <c r="F254" s="2"/>
      <c r="G254" s="2"/>
      <c r="H254" s="2"/>
      <c r="I254" s="2"/>
      <c r="K254" s="2"/>
      <c r="L254" s="2"/>
      <c r="M254" s="2"/>
    </row>
    <row r="255" spans="1:13" x14ac:dyDescent="0.35">
      <c r="A255" s="2"/>
      <c r="B255" s="2"/>
      <c r="C255" s="2"/>
      <c r="D255" s="2"/>
      <c r="E255" s="2"/>
      <c r="F255" s="2"/>
      <c r="G255" s="2"/>
      <c r="H255" s="2"/>
      <c r="I255" s="2"/>
      <c r="K255" s="2"/>
      <c r="L255" s="2"/>
      <c r="M255" s="2"/>
    </row>
    <row r="256" spans="1:13" x14ac:dyDescent="0.35">
      <c r="A256" s="2"/>
      <c r="B256" s="2"/>
      <c r="C256" s="2"/>
      <c r="D256" s="2"/>
      <c r="E256" s="2"/>
      <c r="F256" s="2"/>
      <c r="G256" s="2"/>
      <c r="H256" s="2"/>
      <c r="I256" s="2"/>
      <c r="K256" s="2"/>
      <c r="L256" s="2"/>
      <c r="M256" s="2"/>
    </row>
    <row r="257" spans="1:13" x14ac:dyDescent="0.35">
      <c r="A257" s="2"/>
      <c r="B257" s="2"/>
      <c r="C257" s="2"/>
      <c r="D257" s="2"/>
      <c r="E257" s="2"/>
      <c r="F257" s="2"/>
      <c r="G257" s="2"/>
      <c r="H257" s="2"/>
      <c r="I257" s="2"/>
      <c r="K257" s="2"/>
      <c r="L257" s="2"/>
      <c r="M257" s="2"/>
    </row>
    <row r="258" spans="1:13" x14ac:dyDescent="0.35">
      <c r="A258" s="2"/>
      <c r="B258" s="2"/>
      <c r="C258" s="2"/>
      <c r="D258" s="2"/>
      <c r="E258" s="2"/>
      <c r="F258" s="2"/>
      <c r="G258" s="2"/>
      <c r="H258" s="2"/>
      <c r="I258" s="2"/>
      <c r="K258" s="2"/>
      <c r="L258" s="2"/>
      <c r="M258" s="2"/>
    </row>
    <row r="259" spans="1:13" x14ac:dyDescent="0.35">
      <c r="A259" s="2"/>
      <c r="B259" s="2"/>
      <c r="C259" s="2"/>
      <c r="D259" s="2"/>
      <c r="E259" s="2"/>
      <c r="F259" s="2"/>
      <c r="G259" s="2"/>
      <c r="H259" s="2"/>
      <c r="I259" s="2"/>
      <c r="K259" s="2"/>
      <c r="L259" s="2"/>
      <c r="M259" s="2"/>
    </row>
    <row r="260" spans="1:13" x14ac:dyDescent="0.35">
      <c r="A260" s="2"/>
      <c r="B260" s="2"/>
      <c r="C260" s="2"/>
      <c r="D260" s="2"/>
      <c r="E260" s="2"/>
      <c r="F260" s="2"/>
      <c r="G260" s="2"/>
      <c r="H260" s="2"/>
      <c r="I260" s="2"/>
      <c r="K260" s="2"/>
      <c r="L260" s="2"/>
      <c r="M260" s="2"/>
    </row>
    <row r="261" spans="1:13" x14ac:dyDescent="0.35">
      <c r="A261" s="2"/>
      <c r="B261" s="2"/>
      <c r="C261" s="2"/>
      <c r="D261" s="2"/>
      <c r="E261" s="2"/>
      <c r="F261" s="2"/>
      <c r="G261" s="2"/>
      <c r="H261" s="2"/>
      <c r="I261" s="2"/>
      <c r="K261" s="2"/>
      <c r="L261" s="2"/>
      <c r="M261" s="2"/>
    </row>
    <row r="262" spans="1:13" x14ac:dyDescent="0.35">
      <c r="A262" s="2"/>
      <c r="B262" s="2"/>
      <c r="C262" s="2"/>
      <c r="D262" s="2"/>
      <c r="E262" s="2"/>
      <c r="F262" s="2"/>
      <c r="G262" s="2"/>
      <c r="H262" s="2"/>
      <c r="I262" s="2"/>
      <c r="K262" s="2"/>
      <c r="L262" s="2"/>
      <c r="M262" s="2"/>
    </row>
    <row r="263" spans="1:13" x14ac:dyDescent="0.35">
      <c r="A263" s="2"/>
      <c r="B263" s="2"/>
      <c r="C263" s="2"/>
      <c r="D263" s="2"/>
      <c r="E263" s="2"/>
      <c r="F263" s="2"/>
      <c r="G263" s="2"/>
      <c r="H263" s="2"/>
      <c r="I263" s="2"/>
      <c r="K263" s="2"/>
      <c r="L263" s="2"/>
      <c r="M263" s="2"/>
    </row>
    <row r="264" spans="1:13" x14ac:dyDescent="0.35">
      <c r="A264" s="2"/>
      <c r="B264" s="2"/>
      <c r="C264" s="2"/>
      <c r="D264" s="2"/>
      <c r="E264" s="2"/>
      <c r="F264" s="2"/>
      <c r="G264" s="2"/>
      <c r="H264" s="2"/>
      <c r="I264" s="2"/>
      <c r="K264" s="2"/>
      <c r="L264" s="2"/>
      <c r="M264" s="2"/>
    </row>
    <row r="265" spans="1:13" x14ac:dyDescent="0.35">
      <c r="A265" s="2"/>
      <c r="B265" s="2"/>
      <c r="C265" s="2"/>
      <c r="D265" s="2"/>
      <c r="E265" s="2"/>
      <c r="F265" s="2"/>
      <c r="G265" s="2"/>
      <c r="H265" s="2"/>
      <c r="I265" s="2"/>
      <c r="K265" s="2"/>
      <c r="L265" s="2"/>
      <c r="M265" s="2"/>
    </row>
    <row r="266" spans="1:13" x14ac:dyDescent="0.35">
      <c r="A266" s="2"/>
      <c r="B266" s="2"/>
      <c r="C266" s="2"/>
      <c r="D266" s="2"/>
      <c r="E266" s="2"/>
      <c r="F266" s="2"/>
      <c r="G266" s="2"/>
      <c r="H266" s="2"/>
      <c r="I266" s="2"/>
      <c r="K266" s="2"/>
      <c r="L266" s="2"/>
      <c r="M266" s="2"/>
    </row>
    <row r="267" spans="1:13" x14ac:dyDescent="0.35">
      <c r="A267" s="2"/>
      <c r="B267" s="2"/>
      <c r="C267" s="2"/>
      <c r="D267" s="2"/>
      <c r="E267" s="2"/>
      <c r="F267" s="2"/>
      <c r="G267" s="2"/>
      <c r="H267" s="2"/>
      <c r="I267" s="2"/>
      <c r="K267" s="2"/>
      <c r="L267" s="2"/>
      <c r="M267" s="2"/>
    </row>
    <row r="268" spans="1:13" x14ac:dyDescent="0.35">
      <c r="A268" s="2"/>
      <c r="B268" s="2"/>
      <c r="C268" s="2"/>
      <c r="D268" s="2"/>
      <c r="E268" s="2"/>
      <c r="F268" s="2"/>
      <c r="G268" s="2"/>
      <c r="H268" s="2"/>
      <c r="I268" s="2"/>
      <c r="K268" s="2"/>
      <c r="L268" s="2"/>
      <c r="M268" s="2"/>
    </row>
    <row r="269" spans="1:13" x14ac:dyDescent="0.35">
      <c r="A269" s="2"/>
      <c r="B269" s="2"/>
      <c r="C269" s="2"/>
      <c r="D269" s="2"/>
      <c r="E269" s="2"/>
      <c r="F269" s="2"/>
      <c r="G269" s="2"/>
      <c r="H269" s="2"/>
      <c r="I269" s="2"/>
      <c r="K269" s="2"/>
      <c r="L269" s="2"/>
      <c r="M269" s="2"/>
    </row>
    <row r="270" spans="1:13" x14ac:dyDescent="0.35">
      <c r="A270" s="2"/>
      <c r="B270" s="2"/>
      <c r="C270" s="2"/>
      <c r="D270" s="2"/>
      <c r="E270" s="2"/>
      <c r="F270" s="2"/>
      <c r="G270" s="2"/>
      <c r="H270" s="2"/>
      <c r="I270" s="2"/>
      <c r="K270" s="2"/>
      <c r="L270" s="2"/>
      <c r="M270" s="2"/>
    </row>
    <row r="271" spans="1:13" x14ac:dyDescent="0.35">
      <c r="A271" s="2"/>
      <c r="B271" s="2"/>
      <c r="C271" s="2"/>
      <c r="D271" s="2"/>
      <c r="E271" s="2"/>
      <c r="F271" s="2"/>
      <c r="G271" s="2"/>
      <c r="H271" s="2"/>
      <c r="I271" s="2"/>
      <c r="K271" s="2"/>
      <c r="L271" s="2"/>
      <c r="M271" s="2"/>
    </row>
    <row r="272" spans="1:13" x14ac:dyDescent="0.35">
      <c r="A272" s="2"/>
      <c r="B272" s="2"/>
      <c r="C272" s="2"/>
      <c r="D272" s="2"/>
      <c r="E272" s="2"/>
      <c r="F272" s="2"/>
      <c r="G272" s="2"/>
      <c r="H272" s="2"/>
      <c r="I272" s="2"/>
      <c r="K272" s="2"/>
      <c r="L272" s="2"/>
      <c r="M272" s="2"/>
    </row>
    <row r="273" spans="1:13" x14ac:dyDescent="0.35">
      <c r="A273" s="2"/>
      <c r="B273" s="2"/>
      <c r="C273" s="2"/>
      <c r="D273" s="2"/>
      <c r="E273" s="2"/>
      <c r="F273" s="2"/>
      <c r="G273" s="2"/>
      <c r="H273" s="2"/>
      <c r="I273" s="2"/>
      <c r="K273" s="2"/>
      <c r="L273" s="2"/>
      <c r="M273" s="2"/>
    </row>
    <row r="274" spans="1:13" x14ac:dyDescent="0.35">
      <c r="A274" s="2"/>
      <c r="B274" s="2"/>
      <c r="C274" s="2"/>
      <c r="D274" s="2"/>
      <c r="E274" s="2"/>
      <c r="F274" s="2"/>
      <c r="G274" s="2"/>
      <c r="H274" s="2"/>
      <c r="I274" s="2"/>
      <c r="K274" s="2"/>
      <c r="L274" s="2"/>
      <c r="M274" s="2"/>
    </row>
  </sheetData>
  <printOptions horizontalCentered="1"/>
  <pageMargins left="0" right="0.15" top="0.63" bottom="0.36" header="0.22" footer="0.17"/>
  <pageSetup scale="64" orientation="landscape" horizontalDpi="4294967295" verticalDpi="4294967295" r:id="rId1"/>
  <headerFooter alignWithMargins="0">
    <oddHeader xml:space="preserve">&amp;L&amp;"Times New Roman,Bold"&amp;12REVISED AS OF &amp;D&amp;C&amp;"Times New Roman,Bold"UNIVERSITY of SOUTHERN CALIFORNIA
Statement of Activities
USC, Norris, REDC,  USC Care, AMI-USC, ICT Productions and APF
Restated for Publication &amp;R
</oddHeader>
    <oddFooter>&amp;Cpage &amp;P+1&amp;R&amp;Z&amp;F\&amp;A : &amp;D</oddFooter>
  </headerFooter>
  <colBreaks count="1" manualBreakCount="1">
    <brk id="6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Q274"/>
  <sheetViews>
    <sheetView showZeros="0" topLeftCell="A8" zoomScaleNormal="100" workbookViewId="0">
      <pane xSplit="1" ySplit="6" topLeftCell="B14" activePane="bottomRight" state="frozen"/>
      <selection activeCell="A8" sqref="A8"/>
      <selection pane="topRight" activeCell="B8" sqref="B8"/>
      <selection pane="bottomLeft" activeCell="A14" sqref="A14"/>
      <selection pane="bottomRight" activeCell="M8" sqref="M1:M1048576"/>
    </sheetView>
  </sheetViews>
  <sheetFormatPr defaultColWidth="8" defaultRowHeight="10.35" x14ac:dyDescent="0.35"/>
  <cols>
    <col min="1" max="1" width="35.87890625" style="1" customWidth="1"/>
    <col min="2" max="3" width="15.29296875" style="1" customWidth="1"/>
    <col min="4" max="4" width="16.29296875" style="1" bestFit="1" customWidth="1"/>
    <col min="5" max="5" width="15.29296875" style="1" customWidth="1"/>
    <col min="6" max="7" width="16.29296875" style="1" bestFit="1" customWidth="1"/>
    <col min="8" max="8" width="15.29296875" style="1" customWidth="1"/>
    <col min="9" max="9" width="16.29296875" style="1" bestFit="1" customWidth="1"/>
    <col min="10" max="10" width="2.41015625" style="2" customWidth="1"/>
    <col min="11" max="12" width="16.29296875" style="1" bestFit="1" customWidth="1"/>
    <col min="13" max="13" width="16.1171875" style="1" customWidth="1"/>
    <col min="14" max="16384" width="8" style="1"/>
  </cols>
  <sheetData>
    <row r="1" spans="1:13" x14ac:dyDescent="0.35">
      <c r="A1" s="2"/>
    </row>
    <row r="3" spans="1:13" x14ac:dyDescent="0.35">
      <c r="M3" s="2"/>
    </row>
    <row r="4" spans="1:13" x14ac:dyDescent="0.35">
      <c r="M4" s="2"/>
    </row>
    <row r="5" spans="1:13" x14ac:dyDescent="0.35">
      <c r="B5" s="2"/>
      <c r="I5" s="82"/>
      <c r="J5" s="81"/>
      <c r="K5" s="81"/>
      <c r="L5" s="81"/>
      <c r="M5" s="68" t="s">
        <v>87</v>
      </c>
    </row>
    <row r="6" spans="1:13" ht="9.75" customHeight="1" thickBot="1" x14ac:dyDescent="0.4">
      <c r="A6" s="2"/>
      <c r="B6" s="2"/>
      <c r="C6" s="70"/>
      <c r="D6" s="70"/>
      <c r="E6" s="71"/>
      <c r="F6" s="70"/>
      <c r="G6" s="70"/>
      <c r="H6" s="71"/>
      <c r="I6" s="80"/>
      <c r="J6" s="80"/>
      <c r="K6" s="80"/>
      <c r="L6" s="80"/>
      <c r="M6" s="79" t="s">
        <v>119</v>
      </c>
    </row>
    <row r="7" spans="1:13" ht="9.75" customHeight="1" x14ac:dyDescent="0.35">
      <c r="A7" s="2"/>
      <c r="B7" s="78"/>
      <c r="C7" s="70"/>
      <c r="D7" s="70"/>
      <c r="E7" s="71"/>
      <c r="F7" s="70"/>
      <c r="G7" s="70"/>
      <c r="H7" s="71"/>
      <c r="I7" s="63"/>
      <c r="J7" s="63"/>
      <c r="K7" s="63"/>
      <c r="L7" s="63"/>
      <c r="M7" s="77"/>
    </row>
    <row r="8" spans="1:13" ht="9.75" customHeight="1" x14ac:dyDescent="0.35">
      <c r="A8" s="2"/>
      <c r="B8" s="78" t="s">
        <v>73</v>
      </c>
      <c r="C8" s="70"/>
      <c r="D8" s="70"/>
      <c r="E8" s="71"/>
      <c r="F8" s="70"/>
      <c r="G8" s="70"/>
      <c r="H8" s="71"/>
      <c r="I8" s="63"/>
      <c r="J8" s="63"/>
      <c r="K8" s="63"/>
      <c r="L8" s="63"/>
      <c r="M8" s="77"/>
    </row>
    <row r="9" spans="1:13" ht="9.75" customHeight="1" x14ac:dyDescent="0.35">
      <c r="A9" s="2"/>
      <c r="B9" s="76" t="s">
        <v>62</v>
      </c>
      <c r="C9" s="70"/>
      <c r="D9" s="70"/>
      <c r="E9" s="71"/>
      <c r="F9" s="70"/>
      <c r="G9" s="70"/>
      <c r="H9" s="71"/>
      <c r="I9" s="63"/>
      <c r="J9" s="63"/>
      <c r="K9" s="63"/>
      <c r="L9" s="63"/>
      <c r="M9" s="63"/>
    </row>
    <row r="10" spans="1:13" ht="9.75" customHeight="1" x14ac:dyDescent="0.35">
      <c r="A10" s="2"/>
      <c r="B10" s="11"/>
      <c r="C10" s="11"/>
      <c r="D10" s="75" t="s">
        <v>85</v>
      </c>
      <c r="E10" s="74"/>
      <c r="F10" s="11"/>
      <c r="G10" s="11"/>
      <c r="H10" s="74"/>
      <c r="I10" s="73"/>
      <c r="J10" s="63"/>
      <c r="K10" s="63"/>
      <c r="L10" s="63"/>
      <c r="M10" s="63"/>
    </row>
    <row r="11" spans="1:13" ht="9.75" customHeight="1" x14ac:dyDescent="0.35">
      <c r="A11" s="2"/>
      <c r="B11" s="13"/>
      <c r="C11" s="13"/>
      <c r="D11" s="72" t="s">
        <v>84</v>
      </c>
      <c r="E11" s="67" t="s">
        <v>83</v>
      </c>
      <c r="F11" s="13"/>
      <c r="G11" s="2"/>
      <c r="H11" s="71"/>
      <c r="I11" s="68" t="s">
        <v>71</v>
      </c>
      <c r="J11" s="63"/>
      <c r="K11" s="68" t="s">
        <v>82</v>
      </c>
      <c r="L11" s="69" t="s">
        <v>81</v>
      </c>
      <c r="M11" s="63"/>
    </row>
    <row r="12" spans="1:13" ht="9.75" customHeight="1" x14ac:dyDescent="0.35">
      <c r="A12" s="2"/>
      <c r="B12" s="13" t="s">
        <v>79</v>
      </c>
      <c r="C12" s="13" t="s">
        <v>78</v>
      </c>
      <c r="D12" s="67" t="s">
        <v>77</v>
      </c>
      <c r="E12" s="67" t="s">
        <v>77</v>
      </c>
      <c r="F12" s="13" t="s">
        <v>76</v>
      </c>
      <c r="G12" s="13" t="s">
        <v>75</v>
      </c>
      <c r="H12" s="13" t="s">
        <v>74</v>
      </c>
      <c r="I12" s="69" t="s">
        <v>73</v>
      </c>
      <c r="J12" s="63"/>
      <c r="K12" s="68" t="s">
        <v>72</v>
      </c>
      <c r="L12" s="68" t="s">
        <v>72</v>
      </c>
      <c r="M12" s="68" t="s">
        <v>71</v>
      </c>
    </row>
    <row r="13" spans="1:13" ht="9.75" customHeight="1" x14ac:dyDescent="0.35">
      <c r="A13" s="2"/>
      <c r="B13" s="66" t="s">
        <v>69</v>
      </c>
      <c r="C13" s="66" t="s">
        <v>68</v>
      </c>
      <c r="D13" s="67" t="s">
        <v>67</v>
      </c>
      <c r="E13" s="66" t="s">
        <v>66</v>
      </c>
      <c r="F13" s="66" t="s">
        <v>65</v>
      </c>
      <c r="G13" s="66" t="s">
        <v>64</v>
      </c>
      <c r="H13" s="66" t="s">
        <v>63</v>
      </c>
      <c r="I13" s="65" t="s">
        <v>62</v>
      </c>
      <c r="J13" s="63"/>
      <c r="K13" s="65" t="s">
        <v>62</v>
      </c>
      <c r="L13" s="65" t="s">
        <v>62</v>
      </c>
      <c r="M13" s="65" t="s">
        <v>62</v>
      </c>
    </row>
    <row r="14" spans="1:13" ht="9.75" customHeight="1" x14ac:dyDescent="0.35">
      <c r="A14" s="33" t="s">
        <v>60</v>
      </c>
      <c r="D14" s="9"/>
      <c r="I14" s="64"/>
      <c r="J14" s="63"/>
      <c r="K14" s="62"/>
      <c r="L14" s="62"/>
      <c r="M14" s="62"/>
    </row>
    <row r="15" spans="1:13" ht="9.75" customHeight="1" x14ac:dyDescent="0.35">
      <c r="A15" s="6" t="s">
        <v>59</v>
      </c>
      <c r="B15" s="30">
        <f>ROUND('[10]Changes FY16'!B15,-3)</f>
        <v>1793219000</v>
      </c>
      <c r="C15" s="20">
        <f>ROUND('[10]Changes FY16'!C15,-3)</f>
        <v>0</v>
      </c>
      <c r="D15" s="20">
        <f>ROUND('[10]Changes FY16'!D15,-3)</f>
        <v>0</v>
      </c>
      <c r="E15" s="20">
        <f>ROUND('[10]Changes FY16'!E15,-3)</f>
        <v>0</v>
      </c>
      <c r="F15" s="20">
        <f>ROUND('[10]Changes FY16'!F15,-3)</f>
        <v>0</v>
      </c>
      <c r="G15" s="20">
        <f>ROUND('[10]Changes FY16'!G15,-3)</f>
        <v>0</v>
      </c>
      <c r="H15" s="20">
        <f>ROUND('[10]Changes FY16'!H15,-3)</f>
        <v>0</v>
      </c>
      <c r="I15" s="32">
        <f t="shared" ref="I15:I30" si="0">SUM(B15:H15)</f>
        <v>1793219000</v>
      </c>
      <c r="J15" s="28"/>
      <c r="K15" s="29">
        <f>ROUND('[10]Changes FY16'!K15,-3)</f>
        <v>0</v>
      </c>
      <c r="L15" s="29">
        <f>ROUND('[10]Changes FY16'!L15,-3)</f>
        <v>0</v>
      </c>
      <c r="M15" s="32">
        <f t="shared" ref="M15:M32" si="1">SUM(I15:L15)</f>
        <v>1793219000</v>
      </c>
    </row>
    <row r="16" spans="1:13" ht="9.75" customHeight="1" x14ac:dyDescent="0.35">
      <c r="A16" s="6" t="s">
        <v>58</v>
      </c>
      <c r="B16" s="134">
        <f>ROUND('[10]Changes FY16'!B16,-3)</f>
        <v>-483068000</v>
      </c>
      <c r="C16" s="20">
        <f>ROUND('[10]Changes FY16'!C16,-3)</f>
        <v>0</v>
      </c>
      <c r="D16" s="20">
        <f>ROUND('[10]Changes FY16'!D16,-3)</f>
        <v>0</v>
      </c>
      <c r="E16" s="20">
        <f>ROUND('[10]Changes FY16'!E16,-3)</f>
        <v>0</v>
      </c>
      <c r="F16" s="20">
        <f>ROUND('[10]Changes FY16'!F16,-3)</f>
        <v>0</v>
      </c>
      <c r="G16" s="20">
        <f>ROUND('[10]Changes FY16'!G16,-3)</f>
        <v>0</v>
      </c>
      <c r="H16" s="20">
        <f>ROUND('[10]Changes FY16'!H16,-3)</f>
        <v>0</v>
      </c>
      <c r="I16" s="28">
        <f t="shared" si="0"/>
        <v>-483068000</v>
      </c>
      <c r="J16" s="28"/>
      <c r="K16" s="29">
        <f>ROUND('[10]Changes FY16'!K16,-3)</f>
        <v>0</v>
      </c>
      <c r="L16" s="29">
        <f>ROUND('[10]Changes FY16'!L16,-3)</f>
        <v>0</v>
      </c>
      <c r="M16" s="28">
        <f t="shared" si="1"/>
        <v>-483068000</v>
      </c>
    </row>
    <row r="17" spans="1:13" ht="9.75" customHeight="1" x14ac:dyDescent="0.35">
      <c r="A17" s="61" t="s">
        <v>57</v>
      </c>
      <c r="B17" s="30">
        <f>ROUND('[10]Changes FY16'!B17,-3)</f>
        <v>1310151000</v>
      </c>
      <c r="C17" s="20">
        <f>ROUND('[10]Changes FY16'!C17,-3)</f>
        <v>0</v>
      </c>
      <c r="D17" s="20">
        <f>ROUND('[10]Changes FY16'!D17,-3)</f>
        <v>0</v>
      </c>
      <c r="E17" s="20">
        <f>ROUND('[10]Changes FY16'!E17,-3)</f>
        <v>0</v>
      </c>
      <c r="F17" s="20">
        <f>ROUND('[10]Changes FY16'!F17,-3)</f>
        <v>0</v>
      </c>
      <c r="G17" s="20">
        <f>ROUND('[10]Changes FY16'!G17,-3)</f>
        <v>0</v>
      </c>
      <c r="H17" s="20">
        <f>ROUND('[10]Changes FY16'!H17,-3)</f>
        <v>0</v>
      </c>
      <c r="I17" s="87">
        <f t="shared" si="0"/>
        <v>1310151000</v>
      </c>
      <c r="J17" s="88"/>
      <c r="K17" s="29">
        <f>ROUND('[10]Changes FY16'!K17,-3)</f>
        <v>0</v>
      </c>
      <c r="L17" s="29">
        <f>ROUND('[10]Changes FY16'!L17,-3)</f>
        <v>0</v>
      </c>
      <c r="M17" s="87">
        <f t="shared" si="1"/>
        <v>1310151000</v>
      </c>
    </row>
    <row r="18" spans="1:13" ht="9.75" customHeight="1" x14ac:dyDescent="0.35">
      <c r="A18" s="6" t="s">
        <v>56</v>
      </c>
      <c r="B18" s="20">
        <f>ROUND('[10]Changes FY16'!B18,-3)</f>
        <v>20512000</v>
      </c>
      <c r="C18" s="20">
        <f>ROUND('[10]Changes FY16'!C18,-3)</f>
        <v>0</v>
      </c>
      <c r="D18" s="30">
        <f>ROUND('[10]Changes FY16'!D18,-3)+1000</f>
        <v>8010000</v>
      </c>
      <c r="E18" s="20">
        <f>ROUND('[10]Changes FY16'!E18,-3)</f>
        <v>0</v>
      </c>
      <c r="F18" s="20">
        <f>ROUND('[10]Changes FY16'!F18,-3)</f>
        <v>0</v>
      </c>
      <c r="G18" s="20">
        <f>ROUND('[10]Changes FY16'!G18,-3)</f>
        <v>0</v>
      </c>
      <c r="H18" s="20">
        <f>ROUND('[10]Changes FY16'!H18,-3)</f>
        <v>0</v>
      </c>
      <c r="I18" s="28">
        <f t="shared" si="0"/>
        <v>28522000</v>
      </c>
      <c r="J18" s="28"/>
      <c r="K18" s="29">
        <f>ROUND('[10]Changes FY16'!K18,-3)</f>
        <v>0</v>
      </c>
      <c r="L18" s="31">
        <f>ROUND('[10]Changes FY16'!L18,-3)</f>
        <v>616000</v>
      </c>
      <c r="M18" s="28">
        <f t="shared" si="1"/>
        <v>29138000</v>
      </c>
    </row>
    <row r="19" spans="1:13" ht="9.75" customHeight="1" x14ac:dyDescent="0.35">
      <c r="A19" s="6" t="s">
        <v>55</v>
      </c>
      <c r="B19" s="20">
        <f>ROUND('[10]Changes FY16'!B19,-3)</f>
        <v>3212000</v>
      </c>
      <c r="C19" s="20">
        <f>ROUND('[10]Changes FY16'!C19,-3)</f>
        <v>0</v>
      </c>
      <c r="D19" s="20">
        <f>ROUND('[10]Changes FY16'!D19,-3)</f>
        <v>822000</v>
      </c>
      <c r="E19" s="30">
        <f>ROUND('[10]Changes FY16'!E19,-3)</f>
        <v>30959000</v>
      </c>
      <c r="F19" s="20">
        <f>ROUND('[10]Changes FY16'!F19,-3)</f>
        <v>0</v>
      </c>
      <c r="G19" s="20">
        <f>ROUND('[10]Changes FY16'!G19,-3)</f>
        <v>0</v>
      </c>
      <c r="H19" s="30">
        <f>ROUND('[10]Changes FY16'!H19,-3)</f>
        <v>-102000</v>
      </c>
      <c r="I19" s="28">
        <f t="shared" si="0"/>
        <v>34891000</v>
      </c>
      <c r="J19" s="28"/>
      <c r="K19" s="29">
        <f>ROUND('[10]Changes FY16'!K19,-3)-1000</f>
        <v>0</v>
      </c>
      <c r="L19" s="29">
        <f>ROUND('[10]Changes FY16'!L19,-3)</f>
        <v>301000</v>
      </c>
      <c r="M19" s="28">
        <f t="shared" si="1"/>
        <v>35192000</v>
      </c>
    </row>
    <row r="20" spans="1:13" ht="9.75" customHeight="1" x14ac:dyDescent="0.35">
      <c r="A20" s="6" t="s">
        <v>54</v>
      </c>
      <c r="B20" s="20">
        <f>ROUND('[10]Changes FY16'!B20,-3)</f>
        <v>0</v>
      </c>
      <c r="C20" s="20">
        <f>ROUND('[10]Changes FY16'!C20,-3)</f>
        <v>0</v>
      </c>
      <c r="D20" s="20">
        <f>ROUND('[10]Changes FY16'!D20,-3)</f>
        <v>-4815000</v>
      </c>
      <c r="E20" s="20">
        <f>ROUND('[10]Changes FY16'!E20,-3)</f>
        <v>0</v>
      </c>
      <c r="F20" s="20">
        <f>ROUND('[10]Changes FY16'!F20,-3)</f>
        <v>0</v>
      </c>
      <c r="G20" s="30">
        <f>ROUND('[10]Changes FY16'!G20,-3)</f>
        <v>-48669000</v>
      </c>
      <c r="H20" s="20">
        <f>ROUND('[10]Changes FY16'!H20,-3)</f>
        <v>0</v>
      </c>
      <c r="I20" s="28">
        <f t="shared" si="0"/>
        <v>-53484000</v>
      </c>
      <c r="J20" s="28"/>
      <c r="K20" s="31">
        <f>ROUND('[10]Changes FY16'!K20,-3)</f>
        <v>-63326000</v>
      </c>
      <c r="L20" s="29">
        <f>ROUND('[10]Changes FY16'!L20,-3)</f>
        <v>-7930000</v>
      </c>
      <c r="M20" s="28">
        <f t="shared" si="1"/>
        <v>-124740000</v>
      </c>
    </row>
    <row r="21" spans="1:13" ht="9.75" customHeight="1" x14ac:dyDescent="0.35">
      <c r="A21" s="6" t="s">
        <v>53</v>
      </c>
      <c r="B21" s="20">
        <f>ROUND('[10]Changes FY16'!B21,-3)</f>
        <v>0</v>
      </c>
      <c r="C21" s="20">
        <f>ROUND('[10]Changes FY16'!C21,-3)</f>
        <v>0</v>
      </c>
      <c r="D21" s="20">
        <f>ROUND('[10]Changes FY16'!D21,-3)</f>
        <v>295872000</v>
      </c>
      <c r="E21" s="20">
        <f>ROUND('[10]Changes FY16'!E21,-3)</f>
        <v>0</v>
      </c>
      <c r="F21" s="20">
        <f>ROUND('[10]Changes FY16'!F21,-3)</f>
        <v>0</v>
      </c>
      <c r="G21" s="20">
        <f>ROUND('[10]Changes FY16'!G21,-3)</f>
        <v>0</v>
      </c>
      <c r="H21" s="20">
        <f>ROUND('[10]Changes FY16'!H21,-3)</f>
        <v>0</v>
      </c>
      <c r="I21" s="28">
        <f t="shared" si="0"/>
        <v>295872000</v>
      </c>
      <c r="J21" s="28"/>
      <c r="K21" s="29">
        <f>ROUND('[10]Changes FY16'!K21,-3)</f>
        <v>0</v>
      </c>
      <c r="L21" s="29">
        <f>ROUND('[10]Changes FY16'!L21,-3)</f>
        <v>0</v>
      </c>
      <c r="M21" s="28">
        <f t="shared" si="1"/>
        <v>295872000</v>
      </c>
    </row>
    <row r="22" spans="1:13" ht="9.75" customHeight="1" x14ac:dyDescent="0.35">
      <c r="A22" s="6" t="s">
        <v>52</v>
      </c>
      <c r="B22" s="20">
        <f>ROUND('[10]Changes FY16'!B22,-3)</f>
        <v>137675000</v>
      </c>
      <c r="C22" s="20">
        <f>ROUND('[10]Changes FY16'!C22,-3)</f>
        <v>0</v>
      </c>
      <c r="D22" s="20">
        <f>ROUND('[10]Changes FY16'!D22,-3)</f>
        <v>1199000</v>
      </c>
      <c r="E22" s="20">
        <f>ROUND('[10]Changes FY16'!E22,-3)</f>
        <v>0</v>
      </c>
      <c r="F22" s="20">
        <f>ROUND('[10]Changes FY16'!F22,-3)</f>
        <v>0</v>
      </c>
      <c r="G22" s="20">
        <f>ROUND('[10]Changes FY16'!G22,-3)</f>
        <v>0</v>
      </c>
      <c r="H22" s="20">
        <f>ROUND('[10]Changes FY16'!H22,-3)</f>
        <v>0</v>
      </c>
      <c r="I22" s="28">
        <f t="shared" si="0"/>
        <v>138874000</v>
      </c>
      <c r="J22" s="28"/>
      <c r="K22" s="29">
        <f>ROUND('[10]Changes FY16'!K22,-3)</f>
        <v>0</v>
      </c>
      <c r="L22" s="29">
        <f>ROUND('[10]Changes FY16'!L22,-3)</f>
        <v>0</v>
      </c>
      <c r="M22" s="28">
        <f t="shared" si="1"/>
        <v>138874000</v>
      </c>
    </row>
    <row r="23" spans="1:13" ht="9.75" customHeight="1" x14ac:dyDescent="0.35">
      <c r="A23" s="6" t="s">
        <v>51</v>
      </c>
      <c r="B23" s="20">
        <f>ROUND('[10]Changes FY16'!B23,-3)</f>
        <v>84245000</v>
      </c>
      <c r="C23" s="20">
        <f>ROUND('[10]Changes FY16'!C23,-3)</f>
        <v>0</v>
      </c>
      <c r="D23" s="20">
        <f>ROUND('[10]Changes FY16'!D23,-3)</f>
        <v>245204000</v>
      </c>
      <c r="E23" s="20">
        <f>ROUND('[10]Changes FY16'!E23,-3)</f>
        <v>17438000</v>
      </c>
      <c r="F23" s="30">
        <f>ROUND('[10]Changes FY16'!F23,-3)</f>
        <v>2825000</v>
      </c>
      <c r="G23" s="20">
        <f>ROUND('[10]Changes FY16'!G23,-3)</f>
        <v>0</v>
      </c>
      <c r="H23" s="20">
        <f>ROUND('[10]Changes FY16'!H23,-3)</f>
        <v>0</v>
      </c>
      <c r="I23" s="28">
        <f t="shared" si="0"/>
        <v>349712000</v>
      </c>
      <c r="J23" s="28"/>
      <c r="K23" s="29">
        <f>ROUND('[10]Changes FY16'!K23,-3)+1000</f>
        <v>93462000</v>
      </c>
      <c r="L23" s="29">
        <f>ROUND('[10]Changes FY16'!L23,-3)</f>
        <v>161772000</v>
      </c>
      <c r="M23" s="28">
        <f t="shared" si="1"/>
        <v>604946000</v>
      </c>
    </row>
    <row r="24" spans="1:13" ht="9.75" customHeight="1" x14ac:dyDescent="0.35">
      <c r="A24" s="6" t="s">
        <v>50</v>
      </c>
      <c r="B24" s="20">
        <f>ROUND('[10]Changes FY16'!B24,-3)</f>
        <v>54714000</v>
      </c>
      <c r="C24" s="20">
        <f>ROUND('[10]Changes FY16'!C24,-3)</f>
        <v>0</v>
      </c>
      <c r="D24" s="20">
        <f>ROUND('[10]Changes FY16'!D24,-3)</f>
        <v>79187000</v>
      </c>
      <c r="E24" s="20">
        <f>ROUND('[10]Changes FY16'!E24,-3)</f>
        <v>0</v>
      </c>
      <c r="F24" s="20">
        <f>ROUND('[10]Changes FY16'!F24,-3)</f>
        <v>0</v>
      </c>
      <c r="G24" s="20">
        <f>ROUND('[10]Changes FY16'!G24,-3)</f>
        <v>0</v>
      </c>
      <c r="H24" s="20">
        <f>ROUND('[10]Changes FY16'!H24,-3)</f>
        <v>0</v>
      </c>
      <c r="I24" s="28">
        <f t="shared" si="0"/>
        <v>133901000</v>
      </c>
      <c r="J24" s="28"/>
      <c r="K24" s="29">
        <f>ROUND('[10]Changes FY16'!K24,-3)</f>
        <v>0</v>
      </c>
      <c r="L24" s="29">
        <f>ROUND('[10]Changes FY16'!L24,-3)</f>
        <v>0</v>
      </c>
      <c r="M24" s="28">
        <f t="shared" si="1"/>
        <v>133901000</v>
      </c>
    </row>
    <row r="25" spans="1:13" ht="9.75" customHeight="1" x14ac:dyDescent="0.35">
      <c r="A25" s="6" t="s">
        <v>49</v>
      </c>
      <c r="B25" s="20">
        <f>ROUND('[10]Changes FY16'!B25,-3)</f>
        <v>318525000</v>
      </c>
      <c r="C25" s="20">
        <f>ROUND('[10]Changes FY16'!C25,-3)</f>
        <v>0</v>
      </c>
      <c r="D25" s="20">
        <f>ROUND('[10]Changes FY16'!D25,-3)</f>
        <v>0</v>
      </c>
      <c r="E25" s="20">
        <f>ROUND('[10]Changes FY16'!E25,-3)</f>
        <v>0</v>
      </c>
      <c r="F25" s="20">
        <f>ROUND('[10]Changes FY16'!F25,-3)</f>
        <v>0</v>
      </c>
      <c r="G25" s="20">
        <f>ROUND('[10]Changes FY16'!G25,-3)</f>
        <v>0</v>
      </c>
      <c r="H25" s="20">
        <f>ROUND('[10]Changes FY16'!H25,-3)</f>
        <v>0</v>
      </c>
      <c r="I25" s="28">
        <f t="shared" si="0"/>
        <v>318525000</v>
      </c>
      <c r="J25" s="28"/>
      <c r="K25" s="29">
        <f>ROUND('[10]Changes FY16'!K25,-3)</f>
        <v>0</v>
      </c>
      <c r="L25" s="29">
        <f>ROUND('[10]Changes FY16'!L25,-3)</f>
        <v>0</v>
      </c>
      <c r="M25" s="28">
        <f t="shared" si="1"/>
        <v>318525000</v>
      </c>
    </row>
    <row r="26" spans="1:13" ht="9.75" customHeight="1" x14ac:dyDescent="0.35">
      <c r="A26" s="6" t="s">
        <v>92</v>
      </c>
      <c r="B26" s="20">
        <f>ROUND('[10]Changes FY16'!B26,-3)</f>
        <v>0</v>
      </c>
      <c r="C26" s="20">
        <f>ROUND('[10]Changes FY16'!C26,-3)</f>
        <v>1322537000</v>
      </c>
      <c r="D26" s="20">
        <f>ROUND('[10]Changes FY16'!D26,-3)</f>
        <v>0</v>
      </c>
      <c r="E26" s="20">
        <f>ROUND('[10]Changes FY16'!E26,-3)</f>
        <v>0</v>
      </c>
      <c r="F26" s="20">
        <f>ROUND('[10]Changes FY16'!F26,-3)</f>
        <v>0</v>
      </c>
      <c r="G26" s="20">
        <f>ROUND('[10]Changes FY16'!G26,-3)</f>
        <v>0</v>
      </c>
      <c r="H26" s="20">
        <f>ROUND('[10]Changes FY16'!H26,-3)</f>
        <v>0</v>
      </c>
      <c r="I26" s="28">
        <f t="shared" si="0"/>
        <v>1322537000</v>
      </c>
      <c r="J26" s="28"/>
      <c r="K26" s="29">
        <f>ROUND('[10]Changes FY16'!K26,-3)</f>
        <v>0</v>
      </c>
      <c r="L26" s="29">
        <f>ROUND('[10]Changes FY16'!L26,-3)</f>
        <v>0</v>
      </c>
      <c r="M26" s="28">
        <f t="shared" si="1"/>
        <v>1322537000</v>
      </c>
    </row>
    <row r="27" spans="1:13" ht="9.75" customHeight="1" x14ac:dyDescent="0.35">
      <c r="A27" s="6" t="s">
        <v>48</v>
      </c>
      <c r="B27" s="20">
        <f>ROUND('[10]Changes FY16'!B27,-3)</f>
        <v>0</v>
      </c>
      <c r="C27" s="30">
        <f>ROUND('[10]Changes FY16'!C27,-3)</f>
        <v>140908000</v>
      </c>
      <c r="D27" s="20">
        <f>ROUND('[10]Changes FY16'!D27,-3)</f>
        <v>0</v>
      </c>
      <c r="E27" s="20">
        <f>ROUND('[10]Changes FY16'!E27,-3)</f>
        <v>0</v>
      </c>
      <c r="F27" s="20">
        <f>ROUND('[10]Changes FY16'!F27,-3)</f>
        <v>0</v>
      </c>
      <c r="G27" s="20">
        <f>ROUND('[10]Changes FY16'!G27,-3)</f>
        <v>0</v>
      </c>
      <c r="H27" s="20">
        <f>ROUND('[10]Changes FY16'!H27,-3)</f>
        <v>0</v>
      </c>
      <c r="I27" s="28">
        <f t="shared" si="0"/>
        <v>140908000</v>
      </c>
      <c r="J27" s="28"/>
      <c r="K27" s="29">
        <f>ROUND('[10]Changes FY16'!K27,-3)</f>
        <v>0</v>
      </c>
      <c r="L27" s="29">
        <f>ROUND('[10]Changes FY16'!L27,-3)</f>
        <v>0</v>
      </c>
      <c r="M27" s="28">
        <f t="shared" si="1"/>
        <v>140908000</v>
      </c>
    </row>
    <row r="28" spans="1:13" ht="9.75" customHeight="1" x14ac:dyDescent="0.35">
      <c r="A28" s="6" t="s">
        <v>47</v>
      </c>
      <c r="B28" s="20">
        <f>ROUND('[10]Changes FY16'!B28,-3)</f>
        <v>0</v>
      </c>
      <c r="C28" s="20">
        <f>ROUND('[10]Changes FY16'!C28,-3)</f>
        <v>3891000</v>
      </c>
      <c r="D28" s="20">
        <f>ROUND('[10]Changes FY16'!D28,-3)</f>
        <v>0</v>
      </c>
      <c r="E28" s="20">
        <f>ROUND('[10]Changes FY16'!E28,-3)</f>
        <v>0</v>
      </c>
      <c r="F28" s="20">
        <f>ROUND('[10]Changes FY16'!F28,-3)</f>
        <v>0</v>
      </c>
      <c r="G28" s="20">
        <f>ROUND('[10]Changes FY16'!G28,-3)</f>
        <v>0</v>
      </c>
      <c r="H28" s="20">
        <f>ROUND('[10]Changes FY16'!H28,-3)</f>
        <v>0</v>
      </c>
      <c r="I28" s="28">
        <f t="shared" si="0"/>
        <v>3891000</v>
      </c>
      <c r="J28" s="28"/>
      <c r="K28" s="29">
        <f>ROUND('[10]Changes FY16'!K28,-3)</f>
        <v>0</v>
      </c>
      <c r="L28" s="29">
        <f>ROUND('[10]Changes FY16'!L28,-3)</f>
        <v>0</v>
      </c>
      <c r="M28" s="28">
        <f t="shared" si="1"/>
        <v>3891000</v>
      </c>
    </row>
    <row r="29" spans="1:13" s="2" customFormat="1" ht="10.5" customHeight="1" x14ac:dyDescent="0.35">
      <c r="A29" s="2" t="s">
        <v>46</v>
      </c>
      <c r="B29" s="20">
        <f>ROUND('[10]Changes FY16'!B29,-3)</f>
        <v>0</v>
      </c>
      <c r="C29" s="20">
        <f>ROUND('[10]Changes FY16'!C29,-3)</f>
        <v>0</v>
      </c>
      <c r="D29" s="20">
        <f>ROUND('[10]Changes FY16'!D29,-3)</f>
        <v>0</v>
      </c>
      <c r="E29" s="20">
        <f>ROUND('[10]Changes FY16'!E29,-3)+1000</f>
        <v>15000</v>
      </c>
      <c r="F29" s="20">
        <f>ROUND('[10]Changes FY16'!F29,-3)</f>
        <v>-1594000</v>
      </c>
      <c r="G29" s="20">
        <f>ROUND('[10]Changes FY16'!G29,-3)</f>
        <v>0</v>
      </c>
      <c r="H29" s="20">
        <f>ROUND('[10]Changes FY16'!H29,-3)</f>
        <v>0</v>
      </c>
      <c r="I29" s="28">
        <f t="shared" si="0"/>
        <v>-1579000</v>
      </c>
      <c r="J29" s="28"/>
      <c r="K29" s="29">
        <f>ROUND('[10]Changes FY16'!K29,-3)</f>
        <v>0</v>
      </c>
      <c r="L29" s="29">
        <f>ROUND('[10]Changes FY16'!L29,-3)</f>
        <v>0</v>
      </c>
      <c r="M29" s="28">
        <f t="shared" si="1"/>
        <v>-1579000</v>
      </c>
    </row>
    <row r="30" spans="1:13" ht="9.75" customHeight="1" x14ac:dyDescent="0.35">
      <c r="A30" s="6" t="s">
        <v>45</v>
      </c>
      <c r="B30" s="20">
        <f>ROUND('[10]Changes FY16'!B30,-3)</f>
        <v>111497000</v>
      </c>
      <c r="C30" s="20">
        <f>ROUND('[10]Changes FY16'!C30,-3)</f>
        <v>0</v>
      </c>
      <c r="D30" s="20">
        <f>ROUND('[10]Changes FY16'!D30,-3)</f>
        <v>0</v>
      </c>
      <c r="E30" s="20">
        <f>ROUND('[10]Changes FY16'!E30,-3)</f>
        <v>0</v>
      </c>
      <c r="F30" s="20">
        <f>ROUND('[10]Changes FY16'!F30,-3)</f>
        <v>8450000</v>
      </c>
      <c r="G30" s="20">
        <f>ROUND('[10]Changes FY16'!G30,-3)</f>
        <v>0</v>
      </c>
      <c r="H30" s="20">
        <f>ROUND('[10]Changes FY16'!H30,-3)</f>
        <v>0</v>
      </c>
      <c r="I30" s="28">
        <f t="shared" si="0"/>
        <v>119947000</v>
      </c>
      <c r="J30" s="28"/>
      <c r="K30" s="29">
        <f>ROUND('[10]Changes FY16'!K30,-3)</f>
        <v>0</v>
      </c>
      <c r="L30" s="29">
        <f>ROUND('[10]Changes FY16'!L30,-3)</f>
        <v>0</v>
      </c>
      <c r="M30" s="28">
        <f t="shared" si="1"/>
        <v>119947000</v>
      </c>
    </row>
    <row r="31" spans="1:13" ht="9.75" customHeight="1" x14ac:dyDescent="0.35">
      <c r="A31" s="6" t="s">
        <v>44</v>
      </c>
      <c r="B31" s="20">
        <f>ROUND('[10]Changes FY16'!B31,-3)</f>
        <v>0</v>
      </c>
      <c r="C31" s="20">
        <f>ROUND('[10]Changes FY16'!C31,-3)</f>
        <v>0</v>
      </c>
      <c r="D31" s="20">
        <f>ROUND('[10]Changes FY16'!D31,-3)</f>
        <v>0</v>
      </c>
      <c r="E31" s="20">
        <f>ROUND('[10]Changes FY16'!E31,-3)</f>
        <v>0</v>
      </c>
      <c r="F31" s="20">
        <f>ROUND('[10]Changes FY16'!F31,-3)</f>
        <v>0</v>
      </c>
      <c r="G31" s="20">
        <f>ROUND('[10]Changes FY16'!G31,-3)</f>
        <v>0</v>
      </c>
      <c r="H31" s="20">
        <f>ROUND('[10]Changes FY16'!H31,-3)</f>
        <v>0</v>
      </c>
      <c r="I31" s="28"/>
      <c r="J31" s="28"/>
      <c r="K31" s="29">
        <f>ROUND('[10]Changes FY16'!K31,-3)</f>
        <v>697000</v>
      </c>
      <c r="L31" s="29">
        <f>ROUND('[10]Changes FY16'!L31,-3)-1000</f>
        <v>8594000</v>
      </c>
      <c r="M31" s="28">
        <f t="shared" si="1"/>
        <v>9291000</v>
      </c>
    </row>
    <row r="32" spans="1:13" ht="9.75" customHeight="1" x14ac:dyDescent="0.35">
      <c r="A32" s="6" t="s">
        <v>43</v>
      </c>
      <c r="B32" s="20">
        <f>ROUND('[10]Changes FY16'!B32,-3)</f>
        <v>-100000</v>
      </c>
      <c r="C32" s="20">
        <f>ROUND('[10]Changes FY16'!C32,-3)</f>
        <v>0</v>
      </c>
      <c r="D32" s="20">
        <f>ROUND('[10]Changes FY16'!D32,-3)-1000</f>
        <v>77863000</v>
      </c>
      <c r="E32" s="20">
        <f>ROUND('[10]Changes FY16'!E32,-3)</f>
        <v>33318000</v>
      </c>
      <c r="F32" s="20">
        <f>ROUND('[10]Changes FY16'!F32,-3)</f>
        <v>0</v>
      </c>
      <c r="G32" s="20">
        <f>ROUND('[10]Changes FY16'!G32,-3)</f>
        <v>126734000</v>
      </c>
      <c r="H32" s="20">
        <f>ROUND('[10]Changes FY16'!H32,-3)</f>
        <v>0</v>
      </c>
      <c r="I32" s="28">
        <f>SUM(B32:H32)</f>
        <v>237815000</v>
      </c>
      <c r="J32" s="28"/>
      <c r="K32" s="29">
        <f>ROUND('[10]Changes FY16'!K32,-3)</f>
        <v>-237699000</v>
      </c>
      <c r="L32" s="29">
        <f>ROUND('[10]Changes FY16'!L32,-3)</f>
        <v>-116000</v>
      </c>
      <c r="M32" s="28">
        <f t="shared" si="1"/>
        <v>0</v>
      </c>
    </row>
    <row r="33" spans="1:13" ht="12.95" customHeight="1" x14ac:dyDescent="0.35">
      <c r="A33" s="37" t="s">
        <v>42</v>
      </c>
      <c r="B33" s="57">
        <f t="shared" ref="B33:M33" si="2">SUM(B17:B32)</f>
        <v>2040431000</v>
      </c>
      <c r="C33" s="57">
        <f t="shared" si="2"/>
        <v>1467336000</v>
      </c>
      <c r="D33" s="57">
        <f t="shared" si="2"/>
        <v>703342000</v>
      </c>
      <c r="E33" s="57">
        <f t="shared" si="2"/>
        <v>81730000</v>
      </c>
      <c r="F33" s="57">
        <f t="shared" si="2"/>
        <v>9681000</v>
      </c>
      <c r="G33" s="57">
        <f t="shared" si="2"/>
        <v>78065000</v>
      </c>
      <c r="H33" s="57">
        <f t="shared" si="2"/>
        <v>-102000</v>
      </c>
      <c r="I33" s="56">
        <f t="shared" si="2"/>
        <v>4380483000</v>
      </c>
      <c r="J33" s="56">
        <f t="shared" si="2"/>
        <v>0</v>
      </c>
      <c r="K33" s="56">
        <f t="shared" si="2"/>
        <v>-206866000</v>
      </c>
      <c r="L33" s="56">
        <f t="shared" si="2"/>
        <v>163237000</v>
      </c>
      <c r="M33" s="56">
        <f t="shared" si="2"/>
        <v>4336854000</v>
      </c>
    </row>
    <row r="34" spans="1:13" ht="12.95" customHeight="1" x14ac:dyDescent="0.35">
      <c r="A34" s="54"/>
      <c r="B34" s="53"/>
      <c r="C34" s="53"/>
      <c r="D34" s="53"/>
      <c r="E34" s="53"/>
      <c r="F34" s="53"/>
      <c r="G34" s="53"/>
      <c r="H34" s="53"/>
      <c r="I34" s="43"/>
      <c r="J34" s="28"/>
      <c r="K34" s="43"/>
      <c r="L34" s="43"/>
      <c r="M34" s="43"/>
    </row>
    <row r="35" spans="1:13" ht="9.75" customHeight="1" x14ac:dyDescent="0.35">
      <c r="A35" s="33" t="s">
        <v>41</v>
      </c>
      <c r="B35" s="20"/>
      <c r="C35" s="20"/>
      <c r="D35" s="20"/>
      <c r="E35" s="20"/>
      <c r="F35" s="20"/>
      <c r="G35" s="20"/>
      <c r="H35" s="20"/>
      <c r="I35" s="28"/>
      <c r="J35" s="28"/>
      <c r="K35" s="28"/>
      <c r="L35" s="28"/>
      <c r="M35" s="28"/>
    </row>
    <row r="36" spans="1:13" s="2" customFormat="1" ht="9.75" customHeight="1" x14ac:dyDescent="0.35">
      <c r="A36" s="6" t="s">
        <v>40</v>
      </c>
      <c r="B36" s="20">
        <f>ROUND('[10]Changes FY16'!B36,-3)</f>
        <v>1847182000</v>
      </c>
      <c r="C36" s="20">
        <f>ROUND('[10]Changes FY16'!C36,-3)</f>
        <v>0</v>
      </c>
      <c r="D36" s="20">
        <f>ROUND('[10]Changes FY16'!D36,-3)</f>
        <v>682032000</v>
      </c>
      <c r="E36" s="20">
        <f>ROUND('[10]Changes FY16'!E36,-3)</f>
        <v>0</v>
      </c>
      <c r="F36" s="20">
        <f>ROUND('[10]Changes FY16'!F36,-3)</f>
        <v>0</v>
      </c>
      <c r="G36" s="20">
        <f>ROUND('[10]Changes FY16'!G36,-3)</f>
        <v>0</v>
      </c>
      <c r="H36" s="20">
        <f>ROUND('[10]Changes FY16'!H36,-3)</f>
        <v>0</v>
      </c>
      <c r="I36" s="28">
        <f>SUM(B36:H36)</f>
        <v>2529214000</v>
      </c>
      <c r="J36" s="28"/>
      <c r="K36" s="29">
        <f>ROUND('[10]Changes FY16'!K36,-3)</f>
        <v>0</v>
      </c>
      <c r="L36" s="29">
        <f>ROUND('[10]Changes FY16'!L36,-3)</f>
        <v>0</v>
      </c>
      <c r="M36" s="28">
        <f>SUM(I36:L36)</f>
        <v>2529214000</v>
      </c>
    </row>
    <row r="37" spans="1:13" s="2" customFormat="1" ht="9.75" customHeight="1" x14ac:dyDescent="0.35">
      <c r="A37" s="2" t="s">
        <v>39</v>
      </c>
      <c r="B37" s="20">
        <f>ROUND('[10]Changes FY16'!B37,-3)</f>
        <v>0</v>
      </c>
      <c r="C37" s="20">
        <f>ROUND('[10]Changes FY16'!C37,-3)</f>
        <v>1368121000</v>
      </c>
      <c r="D37" s="20">
        <f>ROUND('[10]Changes FY16'!D37,-3)</f>
        <v>0</v>
      </c>
      <c r="E37" s="20">
        <f>ROUND('[10]Changes FY16'!E37,-3)</f>
        <v>0</v>
      </c>
      <c r="F37" s="20">
        <f>ROUND('[10]Changes FY16'!F37,-3)</f>
        <v>0</v>
      </c>
      <c r="G37" s="20">
        <f>ROUND('[10]Changes FY16'!G37,-3)</f>
        <v>0</v>
      </c>
      <c r="H37" s="20">
        <f>ROUND('[10]Changes FY16'!H37,-3)</f>
        <v>0</v>
      </c>
      <c r="I37" s="28">
        <f>SUM(B37:H37)</f>
        <v>1368121000</v>
      </c>
      <c r="J37" s="28"/>
      <c r="K37" s="29">
        <f>ROUND('[10]Changes FY16'!K37,-3)</f>
        <v>0</v>
      </c>
      <c r="L37" s="29">
        <f>ROUND('[10]Changes FY16'!L37,-3)</f>
        <v>0</v>
      </c>
      <c r="M37" s="28">
        <f>SUM(I37:L37)</f>
        <v>1368121000</v>
      </c>
    </row>
    <row r="38" spans="1:13" ht="9.75" customHeight="1" x14ac:dyDescent="0.35">
      <c r="A38" s="6" t="s">
        <v>38</v>
      </c>
      <c r="B38" s="20">
        <f>ROUND('[10]Changes FY16'!B38,-3)</f>
        <v>0</v>
      </c>
      <c r="C38" s="20">
        <f>ROUND('[10]Changes FY16'!C38,-3)</f>
        <v>42248000</v>
      </c>
      <c r="D38" s="20">
        <f>ROUND('[10]Changes FY16'!D38,-3)</f>
        <v>0</v>
      </c>
      <c r="E38" s="20">
        <f>ROUND('[10]Changes FY16'!E38,-3)</f>
        <v>0</v>
      </c>
      <c r="F38" s="20">
        <f>ROUND('[10]Changes FY16'!F38,-3)</f>
        <v>165821000</v>
      </c>
      <c r="G38" s="20">
        <f>ROUND('[10]Changes FY16'!G38,-3)</f>
        <v>0</v>
      </c>
      <c r="H38" s="20">
        <f>ROUND('[10]Changes FY16'!H38,-3)</f>
        <v>0</v>
      </c>
      <c r="I38" s="28">
        <f>SUM(B38:H38)</f>
        <v>208069000</v>
      </c>
      <c r="J38" s="28"/>
      <c r="K38" s="29">
        <f>ROUND('[10]Changes FY16'!K38,-3)</f>
        <v>0</v>
      </c>
      <c r="L38" s="29">
        <f>ROUND('[10]Changes FY16'!L38,-3)</f>
        <v>0</v>
      </c>
      <c r="M38" s="28">
        <f>SUM(I38:L38)</f>
        <v>208069000</v>
      </c>
    </row>
    <row r="39" spans="1:13" ht="9.75" customHeight="1" x14ac:dyDescent="0.35">
      <c r="A39" s="6" t="s">
        <v>37</v>
      </c>
      <c r="B39" s="20">
        <f>ROUND('[10]Changes FY16'!B39,-3)</f>
        <v>0</v>
      </c>
      <c r="C39" s="20">
        <f>ROUND('[10]Changes FY16'!C39,-3)</f>
        <v>1338000</v>
      </c>
      <c r="D39" s="20">
        <f>ROUND('[10]Changes FY16'!D39,-3)</f>
        <v>0</v>
      </c>
      <c r="E39" s="20">
        <f>ROUND('[10]Changes FY16'!E39,-3)</f>
        <v>72637000</v>
      </c>
      <c r="F39" s="20">
        <f>ROUND('[10]Changes FY16'!F39,-3)</f>
        <v>0</v>
      </c>
      <c r="G39" s="20">
        <f>ROUND('[10]Changes FY16'!G39,-3)</f>
        <v>0</v>
      </c>
      <c r="H39" s="20">
        <f>ROUND('[10]Changes FY16'!H39,-3)</f>
        <v>0</v>
      </c>
      <c r="I39" s="28">
        <f>SUM(B39:H39)</f>
        <v>73975000</v>
      </c>
      <c r="J39" s="28"/>
      <c r="K39" s="29">
        <f>ROUND('[10]Changes FY16'!K39,-3)</f>
        <v>0</v>
      </c>
      <c r="L39" s="29">
        <f>ROUND('[10]Changes FY16'!L39,-3)</f>
        <v>0</v>
      </c>
      <c r="M39" s="28">
        <f>SUM(I39:L39)</f>
        <v>73975000</v>
      </c>
    </row>
    <row r="40" spans="1:13" s="9" customFormat="1" ht="12" customHeight="1" x14ac:dyDescent="0.35">
      <c r="A40" s="37" t="s">
        <v>35</v>
      </c>
      <c r="B40" s="57">
        <f t="shared" ref="B40:M40" si="3">SUM(B36:B39)</f>
        <v>1847182000</v>
      </c>
      <c r="C40" s="57">
        <f t="shared" si="3"/>
        <v>1411707000</v>
      </c>
      <c r="D40" s="57">
        <f t="shared" si="3"/>
        <v>682032000</v>
      </c>
      <c r="E40" s="57">
        <f t="shared" si="3"/>
        <v>72637000</v>
      </c>
      <c r="F40" s="57">
        <f t="shared" si="3"/>
        <v>165821000</v>
      </c>
      <c r="G40" s="57">
        <f t="shared" si="3"/>
        <v>0</v>
      </c>
      <c r="H40" s="57">
        <f t="shared" si="3"/>
        <v>0</v>
      </c>
      <c r="I40" s="56">
        <f t="shared" si="3"/>
        <v>4179379000</v>
      </c>
      <c r="J40" s="28">
        <f t="shared" si="3"/>
        <v>0</v>
      </c>
      <c r="K40" s="56">
        <f t="shared" si="3"/>
        <v>0</v>
      </c>
      <c r="L40" s="56">
        <f t="shared" si="3"/>
        <v>0</v>
      </c>
      <c r="M40" s="56">
        <f t="shared" si="3"/>
        <v>4179379000</v>
      </c>
    </row>
    <row r="41" spans="1:13" s="15" customFormat="1" ht="12" customHeight="1" x14ac:dyDescent="0.35">
      <c r="A41" s="55"/>
      <c r="B41" s="53"/>
      <c r="C41" s="53"/>
      <c r="D41" s="53"/>
      <c r="E41" s="53"/>
      <c r="F41" s="53"/>
      <c r="G41" s="53"/>
      <c r="H41" s="53"/>
      <c r="I41" s="43"/>
      <c r="J41" s="28"/>
      <c r="K41" s="43"/>
      <c r="L41" s="43"/>
      <c r="M41" s="43"/>
    </row>
    <row r="42" spans="1:13" s="15" customFormat="1" ht="9.75" customHeight="1" x14ac:dyDescent="0.35">
      <c r="A42" s="54" t="s">
        <v>34</v>
      </c>
      <c r="B42" s="53"/>
      <c r="C42" s="53"/>
      <c r="D42" s="53"/>
      <c r="E42" s="53"/>
      <c r="F42" s="53"/>
      <c r="G42" s="53"/>
      <c r="H42" s="53"/>
      <c r="I42" s="43"/>
      <c r="J42" s="28"/>
      <c r="K42" s="28"/>
      <c r="L42" s="28"/>
      <c r="M42" s="28"/>
    </row>
    <row r="43" spans="1:13" ht="12" customHeight="1" x14ac:dyDescent="0.35">
      <c r="A43" s="6" t="s">
        <v>33</v>
      </c>
      <c r="B43" s="20">
        <f>ROUND('[10]Changes FY16'!B43,-3)</f>
        <v>-84674000</v>
      </c>
      <c r="C43" s="20">
        <f>ROUND('[10]Changes FY16'!C43,-3)-1000</f>
        <v>-1069000</v>
      </c>
      <c r="D43" s="20">
        <f>ROUND('[10]Changes FY16'!D43,-3)+1000</f>
        <v>20581000</v>
      </c>
      <c r="E43" s="20">
        <f>ROUND('[10]Changes FY16'!E43,-3)</f>
        <v>65162000</v>
      </c>
      <c r="F43" s="20">
        <f>ROUND('[10]Changes FY16'!F43,-3)</f>
        <v>0</v>
      </c>
      <c r="G43" s="20">
        <f>ROUND('[10]Changes FY16'!G43,-3)</f>
        <v>0</v>
      </c>
      <c r="H43" s="20">
        <f>ROUND('[10]Changes FY16'!H43,-3)</f>
        <v>0</v>
      </c>
      <c r="I43" s="28">
        <f t="shared" ref="I43:I51" si="4">SUM(B43:H43)</f>
        <v>0</v>
      </c>
      <c r="J43" s="28"/>
      <c r="K43" s="29">
        <f>ROUND('[10]Changes FY16'!K43,-3)</f>
        <v>0</v>
      </c>
      <c r="L43" s="29">
        <f>ROUND('[10]Changes FY16'!L43,-3)</f>
        <v>0</v>
      </c>
      <c r="M43" s="28">
        <f t="shared" ref="M43:M51" si="5">SUM(I43:L43)</f>
        <v>0</v>
      </c>
    </row>
    <row r="44" spans="1:13" ht="9.75" customHeight="1" x14ac:dyDescent="0.35">
      <c r="A44" s="6" t="s">
        <v>32</v>
      </c>
      <c r="B44" s="20">
        <f>ROUND('[10]Changes FY16'!B44,-3)</f>
        <v>0</v>
      </c>
      <c r="C44" s="20">
        <f>ROUND('[10]Changes FY16'!C44,-3)</f>
        <v>0</v>
      </c>
      <c r="D44" s="20">
        <f>ROUND('[10]Changes FY16'!D44,-3)</f>
        <v>0</v>
      </c>
      <c r="E44" s="20">
        <f>ROUND('[10]Changes FY16'!E44,-3)</f>
        <v>0</v>
      </c>
      <c r="F44" s="20">
        <f>ROUND('[10]Changes FY16'!F44,-3)</f>
        <v>0</v>
      </c>
      <c r="G44" s="20">
        <f>ROUND('[10]Changes FY16'!G44,-3)</f>
        <v>0</v>
      </c>
      <c r="H44" s="20">
        <f>ROUND('[10]Changes FY16'!H44,-3)</f>
        <v>0</v>
      </c>
      <c r="I44" s="28">
        <f t="shared" si="4"/>
        <v>0</v>
      </c>
      <c r="J44" s="28"/>
      <c r="K44" s="29">
        <f>ROUND('[10]Changes FY16'!K44,-3)</f>
        <v>0</v>
      </c>
      <c r="L44" s="29">
        <f>ROUND('[10]Changes FY16'!L44,-3)</f>
        <v>0</v>
      </c>
      <c r="M44" s="28">
        <f t="shared" si="5"/>
        <v>0</v>
      </c>
    </row>
    <row r="45" spans="1:13" ht="9.75" customHeight="1" x14ac:dyDescent="0.35">
      <c r="A45" s="6" t="s">
        <v>31</v>
      </c>
      <c r="B45" s="20">
        <f>ROUND('[10]Changes FY16'!B45,-3)</f>
        <v>-53060000</v>
      </c>
      <c r="C45" s="20">
        <f>ROUND('[10]Changes FY16'!C45,-3)</f>
        <v>0</v>
      </c>
      <c r="D45" s="20">
        <f>ROUND('[10]Changes FY16'!D45,-3)</f>
        <v>0</v>
      </c>
      <c r="E45" s="20">
        <f>ROUND('[10]Changes FY16'!E45,-3)</f>
        <v>0</v>
      </c>
      <c r="F45" s="20">
        <f>ROUND('[10]Changes FY16'!F45,-3)</f>
        <v>0</v>
      </c>
      <c r="G45" s="20">
        <f>ROUND('[10]Changes FY16'!G45,-3)</f>
        <v>53060000</v>
      </c>
      <c r="H45" s="20">
        <f>ROUND('[10]Changes FY16'!H45,-3)</f>
        <v>0</v>
      </c>
      <c r="I45" s="28">
        <f t="shared" si="4"/>
        <v>0</v>
      </c>
      <c r="J45" s="28"/>
      <c r="K45" s="29">
        <f>ROUND('[10]Changes FY16'!K45,-3)</f>
        <v>0</v>
      </c>
      <c r="L45" s="29">
        <f>ROUND('[10]Changes FY16'!L45,-3)</f>
        <v>0</v>
      </c>
      <c r="M45" s="28">
        <f t="shared" si="5"/>
        <v>0</v>
      </c>
    </row>
    <row r="46" spans="1:13" ht="9.75" customHeight="1" x14ac:dyDescent="0.35">
      <c r="A46" s="6" t="s">
        <v>30</v>
      </c>
      <c r="B46" s="20">
        <f>ROUND('[10]Changes FY16'!B46,-3)</f>
        <v>-23487000</v>
      </c>
      <c r="C46" s="20">
        <f>ROUND('[10]Changes FY16'!C46,-3)</f>
        <v>-1468000</v>
      </c>
      <c r="D46" s="20">
        <f>ROUND('[10]Changes FY16'!D46,-3)</f>
        <v>-1516000</v>
      </c>
      <c r="E46" s="20">
        <f>ROUND('[10]Changes FY16'!E46,-3)</f>
        <v>26471000</v>
      </c>
      <c r="F46" s="20">
        <f>ROUND('[10]Changes FY16'!F46,-3)</f>
        <v>0</v>
      </c>
      <c r="G46" s="20">
        <f>ROUND('[10]Changes FY16'!G46,-3)</f>
        <v>0</v>
      </c>
      <c r="H46" s="20">
        <f>ROUND('[10]Changes FY16'!H46,-3)</f>
        <v>0</v>
      </c>
      <c r="I46" s="28">
        <f t="shared" si="4"/>
        <v>0</v>
      </c>
      <c r="J46" s="28"/>
      <c r="K46" s="29">
        <f>ROUND('[10]Changes FY16'!K46,-3)</f>
        <v>0</v>
      </c>
      <c r="L46" s="29">
        <f>ROUND('[10]Changes FY16'!L46,-3)</f>
        <v>0</v>
      </c>
      <c r="M46" s="28">
        <f t="shared" si="5"/>
        <v>0</v>
      </c>
    </row>
    <row r="47" spans="1:13" ht="9.75" customHeight="1" x14ac:dyDescent="0.35">
      <c r="A47" s="6" t="s">
        <v>29</v>
      </c>
      <c r="B47" s="20">
        <f>ROUND('[10]Changes FY16'!B47,-3)</f>
        <v>73411000</v>
      </c>
      <c r="C47" s="20">
        <f>ROUND('[10]Changes FY16'!C47,-3)</f>
        <v>0</v>
      </c>
      <c r="D47" s="20">
        <f>ROUND('[10]Changes FY16'!D47,-3)</f>
        <v>105603000</v>
      </c>
      <c r="E47" s="20">
        <f>ROUND('[10]Changes FY16'!E47,-3)</f>
        <v>0</v>
      </c>
      <c r="F47" s="20">
        <f>ROUND('[10]Changes FY16'!F47,-3)</f>
        <v>0</v>
      </c>
      <c r="G47" s="20">
        <f>ROUND('[10]Changes FY16'!G47,-3)</f>
        <v>-179014000</v>
      </c>
      <c r="H47" s="20">
        <f>ROUND('[10]Changes FY16'!H47,-3)</f>
        <v>0</v>
      </c>
      <c r="I47" s="28">
        <f t="shared" si="4"/>
        <v>0</v>
      </c>
      <c r="J47" s="28"/>
      <c r="K47" s="29">
        <f>ROUND('[10]Changes FY16'!K47,-3)</f>
        <v>0</v>
      </c>
      <c r="L47" s="29">
        <f>ROUND('[10]Changes FY16'!L47,-3)</f>
        <v>0</v>
      </c>
      <c r="M47" s="28">
        <f t="shared" si="5"/>
        <v>0</v>
      </c>
    </row>
    <row r="48" spans="1:13" ht="9.75" customHeight="1" x14ac:dyDescent="0.35">
      <c r="A48" s="6" t="s">
        <v>28</v>
      </c>
      <c r="B48" s="20">
        <f>ROUND('[10]Changes FY16'!B48,-3)</f>
        <v>68886000</v>
      </c>
      <c r="C48" s="20">
        <f>ROUND('[10]Changes FY16'!C48,-3)</f>
        <v>0</v>
      </c>
      <c r="D48" s="20">
        <f>ROUND('[10]Changes FY16'!D48,-3)</f>
        <v>-68886000</v>
      </c>
      <c r="E48" s="20">
        <f>ROUND('[10]Changes FY16'!E48,-3)</f>
        <v>0</v>
      </c>
      <c r="F48" s="20">
        <f>ROUND('[10]Changes FY16'!F48,-3)</f>
        <v>0</v>
      </c>
      <c r="G48" s="20">
        <f>ROUND('[10]Changes FY16'!G48,-3)</f>
        <v>0</v>
      </c>
      <c r="H48" s="20">
        <f>ROUND('[10]Changes FY16'!H48,-3)</f>
        <v>0</v>
      </c>
      <c r="I48" s="28">
        <f t="shared" si="4"/>
        <v>0</v>
      </c>
      <c r="J48" s="28"/>
      <c r="K48" s="29">
        <f>ROUND('[10]Changes FY16'!K48,-3)</f>
        <v>0</v>
      </c>
      <c r="L48" s="29">
        <f>ROUND('[10]Changes FY16'!L48,-3)</f>
        <v>0</v>
      </c>
      <c r="M48" s="28">
        <f t="shared" si="5"/>
        <v>0</v>
      </c>
    </row>
    <row r="49" spans="1:13" ht="9.75" customHeight="1" x14ac:dyDescent="0.35">
      <c r="A49" s="52" t="s">
        <v>27</v>
      </c>
      <c r="B49" s="20">
        <f>ROUND('[10]Changes FY16'!B49,-3)-1000</f>
        <v>-141403000</v>
      </c>
      <c r="C49" s="20">
        <f>ROUND('[10]Changes FY16'!C49,-3)</f>
        <v>-47400000</v>
      </c>
      <c r="D49" s="20">
        <f>ROUND('[10]Changes FY16'!D49,-3)+1000</f>
        <v>31811000</v>
      </c>
      <c r="E49" s="20">
        <f>ROUND('[10]Changes FY16'!E49,-3)+1000</f>
        <v>154642000</v>
      </c>
      <c r="F49" s="20">
        <f>ROUND('[10]Changes FY16'!F49,-3)</f>
        <v>0</v>
      </c>
      <c r="G49" s="20">
        <f>ROUND('[10]Changes FY16'!G49,-3)</f>
        <v>2350000</v>
      </c>
      <c r="H49" s="20">
        <f>ROUND('[10]Changes FY16'!H49,-3)</f>
        <v>0</v>
      </c>
      <c r="I49" s="28">
        <f t="shared" si="4"/>
        <v>0</v>
      </c>
      <c r="J49" s="28"/>
      <c r="K49" s="29">
        <f>ROUND('[10]Changes FY16'!K49,-3)</f>
        <v>0</v>
      </c>
      <c r="L49" s="29">
        <f>ROUND('[10]Changes FY16'!L49,-3)</f>
        <v>0</v>
      </c>
      <c r="M49" s="28">
        <f t="shared" si="5"/>
        <v>0</v>
      </c>
    </row>
    <row r="50" spans="1:13" ht="9.75" customHeight="1" x14ac:dyDescent="0.35">
      <c r="A50" s="52" t="s">
        <v>26</v>
      </c>
      <c r="B50" s="20">
        <f>ROUND('[10]Changes FY16'!B50,-3)</f>
        <v>0</v>
      </c>
      <c r="C50" s="20">
        <f>ROUND('[10]Changes FY16'!C50,-3)</f>
        <v>0</v>
      </c>
      <c r="D50" s="20">
        <f>ROUND('[10]Changes FY16'!D50,-3)</f>
        <v>0</v>
      </c>
      <c r="E50" s="20">
        <f>ROUND('[10]Changes FY16'!E50,-3)</f>
        <v>0</v>
      </c>
      <c r="F50" s="20">
        <f>ROUND('[10]Changes FY16'!F50,-3)</f>
        <v>0</v>
      </c>
      <c r="G50" s="20">
        <f>ROUND('[10]Changes FY16'!G50,-3)</f>
        <v>0</v>
      </c>
      <c r="H50" s="20">
        <f>ROUND('[10]Changes FY16'!H50,-3)</f>
        <v>0</v>
      </c>
      <c r="I50" s="28">
        <f t="shared" si="4"/>
        <v>0</v>
      </c>
      <c r="J50" s="28"/>
      <c r="K50" s="29">
        <f>ROUND('[10]Changes FY16'!K50,-3)</f>
        <v>0</v>
      </c>
      <c r="L50" s="29">
        <f>ROUND('[10]Changes FY16'!L50,-3)</f>
        <v>0</v>
      </c>
      <c r="M50" s="28">
        <f t="shared" si="5"/>
        <v>0</v>
      </c>
    </row>
    <row r="51" spans="1:13" ht="9.75" customHeight="1" x14ac:dyDescent="0.35">
      <c r="A51" s="6" t="s">
        <v>25</v>
      </c>
      <c r="B51" s="20">
        <f>ROUND('[10]Changes FY16'!B51,-3)</f>
        <v>-32922000</v>
      </c>
      <c r="C51" s="20">
        <f>ROUND('[10]Changes FY16'!C51,-3)+1000</f>
        <v>-785000</v>
      </c>
      <c r="D51" s="20">
        <f>ROUND('[10]Changes FY16'!D51,-3)</f>
        <v>46237000</v>
      </c>
      <c r="E51" s="20">
        <f>ROUND('[10]Changes FY16'!E51,-3)-1000</f>
        <v>-213848000</v>
      </c>
      <c r="F51" s="20">
        <f>ROUND('[10]Changes FY16'!F51,-3)</f>
        <v>201318000</v>
      </c>
      <c r="G51" s="20">
        <f>ROUND('[10]Changes FY16'!G51,-3)</f>
        <v>0</v>
      </c>
      <c r="H51" s="20">
        <f>ROUND('[10]Changes FY16'!H51,-3)</f>
        <v>0</v>
      </c>
      <c r="I51" s="28">
        <f t="shared" si="4"/>
        <v>0</v>
      </c>
      <c r="J51" s="28"/>
      <c r="K51" s="29">
        <f>ROUND('[10]Changes FY16'!K51,-3)</f>
        <v>0</v>
      </c>
      <c r="L51" s="29">
        <f>ROUND('[10]Changes FY16'!L51,-3)</f>
        <v>0</v>
      </c>
      <c r="M51" s="28">
        <f t="shared" si="5"/>
        <v>0</v>
      </c>
    </row>
    <row r="52" spans="1:13" s="15" customFormat="1" ht="11.7" x14ac:dyDescent="0.4">
      <c r="A52" s="49" t="s">
        <v>21</v>
      </c>
      <c r="B52" s="83">
        <f t="shared" ref="B52:I52" si="6">+B33-B40+SUM(B43:B51)</f>
        <v>0</v>
      </c>
      <c r="C52" s="83">
        <f t="shared" si="6"/>
        <v>4907000</v>
      </c>
      <c r="D52" s="83">
        <f t="shared" si="6"/>
        <v>155140000</v>
      </c>
      <c r="E52" s="83">
        <f t="shared" si="6"/>
        <v>41520000</v>
      </c>
      <c r="F52" s="83">
        <f t="shared" si="6"/>
        <v>45178000</v>
      </c>
      <c r="G52" s="83">
        <f t="shared" si="6"/>
        <v>-45539000</v>
      </c>
      <c r="H52" s="83">
        <f t="shared" si="6"/>
        <v>-102000</v>
      </c>
      <c r="I52" s="56">
        <f t="shared" si="6"/>
        <v>201104000</v>
      </c>
      <c r="J52" s="47"/>
      <c r="K52" s="56">
        <f>+K33-K40+SUM(K43:K51)</f>
        <v>-206866000</v>
      </c>
      <c r="L52" s="56">
        <f>+L33-L40+SUM(L43:L51)</f>
        <v>163237000</v>
      </c>
      <c r="M52" s="56">
        <f>+M33-M40+SUM(M43:M51)</f>
        <v>157475000</v>
      </c>
    </row>
    <row r="53" spans="1:13" s="15" customFormat="1" ht="11.7" x14ac:dyDescent="0.4">
      <c r="A53" s="49" t="s">
        <v>91</v>
      </c>
      <c r="B53" s="86"/>
      <c r="C53" s="86"/>
      <c r="D53" s="86"/>
      <c r="E53" s="86"/>
      <c r="F53" s="86"/>
      <c r="G53" s="20">
        <f>ROUND('[10]Changes FY16'!G53,-3)</f>
        <v>0</v>
      </c>
      <c r="H53" s="86"/>
      <c r="I53" s="28">
        <f>SUM(B53:H53)</f>
        <v>0</v>
      </c>
      <c r="J53" s="47"/>
      <c r="K53" s="29">
        <f>ROUND('[10]Changes FY16'!K53,-3)</f>
        <v>0</v>
      </c>
      <c r="L53" s="43"/>
      <c r="M53" s="28">
        <f>SUM(I53:L53)</f>
        <v>0</v>
      </c>
    </row>
    <row r="54" spans="1:13" s="15" customFormat="1" x14ac:dyDescent="0.35">
      <c r="A54" s="45" t="s">
        <v>20</v>
      </c>
      <c r="B54" s="20">
        <f>ROUND('[10]Changes FY16'!B54,-3)</f>
        <v>0</v>
      </c>
      <c r="C54" s="20">
        <f>ROUND('[10]Changes FY16'!C54,-3)</f>
        <v>0</v>
      </c>
      <c r="D54" s="20">
        <f>ROUND('[10]Changes FY16'!D54,-3)</f>
        <v>0</v>
      </c>
      <c r="E54" s="20">
        <f>ROUND('[10]Changes FY16'!E54,-3)</f>
        <v>0</v>
      </c>
      <c r="F54" s="20">
        <f>ROUND('[10]Changes FY16'!F54,-3)</f>
        <v>0</v>
      </c>
      <c r="G54" s="20">
        <f>ROUND('[10]Changes FY16'!G54,-3)</f>
        <v>0</v>
      </c>
      <c r="H54" s="20">
        <f>ROUND('[10]Changes FY16'!H54,-3)</f>
        <v>0</v>
      </c>
      <c r="I54" s="28">
        <f>SUM(B54:H54)</f>
        <v>0</v>
      </c>
      <c r="J54" s="28"/>
      <c r="K54" s="29">
        <f>ROUND('[10]Changes FY16'!K54,-3)</f>
        <v>0</v>
      </c>
      <c r="L54" s="43"/>
      <c r="M54" s="28">
        <f>SUM(I54:L54)</f>
        <v>0</v>
      </c>
    </row>
    <row r="55" spans="1:13" ht="12" customHeight="1" x14ac:dyDescent="0.35">
      <c r="A55" s="41" t="s">
        <v>19</v>
      </c>
      <c r="B55" s="20">
        <f>ROUND('[10]Changes FY16'!B55,-3)</f>
        <v>0</v>
      </c>
      <c r="C55" s="40">
        <f>ROUND('[10]Changes FY16'!C55,-3)-1000</f>
        <v>-233151000</v>
      </c>
      <c r="D55" s="40">
        <f>ROUND('[10]Changes FY16'!D55,-3)</f>
        <v>1077323000</v>
      </c>
      <c r="E55" s="40">
        <f>ROUND('[10]Changes FY16'!E55,-3)</f>
        <v>277316000</v>
      </c>
      <c r="F55" s="40">
        <f>ROUND('[10]Changes FY16'!F55,-3)</f>
        <v>1036811000</v>
      </c>
      <c r="G55" s="40">
        <f>ROUND('[10]Changes FY16'!G55,-3)</f>
        <v>1337683000</v>
      </c>
      <c r="H55" s="40">
        <f>ROUND('[10]Changes FY16'!H55,-3)</f>
        <v>-13096000</v>
      </c>
      <c r="I55" s="39">
        <f>SUM(B55:H55)</f>
        <v>3482886000</v>
      </c>
      <c r="J55" s="39"/>
      <c r="K55" s="38">
        <f>ROUND('[10]Changes FY16'!K55,-3)</f>
        <v>1999459000</v>
      </c>
      <c r="L55" s="38">
        <f>ROUND('[10]Changes FY16'!L55,-3)+1000</f>
        <v>2242602000</v>
      </c>
      <c r="M55" s="38">
        <f>SUM(I55:L55)</f>
        <v>7724947000</v>
      </c>
    </row>
    <row r="56" spans="1:13" s="9" customFormat="1" ht="12" customHeight="1" x14ac:dyDescent="0.35">
      <c r="A56" s="37" t="s">
        <v>18</v>
      </c>
      <c r="B56" s="85">
        <f t="shared" ref="B56:M56" si="7">SUM(B52:B55)</f>
        <v>0</v>
      </c>
      <c r="C56" s="85">
        <f t="shared" si="7"/>
        <v>-228244000</v>
      </c>
      <c r="D56" s="85">
        <f t="shared" si="7"/>
        <v>1232463000</v>
      </c>
      <c r="E56" s="85">
        <f t="shared" si="7"/>
        <v>318836000</v>
      </c>
      <c r="F56" s="85">
        <f t="shared" si="7"/>
        <v>1081989000</v>
      </c>
      <c r="G56" s="85">
        <f t="shared" si="7"/>
        <v>1292144000</v>
      </c>
      <c r="H56" s="85">
        <f t="shared" si="7"/>
        <v>-13198000</v>
      </c>
      <c r="I56" s="23">
        <f t="shared" si="7"/>
        <v>3683990000</v>
      </c>
      <c r="J56" s="32">
        <f t="shared" si="7"/>
        <v>0</v>
      </c>
      <c r="K56" s="23">
        <f t="shared" si="7"/>
        <v>1792593000</v>
      </c>
      <c r="L56" s="23">
        <f t="shared" si="7"/>
        <v>2405839000</v>
      </c>
      <c r="M56" s="23">
        <f t="shared" si="7"/>
        <v>7882422000</v>
      </c>
    </row>
    <row r="57" spans="1:13" s="7" customFormat="1" ht="2.1" customHeight="1" x14ac:dyDescent="0.35">
      <c r="B57" s="35"/>
      <c r="C57" s="35"/>
      <c r="D57" s="35"/>
      <c r="E57" s="35"/>
      <c r="F57" s="35"/>
      <c r="G57" s="35"/>
      <c r="H57" s="35"/>
      <c r="I57" s="34"/>
      <c r="J57" s="28"/>
      <c r="K57" s="34"/>
      <c r="L57" s="34"/>
      <c r="M57" s="34"/>
    </row>
    <row r="58" spans="1:13" ht="9.9499999999999993" customHeight="1" x14ac:dyDescent="0.35">
      <c r="A58" s="2"/>
      <c r="B58" s="20"/>
      <c r="C58" s="20"/>
      <c r="D58" s="20"/>
      <c r="E58" s="20"/>
      <c r="F58" s="20"/>
      <c r="G58" s="20"/>
      <c r="H58" s="20"/>
      <c r="I58" s="28"/>
      <c r="J58" s="28"/>
      <c r="K58" s="28"/>
      <c r="L58" s="28"/>
      <c r="M58" s="28"/>
    </row>
    <row r="59" spans="1:13" ht="9.9499999999999993" customHeight="1" x14ac:dyDescent="0.35">
      <c r="A59" s="33" t="s">
        <v>17</v>
      </c>
      <c r="B59" s="20"/>
      <c r="C59" s="20"/>
      <c r="D59" s="20"/>
      <c r="E59" s="20"/>
      <c r="F59" s="20"/>
      <c r="G59" s="20"/>
      <c r="H59" s="20"/>
      <c r="I59" s="28"/>
      <c r="J59" s="28"/>
      <c r="K59" s="28"/>
      <c r="L59" s="28"/>
      <c r="M59" s="28"/>
    </row>
    <row r="60" spans="1:13" s="2" customFormat="1" ht="9.9499999999999993" customHeight="1" x14ac:dyDescent="0.35">
      <c r="A60" s="6" t="s">
        <v>16</v>
      </c>
      <c r="B60" s="30">
        <f>ROUND('[10]Changes FY16'!B60,-3)</f>
        <v>0</v>
      </c>
      <c r="C60" s="30">
        <f>ROUND('[10]Changes FY16'!C60,-3)</f>
        <v>-37317000</v>
      </c>
      <c r="D60" s="30">
        <f>ROUND('[10]Changes FY16'!D60,-3)</f>
        <v>170886000</v>
      </c>
      <c r="E60" s="20">
        <f>ROUND('[10]Changes FY16'!E60,-3)</f>
        <v>0</v>
      </c>
      <c r="F60" s="20">
        <f>ROUND('[10]Changes FY16'!F60,-3)</f>
        <v>0</v>
      </c>
      <c r="G60" s="20">
        <f>ROUND('[10]Changes FY16'!G60,-3)</f>
        <v>0</v>
      </c>
      <c r="H60" s="30">
        <f>ROUND('[10]Changes FY16'!H60,-3)-1000</f>
        <v>-17842000</v>
      </c>
      <c r="I60" s="32">
        <f t="shared" ref="I60:I75" si="8">SUM(B60:H60)</f>
        <v>115727000</v>
      </c>
      <c r="J60" s="28"/>
      <c r="K60" s="29">
        <f>ROUND('[10]Changes FY16'!K60,-3)</f>
        <v>0</v>
      </c>
      <c r="L60" s="29">
        <f>ROUND('[10]Changes FY16'!L60,-3)</f>
        <v>0</v>
      </c>
      <c r="M60" s="32">
        <f t="shared" ref="M60:M75" si="9">SUM(I60:L60)</f>
        <v>115727000</v>
      </c>
    </row>
    <row r="61" spans="1:13" s="2" customFormat="1" ht="9.9499999999999993" customHeight="1" x14ac:dyDescent="0.35">
      <c r="A61" s="6" t="s">
        <v>15</v>
      </c>
      <c r="B61" s="30">
        <f>ROUND('[10]Changes FY16'!B61,-3)</f>
        <v>0</v>
      </c>
      <c r="C61" s="20">
        <f>ROUND('[10]Changes FY16'!C61,-3)</f>
        <v>-190927000</v>
      </c>
      <c r="D61" s="20">
        <f>ROUND('[10]Changes FY16'!D61,-3)</f>
        <v>822399000</v>
      </c>
      <c r="E61" s="30">
        <f>ROUND('[10]Changes FY16'!E61,-3)</f>
        <v>207766000</v>
      </c>
      <c r="F61" s="20">
        <f>ROUND('[10]Changes FY16'!F61,-3)</f>
        <v>0</v>
      </c>
      <c r="G61" s="20">
        <f>ROUND('[10]Changes FY16'!G61,-3)</f>
        <v>0</v>
      </c>
      <c r="H61" s="20">
        <f>ROUND('[10]Changes FY16'!H61,-3)</f>
        <v>4644000</v>
      </c>
      <c r="I61" s="28">
        <f t="shared" si="8"/>
        <v>843882000</v>
      </c>
      <c r="J61" s="28"/>
      <c r="K61" s="29">
        <f>ROUND('[10]Changes FY16'!K61,-3)</f>
        <v>0</v>
      </c>
      <c r="L61" s="29">
        <f>ROUND('[10]Changes FY16'!L61,-3)</f>
        <v>0</v>
      </c>
      <c r="M61" s="28">
        <f t="shared" si="9"/>
        <v>843882000</v>
      </c>
    </row>
    <row r="62" spans="1:13" s="2" customFormat="1" x14ac:dyDescent="0.35">
      <c r="A62" s="6" t="s">
        <v>14</v>
      </c>
      <c r="B62" s="30">
        <f>ROUND('[10]Changes FY16'!B62,-3)</f>
        <v>0</v>
      </c>
      <c r="C62" s="20">
        <f>ROUND('[10]Changes FY16'!C62,-3)</f>
        <v>0</v>
      </c>
      <c r="D62" s="20">
        <f>ROUND('[10]Changes FY16'!D62,-3)</f>
        <v>0</v>
      </c>
      <c r="E62" s="20">
        <f>ROUND('[10]Changes FY16'!E62,-3)</f>
        <v>0</v>
      </c>
      <c r="F62" s="20">
        <f>ROUND('[10]Changes FY16'!F62,-3)</f>
        <v>0</v>
      </c>
      <c r="G62" s="20">
        <f>ROUND('[10]Changes FY16'!G62,-3)</f>
        <v>0</v>
      </c>
      <c r="H62" s="20">
        <f>ROUND('[10]Changes FY16'!H62,-3)</f>
        <v>0</v>
      </c>
      <c r="I62" s="28">
        <f t="shared" si="8"/>
        <v>0</v>
      </c>
      <c r="J62" s="28"/>
      <c r="K62" s="31">
        <f>ROUND('[10]Changes FY16'!K62,-3)+1000</f>
        <v>64247000</v>
      </c>
      <c r="L62" s="31">
        <f>ROUND('[10]Changes FY16'!L62,-3)</f>
        <v>25217000</v>
      </c>
      <c r="M62" s="28">
        <f t="shared" si="9"/>
        <v>89464000</v>
      </c>
    </row>
    <row r="63" spans="1:13" s="2" customFormat="1" ht="9.9499999999999993" customHeight="1" x14ac:dyDescent="0.35">
      <c r="A63" s="6" t="s">
        <v>13</v>
      </c>
      <c r="B63" s="30">
        <f>ROUND('[10]Changes FY16'!B63,-3)</f>
        <v>0</v>
      </c>
      <c r="C63" s="20">
        <f>ROUND('[10]Changes FY16'!C63,-3)</f>
        <v>0</v>
      </c>
      <c r="D63" s="20">
        <f>ROUND('[10]Changes FY16'!D63,-3)</f>
        <v>0</v>
      </c>
      <c r="E63" s="20">
        <f>ROUND('[10]Changes FY16'!E63,-3)</f>
        <v>0</v>
      </c>
      <c r="F63" s="20">
        <f>ROUND('[10]Changes FY16'!F63,-3)</f>
        <v>0</v>
      </c>
      <c r="G63" s="20">
        <f>ROUND('[10]Changes FY16'!G63,-3)</f>
        <v>0</v>
      </c>
      <c r="H63" s="20">
        <f>ROUND('[10]Changes FY16'!H63,-3)</f>
        <v>0</v>
      </c>
      <c r="I63" s="28">
        <f t="shared" si="8"/>
        <v>0</v>
      </c>
      <c r="J63" s="28"/>
      <c r="K63" s="29">
        <f>ROUND('[10]Changes FY16'!K63,-3)</f>
        <v>323299000</v>
      </c>
      <c r="L63" s="29">
        <f>ROUND('[10]Changes FY16'!L63,-3)</f>
        <v>340504000</v>
      </c>
      <c r="M63" s="28">
        <f t="shared" si="9"/>
        <v>663803000</v>
      </c>
    </row>
    <row r="64" spans="1:13" s="2" customFormat="1" ht="9.9499999999999993" customHeight="1" x14ac:dyDescent="0.35">
      <c r="A64" s="6" t="s">
        <v>90</v>
      </c>
      <c r="B64" s="30">
        <f>ROUND('[10]Changes FY16'!B64,-3)</f>
        <v>0</v>
      </c>
      <c r="C64" s="20">
        <f>ROUND('[10]Changes FY16'!C64,-3)</f>
        <v>0</v>
      </c>
      <c r="D64" s="20">
        <f>ROUND('[10]Changes FY16'!D64,-3)</f>
        <v>0</v>
      </c>
      <c r="E64" s="20">
        <f>ROUND('[10]Changes FY16'!E64,-3)</f>
        <v>0</v>
      </c>
      <c r="F64" s="20">
        <f>ROUND('[10]Changes FY16'!F64,-3)</f>
        <v>0</v>
      </c>
      <c r="G64" s="20">
        <f>ROUND('[10]Changes FY16'!G64,-3)</f>
        <v>0</v>
      </c>
      <c r="H64" s="20">
        <f>ROUND('[10]Changes FY16'!H64,-3)</f>
        <v>0</v>
      </c>
      <c r="I64" s="28">
        <f t="shared" si="8"/>
        <v>0</v>
      </c>
      <c r="J64" s="28"/>
      <c r="K64" s="29">
        <f>ROUND('[10]Changes FY16'!K64,-3)</f>
        <v>0</v>
      </c>
      <c r="L64" s="29">
        <f>ROUND('[10]Changes FY16'!L64,-3)</f>
        <v>0</v>
      </c>
      <c r="M64" s="28">
        <f t="shared" si="9"/>
        <v>0</v>
      </c>
    </row>
    <row r="65" spans="1:13" s="2" customFormat="1" ht="9.9499999999999993" customHeight="1" x14ac:dyDescent="0.35">
      <c r="A65" s="6" t="s">
        <v>12</v>
      </c>
      <c r="B65" s="30">
        <f>ROUND('[10]Changes FY16'!B65,-3)</f>
        <v>0</v>
      </c>
      <c r="C65" s="20">
        <f>ROUND('[10]Changes FY16'!C65,-3)</f>
        <v>0</v>
      </c>
      <c r="D65" s="20">
        <f>ROUND('[10]Changes FY16'!D65,-3)</f>
        <v>0</v>
      </c>
      <c r="E65" s="20">
        <f>ROUND('[10]Changes FY16'!E65,-3)</f>
        <v>0</v>
      </c>
      <c r="F65" s="20">
        <f>ROUND('[10]Changes FY16'!F65,-3)</f>
        <v>0</v>
      </c>
      <c r="G65" s="20">
        <f>ROUND('[10]Changes FY16'!G65,-3)</f>
        <v>0</v>
      </c>
      <c r="H65" s="20">
        <f>ROUND('[10]Changes FY16'!H65,-3)</f>
        <v>0</v>
      </c>
      <c r="I65" s="28">
        <f t="shared" si="8"/>
        <v>0</v>
      </c>
      <c r="J65" s="28"/>
      <c r="K65" s="29">
        <f>ROUND('[10]Changes FY16'!K65,-3)</f>
        <v>0</v>
      </c>
      <c r="L65" s="29">
        <f>ROUND('[10]Changes FY16'!L65,-3)</f>
        <v>0</v>
      </c>
      <c r="M65" s="28">
        <f t="shared" si="9"/>
        <v>0</v>
      </c>
    </row>
    <row r="66" spans="1:13" s="2" customFormat="1" ht="9.9499999999999993" customHeight="1" x14ac:dyDescent="0.35">
      <c r="A66" s="6" t="s">
        <v>11</v>
      </c>
      <c r="B66" s="30">
        <f>ROUND('[10]Changes FY16'!B66,-3)</f>
        <v>0</v>
      </c>
      <c r="C66" s="20">
        <f>ROUND('[10]Changes FY16'!C66,-3)</f>
        <v>0</v>
      </c>
      <c r="D66" s="20">
        <f>ROUND('[10]Changes FY16'!D66,-3)</f>
        <v>239178000</v>
      </c>
      <c r="E66" s="20">
        <f>ROUND('[10]Changes FY16'!E66,-3)</f>
        <v>0</v>
      </c>
      <c r="F66" s="20">
        <f>ROUND('[10]Changes FY16'!F66,-3)</f>
        <v>0</v>
      </c>
      <c r="G66" s="20">
        <f>ROUND('[10]Changes FY16'!G66,-3)</f>
        <v>0</v>
      </c>
      <c r="H66" s="20">
        <f>ROUND('[10]Changes FY16'!H66,-3)</f>
        <v>0</v>
      </c>
      <c r="I66" s="28">
        <f t="shared" si="8"/>
        <v>239178000</v>
      </c>
      <c r="J66" s="28"/>
      <c r="K66" s="29">
        <f>ROUND('[10]Changes FY16'!K66,-3)</f>
        <v>0</v>
      </c>
      <c r="L66" s="29">
        <f>ROUND('[10]Changes FY16'!L66,-3)</f>
        <v>0</v>
      </c>
      <c r="M66" s="28">
        <f t="shared" si="9"/>
        <v>239178000</v>
      </c>
    </row>
    <row r="67" spans="1:13" s="2" customFormat="1" ht="9.9499999999999993" customHeight="1" x14ac:dyDescent="0.35">
      <c r="A67" s="6" t="s">
        <v>10</v>
      </c>
      <c r="B67" s="30">
        <f>ROUND('[10]Changes FY16'!B67,-3)</f>
        <v>0</v>
      </c>
      <c r="C67" s="20">
        <f>ROUND('[10]Changes FY16'!C67,-3)</f>
        <v>0</v>
      </c>
      <c r="D67" s="20">
        <f>ROUND('[10]Changes FY16'!D67,-3)</f>
        <v>0</v>
      </c>
      <c r="E67" s="20">
        <f>ROUND('[10]Changes FY16'!E67,-3)</f>
        <v>0</v>
      </c>
      <c r="F67" s="20">
        <f>ROUND('[10]Changes FY16'!F67,-3)</f>
        <v>0</v>
      </c>
      <c r="G67" s="20">
        <f>ROUND('[10]Changes FY16'!G67,-3)</f>
        <v>0</v>
      </c>
      <c r="H67" s="20">
        <f>ROUND('[10]Changes FY16'!H67,-3)</f>
        <v>0</v>
      </c>
      <c r="I67" s="28">
        <f t="shared" si="8"/>
        <v>0</v>
      </c>
      <c r="J67" s="28"/>
      <c r="K67" s="29">
        <f>ROUND('[10]Changes FY16'!K67,-3)-1000</f>
        <v>53167000</v>
      </c>
      <c r="L67" s="29">
        <f>ROUND('[10]Changes FY16'!L67,-3)</f>
        <v>75428000</v>
      </c>
      <c r="M67" s="28">
        <f t="shared" si="9"/>
        <v>128595000</v>
      </c>
    </row>
    <row r="68" spans="1:13" s="2" customFormat="1" ht="9.9499999999999993" customHeight="1" x14ac:dyDescent="0.35">
      <c r="A68" s="6" t="s">
        <v>9</v>
      </c>
      <c r="B68" s="30">
        <f>ROUND('[10]Changes FY16'!B68,-3)</f>
        <v>0</v>
      </c>
      <c r="C68" s="20">
        <f>ROUND('[10]Changes FY16'!C68,-3)</f>
        <v>0</v>
      </c>
      <c r="D68" s="20">
        <f>ROUND('[10]Changes FY16'!D68,-3)</f>
        <v>0</v>
      </c>
      <c r="E68" s="20">
        <f>ROUND('[10]Changes FY16'!E68,-3)</f>
        <v>0</v>
      </c>
      <c r="F68" s="20">
        <f>ROUND('[10]Changes FY16'!F68,-3)</f>
        <v>0</v>
      </c>
      <c r="G68" s="20">
        <f>ROUND('[10]Changes FY16'!G68,-3)</f>
        <v>0</v>
      </c>
      <c r="H68" s="20">
        <f>ROUND('[10]Changes FY16'!H68,-3)</f>
        <v>0</v>
      </c>
      <c r="I68" s="28">
        <f t="shared" si="8"/>
        <v>0</v>
      </c>
      <c r="J68" s="28"/>
      <c r="K68" s="29">
        <f>ROUND('[10]Changes FY16'!K68,-3)</f>
        <v>1351880000</v>
      </c>
      <c r="L68" s="29">
        <f>ROUND('[10]Changes FY16'!L68,-3)</f>
        <v>1964690000</v>
      </c>
      <c r="M68" s="28">
        <f t="shared" si="9"/>
        <v>3316570000</v>
      </c>
    </row>
    <row r="69" spans="1:13" s="2" customFormat="1" x14ac:dyDescent="0.35">
      <c r="A69" s="6" t="s">
        <v>8</v>
      </c>
      <c r="B69" s="30">
        <f>ROUND('[10]Changes FY16'!B69,-3)</f>
        <v>0</v>
      </c>
      <c r="C69" s="20">
        <f>ROUND('[10]Changes FY16'!C69,-3)</f>
        <v>0</v>
      </c>
      <c r="D69" s="20">
        <f>ROUND('[10]Changes FY16'!D69,-3)</f>
        <v>0</v>
      </c>
      <c r="E69" s="20">
        <f>ROUND('[10]Changes FY16'!E69,-3)</f>
        <v>0</v>
      </c>
      <c r="F69" s="20">
        <f>ROUND('[10]Changes FY16'!F69,-3)</f>
        <v>0</v>
      </c>
      <c r="G69" s="20">
        <f>ROUND('[10]Changes FY16'!G69,-3)</f>
        <v>0</v>
      </c>
      <c r="H69" s="20">
        <f>ROUND('[10]Changes FY16'!H69,-3)</f>
        <v>0</v>
      </c>
      <c r="I69" s="28">
        <f t="shared" si="8"/>
        <v>0</v>
      </c>
      <c r="J69" s="28"/>
      <c r="K69" s="29">
        <f>ROUND('[10]Changes FY16'!K69,-3)</f>
        <v>0</v>
      </c>
      <c r="L69" s="29">
        <f>ROUND('[10]Changes FY16'!L69,-3)</f>
        <v>0</v>
      </c>
      <c r="M69" s="28">
        <f t="shared" si="9"/>
        <v>0</v>
      </c>
    </row>
    <row r="70" spans="1:13" s="2" customFormat="1" x14ac:dyDescent="0.35">
      <c r="A70" s="6" t="s">
        <v>7</v>
      </c>
      <c r="B70" s="30">
        <f>ROUND('[10]Changes FY16'!B70,-3)</f>
        <v>0</v>
      </c>
      <c r="C70" s="20">
        <f>ROUND('[10]Changes FY16'!C70,-3)</f>
        <v>0</v>
      </c>
      <c r="D70" s="20">
        <f>ROUND('[10]Changes FY16'!D70,-3)</f>
        <v>0</v>
      </c>
      <c r="E70" s="20">
        <f>ROUND('[10]Changes FY16'!E70,-3)</f>
        <v>0</v>
      </c>
      <c r="F70" s="20">
        <f>ROUND('[10]Changes FY16'!F70,-3)</f>
        <v>0</v>
      </c>
      <c r="G70" s="20">
        <f>ROUND('[10]Changes FY16'!G70,-3)</f>
        <v>1292144000</v>
      </c>
      <c r="H70" s="20">
        <f>ROUND('[10]Changes FY16'!H70,-3)</f>
        <v>0</v>
      </c>
      <c r="I70" s="28">
        <f t="shared" si="8"/>
        <v>1292144000</v>
      </c>
      <c r="J70" s="28"/>
      <c r="K70" s="29">
        <f>ROUND('[10]Changes FY16'!K70,-3)</f>
        <v>0</v>
      </c>
      <c r="L70" s="29">
        <f>ROUND('[10]Changes FY16'!L70,-3)</f>
        <v>0</v>
      </c>
      <c r="M70" s="28">
        <f t="shared" si="9"/>
        <v>1292144000</v>
      </c>
    </row>
    <row r="71" spans="1:13" s="2" customFormat="1" x14ac:dyDescent="0.35">
      <c r="A71" s="6" t="s">
        <v>6</v>
      </c>
      <c r="B71" s="30">
        <f>ROUND('[10]Changes FY16'!B71,-3)</f>
        <v>0</v>
      </c>
      <c r="C71" s="20">
        <f>ROUND('[10]Changes FY16'!C71,-3)</f>
        <v>0</v>
      </c>
      <c r="D71" s="20">
        <f>ROUND('[10]Changes FY16'!D71,-3)</f>
        <v>0</v>
      </c>
      <c r="E71" s="20">
        <f>ROUND('[10]Changes FY16'!E71,-3)</f>
        <v>0</v>
      </c>
      <c r="F71" s="20">
        <f>ROUND('[10]Changes FY16'!F71,-3)</f>
        <v>0</v>
      </c>
      <c r="G71" s="20">
        <f>ROUND('[10]Changes FY16'!G71,-3)</f>
        <v>0</v>
      </c>
      <c r="H71" s="20">
        <f>ROUND('[10]Changes FY16'!H71,-3)</f>
        <v>0</v>
      </c>
      <c r="I71" s="28">
        <f t="shared" si="8"/>
        <v>0</v>
      </c>
      <c r="J71" s="28"/>
      <c r="K71" s="29">
        <f>ROUND('[10]Changes FY16'!K71,-3)</f>
        <v>0</v>
      </c>
      <c r="L71" s="29">
        <f>ROUND('[10]Changes FY16'!L71,-3)</f>
        <v>0</v>
      </c>
      <c r="M71" s="28">
        <f t="shared" si="9"/>
        <v>0</v>
      </c>
    </row>
    <row r="72" spans="1:13" s="2" customFormat="1" x14ac:dyDescent="0.35">
      <c r="A72" s="6" t="s">
        <v>5</v>
      </c>
      <c r="B72" s="30">
        <f>ROUND('[10]Changes FY16'!B72,-3)</f>
        <v>0</v>
      </c>
      <c r="C72" s="20">
        <f>ROUND('[10]Changes FY16'!C72,-3)</f>
        <v>0</v>
      </c>
      <c r="D72" s="20">
        <f>ROUND('[10]Changes FY16'!D72,-3)</f>
        <v>0</v>
      </c>
      <c r="E72" s="20">
        <f>ROUND('[10]Changes FY16'!E72,-3)</f>
        <v>0</v>
      </c>
      <c r="F72" s="20">
        <f>ROUND('[10]Changes FY16'!F72,-3)</f>
        <v>0</v>
      </c>
      <c r="G72" s="20">
        <f>ROUND('[10]Changes FY16'!G72,-3)</f>
        <v>0</v>
      </c>
      <c r="H72" s="20">
        <f>ROUND('[10]Changes FY16'!H72,-3)</f>
        <v>0</v>
      </c>
      <c r="I72" s="28">
        <f t="shared" si="8"/>
        <v>0</v>
      </c>
      <c r="J72" s="28"/>
      <c r="K72" s="29">
        <f>ROUND('[10]Changes FY16'!K72,-3)</f>
        <v>0</v>
      </c>
      <c r="L72" s="29">
        <f>ROUND('[10]Changes FY16'!L72,-3)</f>
        <v>0</v>
      </c>
      <c r="M72" s="28">
        <f t="shared" si="9"/>
        <v>0</v>
      </c>
    </row>
    <row r="73" spans="1:13" s="2" customFormat="1" x14ac:dyDescent="0.35">
      <c r="A73" s="6" t="s">
        <v>4</v>
      </c>
      <c r="B73" s="30">
        <f>ROUND('[10]Changes FY16'!B73,-3)</f>
        <v>0</v>
      </c>
      <c r="C73" s="20">
        <f>ROUND('[10]Changes FY16'!C73,-3)</f>
        <v>0</v>
      </c>
      <c r="D73" s="20">
        <f>ROUND('[10]Changes FY16'!D73,-3)</f>
        <v>0</v>
      </c>
      <c r="E73" s="20">
        <f>ROUND('[10]Changes FY16'!E73,-3)</f>
        <v>0</v>
      </c>
      <c r="F73" s="20">
        <f>ROUND('[10]Changes FY16'!F73,-3)</f>
        <v>0</v>
      </c>
      <c r="G73" s="20">
        <f>ROUND('[10]Changes FY16'!G73,-3)</f>
        <v>0</v>
      </c>
      <c r="H73" s="20">
        <f>ROUND('[10]Changes FY16'!H73,-3)</f>
        <v>0</v>
      </c>
      <c r="I73" s="28">
        <f t="shared" si="8"/>
        <v>0</v>
      </c>
      <c r="J73" s="28"/>
      <c r="K73" s="29">
        <f>ROUND('[10]Changes FY16'!K73,-3)</f>
        <v>0</v>
      </c>
      <c r="L73" s="29">
        <f>ROUND('[10]Changes FY16'!L73,-3)</f>
        <v>0</v>
      </c>
      <c r="M73" s="28">
        <f t="shared" si="9"/>
        <v>0</v>
      </c>
    </row>
    <row r="74" spans="1:13" s="2" customFormat="1" x14ac:dyDescent="0.35">
      <c r="A74" s="6" t="s">
        <v>3</v>
      </c>
      <c r="B74" s="30">
        <f>ROUND('[10]Changes FY16'!B74,-3)</f>
        <v>0</v>
      </c>
      <c r="C74" s="20">
        <f>ROUND('[10]Changes FY16'!C74,-3)</f>
        <v>0</v>
      </c>
      <c r="D74" s="20">
        <f>ROUND('[10]Changes FY16'!D74,-3)</f>
        <v>0</v>
      </c>
      <c r="E74" s="20">
        <f>ROUND('[10]Changes FY16'!E74,-3)</f>
        <v>111070000</v>
      </c>
      <c r="F74" s="20">
        <f>ROUND('[10]Changes FY16'!F74,-3)</f>
        <v>0</v>
      </c>
      <c r="G74" s="20">
        <f>ROUND('[10]Changes FY16'!G74,-3)</f>
        <v>0</v>
      </c>
      <c r="H74" s="20">
        <f>ROUND('[10]Changes FY16'!H74,-3)</f>
        <v>0</v>
      </c>
      <c r="I74" s="28">
        <f t="shared" si="8"/>
        <v>111070000</v>
      </c>
      <c r="J74" s="28"/>
      <c r="K74" s="29">
        <f>ROUND('[10]Changes FY16'!K74,-3)</f>
        <v>0</v>
      </c>
      <c r="L74" s="29">
        <f>ROUND('[10]Changes FY16'!L74,-3)</f>
        <v>0</v>
      </c>
      <c r="M74" s="28">
        <f t="shared" si="9"/>
        <v>111070000</v>
      </c>
    </row>
    <row r="75" spans="1:13" s="2" customFormat="1" x14ac:dyDescent="0.35">
      <c r="A75" s="6" t="s">
        <v>2</v>
      </c>
      <c r="B75" s="30">
        <f>ROUND('[10]Changes FY16'!B75,-3)</f>
        <v>0</v>
      </c>
      <c r="C75" s="20">
        <f>ROUND('[10]Changes FY16'!C75,-3)</f>
        <v>0</v>
      </c>
      <c r="D75" s="20">
        <f>ROUND('[10]Changes FY16'!D75,-3)</f>
        <v>0</v>
      </c>
      <c r="E75" s="20">
        <f>ROUND('[10]Changes FY16'!E75,-3)</f>
        <v>0</v>
      </c>
      <c r="F75" s="20">
        <f>ROUND('[10]Changes FY16'!F75,-3)+1000</f>
        <v>1081989000</v>
      </c>
      <c r="G75" s="20">
        <f>ROUND('[10]Changes FY16'!G75,-3)</f>
        <v>0</v>
      </c>
      <c r="H75" s="20">
        <f>ROUND('[10]Changes FY16'!H75,-3)</f>
        <v>0</v>
      </c>
      <c r="I75" s="28">
        <f t="shared" si="8"/>
        <v>1081989000</v>
      </c>
      <c r="J75" s="28"/>
      <c r="K75" s="29">
        <f>ROUND('[10]Changes FY16'!K75,-3)</f>
        <v>0</v>
      </c>
      <c r="L75" s="29">
        <f>ROUND('[10]Changes FY16'!L75,-3)</f>
        <v>0</v>
      </c>
      <c r="M75" s="28">
        <f t="shared" si="9"/>
        <v>1081989000</v>
      </c>
    </row>
    <row r="76" spans="1:13" s="2" customFormat="1" ht="12" thickBot="1" x14ac:dyDescent="0.45">
      <c r="A76" s="27"/>
      <c r="B76" s="26">
        <f t="shared" ref="B76:I76" si="10">SUM(B60:B75)</f>
        <v>0</v>
      </c>
      <c r="C76" s="25">
        <f t="shared" si="10"/>
        <v>-228244000</v>
      </c>
      <c r="D76" s="25">
        <f t="shared" si="10"/>
        <v>1232463000</v>
      </c>
      <c r="E76" s="25">
        <f t="shared" si="10"/>
        <v>318836000</v>
      </c>
      <c r="F76" s="25">
        <f t="shared" si="10"/>
        <v>1081989000</v>
      </c>
      <c r="G76" s="25">
        <f t="shared" si="10"/>
        <v>1292144000</v>
      </c>
      <c r="H76" s="25">
        <f t="shared" si="10"/>
        <v>-13198000</v>
      </c>
      <c r="I76" s="23">
        <f t="shared" si="10"/>
        <v>3683990000</v>
      </c>
      <c r="J76" s="24"/>
      <c r="K76" s="23">
        <f>SUM(K60:K75)</f>
        <v>1792593000</v>
      </c>
      <c r="L76" s="23">
        <f>SUM(L60:L75)</f>
        <v>2405839000</v>
      </c>
      <c r="M76" s="23">
        <f>SUM(M60:M75)</f>
        <v>7882422000</v>
      </c>
    </row>
    <row r="77" spans="1:13" s="2" customFormat="1" ht="10.7" thickTop="1" x14ac:dyDescent="0.35">
      <c r="A77" s="21" t="s">
        <v>1</v>
      </c>
      <c r="B77" s="19"/>
      <c r="C77" s="19"/>
      <c r="D77" s="19"/>
      <c r="E77" s="19"/>
      <c r="F77" s="19"/>
      <c r="G77" s="19"/>
      <c r="H77" s="19"/>
      <c r="I77" s="19"/>
      <c r="J77" s="20"/>
      <c r="K77" s="19"/>
      <c r="L77" s="19"/>
      <c r="M77" s="19"/>
    </row>
    <row r="78" spans="1:13" s="2" customFormat="1" x14ac:dyDescent="0.35">
      <c r="A78" s="2" t="s">
        <v>0</v>
      </c>
      <c r="B78" s="18">
        <f t="shared" ref="B78:M78" si="11">B56-B76</f>
        <v>0</v>
      </c>
      <c r="C78" s="18">
        <f t="shared" si="11"/>
        <v>0</v>
      </c>
      <c r="D78" s="18">
        <f t="shared" si="11"/>
        <v>0</v>
      </c>
      <c r="E78" s="18">
        <f t="shared" si="11"/>
        <v>0</v>
      </c>
      <c r="F78" s="18">
        <f t="shared" si="11"/>
        <v>0</v>
      </c>
      <c r="G78" s="18">
        <f t="shared" si="11"/>
        <v>0</v>
      </c>
      <c r="H78" s="18">
        <f t="shared" si="11"/>
        <v>0</v>
      </c>
      <c r="I78" s="18">
        <f t="shared" si="11"/>
        <v>0</v>
      </c>
      <c r="J78" s="18">
        <f t="shared" si="11"/>
        <v>0</v>
      </c>
      <c r="K78" s="18">
        <f t="shared" si="11"/>
        <v>0</v>
      </c>
      <c r="L78" s="18">
        <f t="shared" si="11"/>
        <v>0</v>
      </c>
      <c r="M78" s="18">
        <f t="shared" si="11"/>
        <v>0</v>
      </c>
    </row>
    <row r="79" spans="1:13" s="2" customFormat="1" x14ac:dyDescent="0.35"/>
    <row r="80" spans="1:13" s="2" customFormat="1" x14ac:dyDescent="0.35">
      <c r="D80" s="17"/>
    </row>
    <row r="81" spans="1:13" s="2" customFormat="1" x14ac:dyDescent="0.35">
      <c r="G81" s="14"/>
      <c r="H81" s="14"/>
      <c r="I81" s="14"/>
      <c r="J81" s="14"/>
      <c r="K81" s="14"/>
    </row>
    <row r="82" spans="1:13" s="2" customFormat="1" x14ac:dyDescent="0.35">
      <c r="G82" s="14"/>
      <c r="H82" s="16"/>
      <c r="I82" s="16"/>
      <c r="J82" s="14"/>
      <c r="K82" s="14"/>
    </row>
    <row r="83" spans="1:13" ht="11.1" customHeight="1" x14ac:dyDescent="0.35">
      <c r="A83" s="2"/>
      <c r="B83" s="2"/>
      <c r="C83" s="2"/>
      <c r="D83" s="2"/>
      <c r="E83" s="2"/>
      <c r="G83" s="15"/>
      <c r="H83" s="15"/>
      <c r="I83" s="15"/>
      <c r="J83" s="14"/>
      <c r="K83" s="15"/>
      <c r="L83" s="2"/>
      <c r="M83" s="2"/>
    </row>
    <row r="84" spans="1:13" x14ac:dyDescent="0.35">
      <c r="A84" s="2"/>
      <c r="B84" s="2"/>
      <c r="C84" s="2"/>
      <c r="D84" s="2"/>
      <c r="E84" s="2"/>
      <c r="G84" s="15"/>
      <c r="H84" s="15"/>
      <c r="I84" s="15"/>
      <c r="J84" s="14"/>
      <c r="K84" s="14"/>
      <c r="L84" s="2"/>
      <c r="M84" s="2"/>
    </row>
    <row r="85" spans="1:13" x14ac:dyDescent="0.35">
      <c r="A85" s="2"/>
      <c r="B85" s="2"/>
      <c r="C85" s="2"/>
      <c r="D85" s="2"/>
      <c r="E85" s="2"/>
      <c r="G85" s="15"/>
      <c r="H85" s="15"/>
      <c r="I85" s="15"/>
      <c r="J85" s="14"/>
      <c r="K85" s="15"/>
      <c r="L85" s="2"/>
      <c r="M85" s="2"/>
    </row>
    <row r="86" spans="1:13" ht="11.1" customHeight="1" x14ac:dyDescent="0.35">
      <c r="A86" s="2"/>
      <c r="B86" s="2"/>
      <c r="C86" s="2"/>
      <c r="D86" s="2"/>
      <c r="E86" s="2"/>
      <c r="G86" s="15"/>
      <c r="H86" s="15"/>
      <c r="I86" s="15"/>
      <c r="J86" s="14"/>
      <c r="K86" s="14"/>
      <c r="L86" s="2"/>
      <c r="M86" s="2"/>
    </row>
    <row r="87" spans="1:13" x14ac:dyDescent="0.35">
      <c r="A87" s="2"/>
      <c r="B87" s="2"/>
      <c r="C87" s="2"/>
      <c r="D87" s="2"/>
      <c r="E87" s="2"/>
      <c r="G87" s="15"/>
      <c r="H87" s="15"/>
      <c r="I87" s="15"/>
      <c r="J87" s="14"/>
      <c r="K87" s="14"/>
      <c r="L87" s="2"/>
      <c r="M87" s="2"/>
    </row>
    <row r="88" spans="1:13" x14ac:dyDescent="0.35">
      <c r="A88" s="2"/>
      <c r="B88" s="2"/>
      <c r="C88" s="2"/>
      <c r="D88" s="2"/>
      <c r="E88" s="2"/>
      <c r="K88" s="2"/>
      <c r="L88" s="2"/>
      <c r="M88" s="2"/>
    </row>
    <row r="89" spans="1:13" x14ac:dyDescent="0.35">
      <c r="A89" s="2"/>
      <c r="B89" s="2"/>
      <c r="C89" s="2"/>
      <c r="D89" s="2"/>
      <c r="E89" s="2"/>
      <c r="K89" s="2"/>
      <c r="L89" s="2"/>
      <c r="M89" s="2"/>
    </row>
    <row r="90" spans="1:13" x14ac:dyDescent="0.35">
      <c r="A90" s="2"/>
      <c r="B90" s="2"/>
      <c r="C90" s="2"/>
      <c r="D90" s="2"/>
      <c r="E90" s="2"/>
      <c r="K90" s="2"/>
      <c r="L90" s="2"/>
      <c r="M90" s="2"/>
    </row>
    <row r="91" spans="1:13" x14ac:dyDescent="0.35">
      <c r="A91" s="2"/>
      <c r="B91" s="2"/>
      <c r="C91" s="2"/>
      <c r="D91" s="2"/>
      <c r="E91" s="2"/>
      <c r="K91" s="2"/>
      <c r="L91" s="2"/>
      <c r="M91" s="2"/>
    </row>
    <row r="92" spans="1:13" x14ac:dyDescent="0.35">
      <c r="A92" s="2"/>
      <c r="B92" s="2"/>
      <c r="C92" s="2"/>
      <c r="D92" s="2"/>
      <c r="E92" s="2"/>
      <c r="K92" s="2"/>
      <c r="L92" s="2"/>
      <c r="M92" s="2"/>
    </row>
    <row r="93" spans="1:13" x14ac:dyDescent="0.35">
      <c r="A93" s="2"/>
      <c r="B93" s="2"/>
      <c r="C93" s="2"/>
      <c r="D93" s="2"/>
      <c r="E93" s="2"/>
      <c r="K93" s="2"/>
      <c r="L93" s="2"/>
      <c r="M93" s="2"/>
    </row>
    <row r="94" spans="1:13" x14ac:dyDescent="0.35">
      <c r="A94" s="2"/>
      <c r="B94" s="2"/>
      <c r="C94" s="2"/>
      <c r="D94" s="2"/>
      <c r="E94" s="2"/>
      <c r="K94" s="2"/>
      <c r="L94" s="2"/>
      <c r="M94" s="2"/>
    </row>
    <row r="95" spans="1:13" x14ac:dyDescent="0.35">
      <c r="A95" s="2"/>
      <c r="B95" s="2"/>
      <c r="C95" s="2"/>
      <c r="D95" s="2"/>
      <c r="E95" s="2"/>
      <c r="K95" s="2"/>
      <c r="L95" s="2"/>
      <c r="M95" s="2"/>
    </row>
    <row r="96" spans="1:13" x14ac:dyDescent="0.35">
      <c r="A96" s="2"/>
      <c r="B96" s="2"/>
      <c r="C96" s="2"/>
      <c r="D96" s="2"/>
      <c r="E96" s="2"/>
      <c r="K96" s="2"/>
      <c r="L96" s="2"/>
      <c r="M96" s="2"/>
    </row>
    <row r="97" spans="1:13" x14ac:dyDescent="0.35">
      <c r="A97" s="2"/>
      <c r="B97" s="2"/>
      <c r="C97" s="2"/>
      <c r="D97" s="2"/>
      <c r="E97" s="2"/>
      <c r="K97" s="2"/>
      <c r="L97" s="2"/>
      <c r="M97" s="2"/>
    </row>
    <row r="98" spans="1:13" x14ac:dyDescent="0.35">
      <c r="A98" s="2"/>
      <c r="B98" s="2"/>
      <c r="C98" s="2"/>
      <c r="D98" s="2"/>
      <c r="E98" s="2"/>
      <c r="K98" s="2"/>
      <c r="L98" s="2"/>
      <c r="M98" s="2"/>
    </row>
    <row r="99" spans="1:13" x14ac:dyDescent="0.35">
      <c r="A99" s="2"/>
      <c r="B99" s="2"/>
      <c r="C99" s="2"/>
      <c r="D99" s="2"/>
      <c r="E99" s="2"/>
      <c r="K99" s="2"/>
      <c r="L99" s="2"/>
      <c r="M99" s="2"/>
    </row>
    <row r="100" spans="1:13" x14ac:dyDescent="0.35">
      <c r="A100" s="2"/>
      <c r="B100" s="2"/>
      <c r="C100" s="2"/>
      <c r="D100" s="2"/>
      <c r="E100" s="2"/>
      <c r="K100" s="2"/>
      <c r="L100" s="2"/>
      <c r="M100" s="2"/>
    </row>
    <row r="101" spans="1:13" x14ac:dyDescent="0.35">
      <c r="A101" s="2"/>
      <c r="B101" s="2"/>
      <c r="C101" s="2"/>
      <c r="D101" s="2"/>
      <c r="E101" s="2"/>
      <c r="F101" s="5"/>
      <c r="G101" s="5"/>
      <c r="H101" s="5"/>
      <c r="I101" s="5"/>
      <c r="K101" s="2"/>
      <c r="L101" s="2"/>
      <c r="M101" s="2"/>
    </row>
    <row r="102" spans="1:13" x14ac:dyDescent="0.35">
      <c r="A102" s="2"/>
      <c r="B102" s="2"/>
      <c r="C102" s="2"/>
      <c r="D102" s="2"/>
      <c r="E102" s="2"/>
      <c r="F102" s="5"/>
      <c r="G102" s="5"/>
      <c r="H102" s="5"/>
      <c r="I102" s="5"/>
      <c r="K102" s="2"/>
      <c r="L102" s="2"/>
      <c r="M102" s="2"/>
    </row>
    <row r="103" spans="1:13" x14ac:dyDescent="0.35">
      <c r="A103" s="2"/>
      <c r="B103" s="2"/>
      <c r="C103" s="2"/>
      <c r="D103" s="2"/>
      <c r="E103" s="2"/>
      <c r="F103" s="2"/>
      <c r="G103" s="2"/>
      <c r="H103" s="2"/>
      <c r="I103" s="13"/>
      <c r="K103" s="2"/>
      <c r="L103" s="2"/>
      <c r="M103" s="2"/>
    </row>
    <row r="104" spans="1:13" x14ac:dyDescent="0.35">
      <c r="A104" s="2"/>
      <c r="B104" s="2"/>
      <c r="C104" s="2"/>
      <c r="D104" s="2"/>
      <c r="E104" s="2"/>
      <c r="F104" s="2"/>
      <c r="G104" s="2"/>
      <c r="H104" s="2"/>
      <c r="I104" s="13"/>
      <c r="K104" s="2"/>
      <c r="L104" s="2"/>
      <c r="M104" s="2"/>
    </row>
    <row r="105" spans="1:13" x14ac:dyDescent="0.35">
      <c r="A105" s="2"/>
      <c r="B105" s="2"/>
      <c r="C105" s="2"/>
      <c r="D105" s="2"/>
      <c r="E105" s="2"/>
      <c r="F105" s="2"/>
      <c r="G105" s="2"/>
      <c r="H105" s="2"/>
      <c r="K105" s="2"/>
      <c r="L105" s="2"/>
      <c r="M105" s="2"/>
    </row>
    <row r="106" spans="1:13" x14ac:dyDescent="0.35">
      <c r="A106" s="2"/>
      <c r="B106" s="2"/>
      <c r="C106" s="2"/>
      <c r="D106" s="2"/>
      <c r="E106" s="2"/>
      <c r="F106" s="2"/>
      <c r="G106" s="2"/>
      <c r="H106" s="2"/>
      <c r="I106" s="12"/>
      <c r="K106" s="2"/>
      <c r="L106" s="2"/>
      <c r="M106" s="2"/>
    </row>
    <row r="107" spans="1:13" x14ac:dyDescent="0.35">
      <c r="A107" s="2"/>
      <c r="B107" s="2"/>
      <c r="C107" s="2"/>
      <c r="D107" s="2"/>
      <c r="E107" s="2"/>
      <c r="F107" s="2"/>
      <c r="G107" s="2"/>
      <c r="H107" s="2"/>
      <c r="I107" s="12"/>
      <c r="K107" s="2"/>
      <c r="L107" s="2"/>
      <c r="M107" s="2"/>
    </row>
    <row r="108" spans="1:13" x14ac:dyDescent="0.35">
      <c r="A108" s="2"/>
      <c r="B108" s="2"/>
      <c r="C108" s="2"/>
      <c r="D108" s="2"/>
      <c r="E108" s="2"/>
      <c r="F108" s="2"/>
      <c r="G108" s="2"/>
      <c r="H108" s="2"/>
      <c r="I108" s="12"/>
      <c r="K108" s="2"/>
      <c r="L108" s="2"/>
      <c r="M108" s="2"/>
    </row>
    <row r="109" spans="1:13" x14ac:dyDescent="0.35">
      <c r="A109" s="2"/>
      <c r="B109" s="2"/>
      <c r="C109" s="2"/>
      <c r="D109" s="2"/>
      <c r="E109" s="2"/>
      <c r="F109" s="2"/>
      <c r="G109" s="2"/>
      <c r="H109" s="2"/>
      <c r="I109" s="12"/>
      <c r="K109" s="2"/>
      <c r="L109" s="2"/>
      <c r="M109" s="2"/>
    </row>
    <row r="110" spans="1:13" ht="11.1" customHeight="1" x14ac:dyDescent="0.35">
      <c r="A110" s="2"/>
      <c r="B110" s="2"/>
      <c r="C110" s="2"/>
      <c r="D110" s="2"/>
      <c r="E110" s="2"/>
      <c r="F110" s="2"/>
      <c r="G110" s="2"/>
      <c r="H110" s="2"/>
      <c r="I110" s="12"/>
      <c r="K110" s="2"/>
      <c r="L110" s="2"/>
      <c r="M110" s="2"/>
    </row>
    <row r="111" spans="1:13" ht="11.1" customHeight="1" x14ac:dyDescent="0.35">
      <c r="A111" s="2"/>
      <c r="B111" s="2"/>
      <c r="C111" s="2"/>
      <c r="D111" s="2"/>
      <c r="E111" s="2"/>
      <c r="F111" s="2"/>
      <c r="G111" s="2"/>
      <c r="H111" s="2"/>
      <c r="I111" s="12"/>
      <c r="K111" s="2"/>
      <c r="L111" s="2"/>
      <c r="M111" s="2"/>
    </row>
    <row r="112" spans="1:13" ht="11.1" customHeight="1" x14ac:dyDescent="0.35">
      <c r="A112" s="2"/>
      <c r="B112" s="2"/>
      <c r="C112" s="2"/>
      <c r="D112" s="2"/>
      <c r="E112" s="2"/>
      <c r="F112" s="2"/>
      <c r="G112" s="2"/>
      <c r="H112" s="2"/>
      <c r="I112" s="12"/>
      <c r="K112" s="2"/>
      <c r="L112" s="2"/>
      <c r="M112" s="2"/>
    </row>
    <row r="113" spans="1:13" ht="11.1" customHeight="1" x14ac:dyDescent="0.35">
      <c r="A113" s="2"/>
      <c r="B113" s="2"/>
      <c r="C113" s="2"/>
      <c r="D113" s="2"/>
      <c r="E113" s="2"/>
      <c r="F113" s="2"/>
      <c r="G113" s="2"/>
      <c r="H113" s="2"/>
      <c r="I113" s="12"/>
      <c r="K113" s="2"/>
      <c r="L113" s="2"/>
      <c r="M113" s="2"/>
    </row>
    <row r="114" spans="1:13" ht="2.1" customHeight="1" x14ac:dyDescent="0.35">
      <c r="A114" s="2"/>
      <c r="B114" s="2"/>
      <c r="C114" s="2"/>
      <c r="D114" s="2"/>
      <c r="E114" s="2"/>
      <c r="F114" s="2"/>
      <c r="G114" s="2"/>
      <c r="H114" s="2"/>
      <c r="I114" s="12"/>
      <c r="K114" s="2"/>
      <c r="L114" s="2"/>
      <c r="M114" s="2"/>
    </row>
    <row r="115" spans="1:13" x14ac:dyDescent="0.35">
      <c r="A115" s="2"/>
      <c r="B115" s="2"/>
      <c r="C115" s="2"/>
      <c r="D115" s="2"/>
      <c r="E115" s="2"/>
      <c r="F115" s="2"/>
      <c r="G115" s="2"/>
      <c r="H115" s="2"/>
      <c r="I115" s="12"/>
      <c r="K115" s="2"/>
      <c r="L115" s="2"/>
      <c r="M115" s="2"/>
    </row>
    <row r="116" spans="1:13" x14ac:dyDescent="0.35">
      <c r="A116" s="2"/>
      <c r="B116" s="2"/>
      <c r="C116" s="2"/>
      <c r="D116" s="2"/>
      <c r="E116" s="2"/>
      <c r="F116" s="2"/>
      <c r="G116" s="2"/>
      <c r="H116" s="2"/>
      <c r="I116" s="2"/>
      <c r="K116" s="2"/>
      <c r="L116" s="2"/>
      <c r="M116" s="2"/>
    </row>
    <row r="117" spans="1:13" x14ac:dyDescent="0.35">
      <c r="A117" s="2"/>
      <c r="B117" s="2"/>
      <c r="C117" s="2"/>
      <c r="D117" s="2"/>
      <c r="E117" s="2"/>
      <c r="F117" s="2"/>
      <c r="G117" s="2"/>
      <c r="H117" s="2"/>
      <c r="I117" s="2"/>
      <c r="K117" s="2"/>
      <c r="L117" s="2"/>
      <c r="M117" s="2"/>
    </row>
    <row r="118" spans="1:13" x14ac:dyDescent="0.35">
      <c r="A118" s="2"/>
      <c r="B118" s="2"/>
      <c r="C118" s="2"/>
      <c r="D118" s="2"/>
      <c r="E118" s="2"/>
      <c r="F118" s="2"/>
      <c r="G118" s="2"/>
      <c r="H118" s="2"/>
      <c r="I118" s="2"/>
      <c r="K118" s="2"/>
      <c r="L118" s="2"/>
      <c r="M118" s="2"/>
    </row>
    <row r="119" spans="1:13" x14ac:dyDescent="0.35">
      <c r="A119" s="2"/>
      <c r="B119" s="2"/>
      <c r="C119" s="2"/>
      <c r="D119" s="2"/>
      <c r="E119" s="2"/>
      <c r="F119" s="2"/>
      <c r="G119" s="2"/>
      <c r="H119" s="2"/>
      <c r="I119" s="2"/>
      <c r="K119" s="2"/>
      <c r="L119" s="2"/>
      <c r="M119" s="2"/>
    </row>
    <row r="120" spans="1:13" x14ac:dyDescent="0.35">
      <c r="A120" s="2"/>
      <c r="B120" s="2"/>
      <c r="C120" s="2"/>
      <c r="D120" s="2"/>
      <c r="E120" s="2"/>
      <c r="F120" s="2"/>
      <c r="G120" s="2"/>
      <c r="H120" s="2"/>
      <c r="I120" s="2"/>
      <c r="K120" s="2"/>
      <c r="L120" s="2"/>
      <c r="M120" s="2"/>
    </row>
    <row r="121" spans="1:13" x14ac:dyDescent="0.35">
      <c r="A121" s="2"/>
      <c r="B121" s="2"/>
      <c r="C121" s="2"/>
      <c r="D121" s="2"/>
      <c r="E121" s="2"/>
      <c r="F121" s="2"/>
      <c r="G121" s="2"/>
      <c r="H121" s="2"/>
      <c r="I121" s="2"/>
      <c r="K121" s="2"/>
      <c r="L121" s="2"/>
      <c r="M121" s="2"/>
    </row>
    <row r="122" spans="1:13" x14ac:dyDescent="0.35">
      <c r="A122" s="2"/>
      <c r="B122" s="2"/>
      <c r="C122" s="2"/>
      <c r="D122" s="2"/>
      <c r="E122" s="2"/>
      <c r="F122" s="2"/>
      <c r="G122" s="2"/>
      <c r="H122" s="2"/>
      <c r="I122" s="2"/>
      <c r="K122" s="2"/>
      <c r="L122" s="2"/>
      <c r="M122" s="2"/>
    </row>
    <row r="123" spans="1:13" x14ac:dyDescent="0.35">
      <c r="A123" s="2"/>
      <c r="B123" s="2"/>
      <c r="C123" s="2"/>
      <c r="D123" s="2"/>
      <c r="E123" s="2"/>
      <c r="F123" s="2"/>
      <c r="G123" s="2"/>
      <c r="H123" s="2"/>
      <c r="I123" s="2"/>
      <c r="K123" s="2"/>
      <c r="L123" s="2"/>
      <c r="M123" s="2"/>
    </row>
    <row r="124" spans="1:13" x14ac:dyDescent="0.35">
      <c r="A124" s="2"/>
      <c r="B124" s="2"/>
      <c r="C124" s="2"/>
      <c r="D124" s="2"/>
      <c r="E124" s="2"/>
      <c r="F124" s="2"/>
      <c r="G124" s="2"/>
      <c r="H124" s="2"/>
      <c r="I124" s="2"/>
      <c r="K124" s="2"/>
      <c r="L124" s="2"/>
      <c r="M124" s="2"/>
    </row>
    <row r="125" spans="1:13" x14ac:dyDescent="0.35">
      <c r="A125" s="2"/>
      <c r="B125" s="2"/>
      <c r="C125" s="2"/>
      <c r="D125" s="2"/>
      <c r="E125" s="2"/>
      <c r="F125" s="2"/>
      <c r="G125" s="2"/>
      <c r="H125" s="2"/>
      <c r="I125" s="2"/>
      <c r="K125" s="2"/>
      <c r="L125" s="2"/>
      <c r="M125" s="2"/>
    </row>
    <row r="126" spans="1:13" x14ac:dyDescent="0.35">
      <c r="A126" s="2"/>
      <c r="B126" s="2"/>
      <c r="C126" s="2"/>
      <c r="D126" s="2"/>
      <c r="E126" s="2"/>
      <c r="F126" s="2"/>
      <c r="G126" s="2"/>
      <c r="H126" s="2"/>
      <c r="I126" s="2"/>
      <c r="K126" s="2"/>
      <c r="L126" s="2"/>
      <c r="M126" s="2"/>
    </row>
    <row r="127" spans="1:13" x14ac:dyDescent="0.35">
      <c r="A127" s="2"/>
      <c r="B127" s="2"/>
      <c r="C127" s="2"/>
      <c r="D127" s="2"/>
      <c r="E127" s="2"/>
      <c r="F127" s="2"/>
      <c r="G127" s="2"/>
      <c r="H127" s="2"/>
      <c r="I127" s="2"/>
      <c r="K127" s="2"/>
      <c r="L127" s="2"/>
      <c r="M127" s="2"/>
    </row>
    <row r="128" spans="1:13" x14ac:dyDescent="0.35">
      <c r="A128" s="2"/>
      <c r="B128" s="2"/>
      <c r="C128" s="2"/>
      <c r="D128" s="2"/>
      <c r="E128" s="2"/>
      <c r="F128" s="2"/>
      <c r="G128" s="2"/>
      <c r="H128" s="2"/>
      <c r="I128" s="2"/>
      <c r="K128" s="2"/>
      <c r="L128" s="2"/>
      <c r="M128" s="2"/>
    </row>
    <row r="129" spans="1:225" x14ac:dyDescent="0.35">
      <c r="A129" s="2"/>
      <c r="B129" s="2"/>
      <c r="C129" s="2"/>
      <c r="D129" s="2"/>
      <c r="E129" s="2"/>
      <c r="F129" s="2"/>
      <c r="G129" s="2"/>
      <c r="H129" s="2"/>
      <c r="I129" s="2"/>
      <c r="K129" s="2"/>
      <c r="L129" s="2"/>
      <c r="M129" s="2"/>
    </row>
    <row r="130" spans="1:225" x14ac:dyDescent="0.35">
      <c r="A130" s="2"/>
      <c r="B130" s="2"/>
      <c r="C130" s="2"/>
      <c r="D130" s="2"/>
      <c r="E130" s="2"/>
      <c r="F130" s="2"/>
      <c r="G130" s="2"/>
      <c r="H130" s="2"/>
      <c r="I130" s="2"/>
      <c r="K130" s="2"/>
      <c r="L130" s="2"/>
      <c r="M130" s="2"/>
    </row>
    <row r="131" spans="1:225" x14ac:dyDescent="0.35">
      <c r="A131" s="2"/>
      <c r="B131" s="2"/>
      <c r="C131" s="2"/>
      <c r="D131" s="2"/>
      <c r="E131" s="2"/>
      <c r="F131" s="2"/>
      <c r="G131" s="2"/>
      <c r="H131" s="2"/>
      <c r="I131" s="2"/>
      <c r="K131" s="2"/>
      <c r="L131" s="2"/>
      <c r="M131" s="2"/>
    </row>
    <row r="132" spans="1:225" x14ac:dyDescent="0.35">
      <c r="A132" s="2"/>
      <c r="B132" s="2"/>
      <c r="C132" s="2"/>
      <c r="D132" s="2"/>
      <c r="E132" s="2"/>
      <c r="F132" s="2"/>
      <c r="G132" s="2"/>
      <c r="H132" s="2"/>
      <c r="I132" s="2"/>
      <c r="K132" s="2"/>
      <c r="L132" s="2"/>
      <c r="M132" s="2"/>
    </row>
    <row r="133" spans="1:225" x14ac:dyDescent="0.35">
      <c r="A133" s="2"/>
      <c r="B133" s="2"/>
      <c r="C133" s="2"/>
      <c r="D133" s="2"/>
      <c r="E133" s="2"/>
      <c r="F133" s="2"/>
      <c r="G133" s="2"/>
      <c r="H133" s="2"/>
      <c r="I133" s="2"/>
      <c r="K133" s="2"/>
      <c r="L133" s="2"/>
      <c r="M133" s="2"/>
    </row>
    <row r="134" spans="1:225" x14ac:dyDescent="0.35">
      <c r="A134" s="2"/>
      <c r="B134" s="2"/>
      <c r="C134" s="2"/>
      <c r="D134" s="2"/>
      <c r="E134" s="2"/>
      <c r="F134" s="2"/>
      <c r="G134" s="2"/>
      <c r="H134" s="2"/>
      <c r="I134" s="2"/>
      <c r="K134" s="2"/>
      <c r="L134" s="2"/>
      <c r="M134" s="2"/>
    </row>
    <row r="135" spans="1:225" x14ac:dyDescent="0.35">
      <c r="A135" s="2"/>
      <c r="B135" s="2"/>
      <c r="C135" s="2"/>
      <c r="D135" s="2"/>
      <c r="E135" s="2"/>
      <c r="F135" s="2"/>
      <c r="G135" s="2"/>
      <c r="H135" s="2"/>
      <c r="I135" s="2"/>
      <c r="K135" s="2"/>
      <c r="L135" s="2"/>
      <c r="M135" s="2"/>
    </row>
    <row r="136" spans="1:225" x14ac:dyDescent="0.35">
      <c r="A136" s="2"/>
      <c r="B136" s="2"/>
      <c r="C136" s="2"/>
      <c r="D136" s="2"/>
      <c r="E136" s="2"/>
      <c r="F136" s="2"/>
      <c r="G136" s="2"/>
      <c r="H136" s="2"/>
      <c r="I136" s="2"/>
      <c r="K136" s="2"/>
      <c r="L136" s="2"/>
      <c r="M136" s="2"/>
    </row>
    <row r="137" spans="1:225" x14ac:dyDescent="0.35">
      <c r="A137" s="2"/>
      <c r="B137" s="2"/>
      <c r="C137" s="2"/>
      <c r="D137" s="2"/>
      <c r="E137" s="2"/>
      <c r="F137" s="2"/>
      <c r="G137" s="2"/>
      <c r="H137" s="2"/>
      <c r="I137" s="2"/>
      <c r="K137" s="2"/>
      <c r="L137" s="2"/>
      <c r="M137" s="2"/>
    </row>
    <row r="138" spans="1:225" x14ac:dyDescent="0.35">
      <c r="A138" s="2"/>
      <c r="B138" s="2"/>
      <c r="C138" s="2"/>
      <c r="D138" s="2"/>
      <c r="E138" s="2"/>
      <c r="F138" s="2"/>
      <c r="G138" s="2"/>
      <c r="H138" s="2"/>
      <c r="I138" s="2"/>
      <c r="K138" s="2"/>
      <c r="L138" s="2"/>
      <c r="M138" s="2"/>
    </row>
    <row r="139" spans="1:225" x14ac:dyDescent="0.35">
      <c r="A139" s="2"/>
      <c r="B139" s="2"/>
      <c r="C139" s="2"/>
      <c r="D139" s="2"/>
      <c r="E139" s="2"/>
      <c r="F139" s="2"/>
      <c r="G139" s="2"/>
      <c r="H139" s="2"/>
      <c r="I139" s="2"/>
      <c r="K139" s="2"/>
      <c r="L139" s="2"/>
      <c r="M139" s="2"/>
    </row>
    <row r="140" spans="1:225" x14ac:dyDescent="0.35">
      <c r="A140" s="2"/>
      <c r="B140" s="2"/>
      <c r="C140" s="2"/>
      <c r="D140" s="2"/>
      <c r="E140" s="2"/>
      <c r="F140" s="2"/>
      <c r="G140" s="2"/>
      <c r="H140" s="2"/>
      <c r="I140" s="2"/>
      <c r="K140" s="2"/>
      <c r="L140" s="2"/>
      <c r="M140" s="2"/>
    </row>
    <row r="141" spans="1:225" x14ac:dyDescent="0.35">
      <c r="A141" s="2"/>
      <c r="B141" s="2"/>
      <c r="C141" s="2"/>
      <c r="D141" s="2"/>
      <c r="E141" s="2"/>
      <c r="F141" s="2"/>
      <c r="G141" s="2"/>
      <c r="H141" s="2"/>
      <c r="I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</row>
    <row r="142" spans="1:225" x14ac:dyDescent="0.35">
      <c r="A142" s="2"/>
      <c r="B142" s="2"/>
      <c r="C142" s="2"/>
      <c r="D142" s="2"/>
      <c r="E142" s="2"/>
      <c r="F142" s="2"/>
      <c r="G142" s="2"/>
      <c r="H142" s="2"/>
      <c r="I142" s="2"/>
      <c r="K142" s="2"/>
      <c r="L142" s="2"/>
      <c r="M142" s="2"/>
    </row>
    <row r="143" spans="1:225" x14ac:dyDescent="0.35">
      <c r="A143" s="2"/>
      <c r="B143" s="2"/>
      <c r="C143" s="2"/>
      <c r="D143" s="2"/>
      <c r="E143" s="2"/>
      <c r="F143" s="2"/>
      <c r="G143" s="2"/>
      <c r="H143" s="2"/>
      <c r="I143" s="2"/>
      <c r="K143" s="2"/>
      <c r="L143" s="2"/>
      <c r="M143" s="2"/>
    </row>
    <row r="144" spans="1:225" x14ac:dyDescent="0.35">
      <c r="A144" s="2"/>
      <c r="B144" s="2"/>
      <c r="C144" s="2"/>
      <c r="D144" s="2"/>
      <c r="E144" s="2"/>
      <c r="F144" s="2"/>
      <c r="G144" s="2"/>
      <c r="H144" s="2"/>
      <c r="I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</row>
    <row r="145" spans="1:225" x14ac:dyDescent="0.35">
      <c r="A145" s="2"/>
      <c r="B145" s="2"/>
      <c r="C145" s="2"/>
      <c r="D145" s="2"/>
      <c r="E145" s="2"/>
      <c r="F145" s="2"/>
      <c r="G145" s="2"/>
      <c r="H145" s="2"/>
      <c r="I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</row>
    <row r="146" spans="1:225" x14ac:dyDescent="0.35">
      <c r="A146" s="2"/>
      <c r="B146" s="2"/>
      <c r="C146" s="2"/>
      <c r="D146" s="2"/>
      <c r="E146" s="2"/>
      <c r="F146" s="2"/>
      <c r="G146" s="2"/>
      <c r="H146" s="2"/>
      <c r="I146" s="2"/>
      <c r="K146" s="2"/>
      <c r="L146" s="2"/>
      <c r="M146" s="2"/>
    </row>
    <row r="147" spans="1:225" x14ac:dyDescent="0.35">
      <c r="A147" s="2"/>
      <c r="B147" s="2"/>
      <c r="C147" s="2"/>
      <c r="D147" s="2"/>
      <c r="E147" s="2"/>
      <c r="F147" s="2"/>
      <c r="G147" s="2"/>
      <c r="H147" s="2"/>
      <c r="I147" s="2"/>
      <c r="K147" s="2"/>
      <c r="L147" s="2"/>
      <c r="M147" s="2"/>
    </row>
    <row r="148" spans="1:225" x14ac:dyDescent="0.35">
      <c r="A148" s="2"/>
      <c r="B148" s="2"/>
      <c r="C148" s="2"/>
      <c r="D148" s="2"/>
      <c r="E148" s="2"/>
      <c r="F148" s="2"/>
      <c r="G148" s="2"/>
      <c r="H148" s="2"/>
      <c r="I148" s="2"/>
      <c r="K148" s="2"/>
      <c r="L148" s="2"/>
      <c r="M148" s="2"/>
    </row>
    <row r="149" spans="1:225" x14ac:dyDescent="0.35">
      <c r="A149" s="2"/>
      <c r="B149" s="2"/>
      <c r="C149" s="2"/>
      <c r="D149" s="2"/>
      <c r="E149" s="2"/>
      <c r="F149" s="2"/>
      <c r="G149" s="2"/>
      <c r="H149" s="2"/>
      <c r="I149" s="2"/>
      <c r="K149" s="2"/>
      <c r="L149" s="2"/>
      <c r="M149" s="2"/>
    </row>
    <row r="150" spans="1:225" x14ac:dyDescent="0.35">
      <c r="A150" s="2"/>
      <c r="B150" s="2"/>
      <c r="C150" s="2"/>
      <c r="D150" s="2"/>
      <c r="E150" s="2"/>
      <c r="F150" s="2"/>
      <c r="G150" s="2"/>
      <c r="H150" s="2"/>
      <c r="I150" s="2"/>
      <c r="K150" s="2"/>
      <c r="L150" s="2"/>
      <c r="M150" s="2"/>
    </row>
    <row r="151" spans="1:225" x14ac:dyDescent="0.35">
      <c r="A151" s="2"/>
      <c r="B151" s="2"/>
      <c r="C151" s="2"/>
      <c r="D151" s="2"/>
      <c r="E151" s="2"/>
      <c r="F151" s="2"/>
      <c r="G151" s="2"/>
      <c r="H151" s="2"/>
      <c r="I151" s="2"/>
      <c r="K151" s="2"/>
      <c r="L151" s="2"/>
      <c r="M151" s="2"/>
    </row>
    <row r="152" spans="1:225" x14ac:dyDescent="0.35">
      <c r="A152" s="2"/>
      <c r="B152" s="2"/>
      <c r="C152" s="2"/>
      <c r="D152" s="2"/>
      <c r="E152" s="2"/>
      <c r="F152" s="2"/>
      <c r="G152" s="2"/>
      <c r="H152" s="2"/>
      <c r="I152" s="2"/>
      <c r="K152" s="2"/>
      <c r="L152" s="2"/>
      <c r="M152" s="2"/>
    </row>
    <row r="153" spans="1:225" x14ac:dyDescent="0.35">
      <c r="A153" s="2"/>
      <c r="B153" s="2"/>
      <c r="C153" s="2"/>
      <c r="D153" s="2"/>
      <c r="E153" s="2"/>
      <c r="F153" s="2"/>
      <c r="G153" s="2"/>
      <c r="H153" s="2"/>
      <c r="I153" s="2"/>
      <c r="K153" s="2"/>
      <c r="L153" s="2"/>
      <c r="M153" s="2"/>
    </row>
    <row r="154" spans="1:225" x14ac:dyDescent="0.35">
      <c r="A154" s="2"/>
      <c r="B154" s="2"/>
      <c r="C154" s="2"/>
      <c r="D154" s="2"/>
      <c r="E154" s="2"/>
      <c r="F154" s="2"/>
      <c r="G154" s="2"/>
      <c r="H154" s="2"/>
      <c r="I154" s="2"/>
      <c r="K154" s="2"/>
      <c r="L154" s="2"/>
      <c r="M154" s="2"/>
    </row>
    <row r="155" spans="1:225" x14ac:dyDescent="0.35">
      <c r="A155" s="2"/>
      <c r="B155" s="2"/>
      <c r="C155" s="2"/>
      <c r="D155" s="2"/>
      <c r="E155" s="2"/>
      <c r="F155" s="2"/>
      <c r="G155" s="2"/>
      <c r="H155" s="2"/>
      <c r="I155" s="2"/>
      <c r="K155" s="2"/>
      <c r="L155" s="2"/>
      <c r="M155" s="2"/>
    </row>
    <row r="156" spans="1:225" x14ac:dyDescent="0.35">
      <c r="A156" s="2"/>
      <c r="B156" s="2"/>
      <c r="C156" s="2"/>
      <c r="D156" s="2"/>
      <c r="E156" s="2"/>
      <c r="F156" s="2"/>
      <c r="G156" s="2"/>
      <c r="H156" s="2"/>
      <c r="I156" s="2"/>
      <c r="K156" s="2"/>
      <c r="L156" s="2"/>
      <c r="M156" s="2"/>
    </row>
    <row r="157" spans="1:225" x14ac:dyDescent="0.35">
      <c r="A157" s="2"/>
      <c r="B157" s="2"/>
      <c r="C157" s="2"/>
      <c r="D157" s="2"/>
      <c r="E157" s="2"/>
      <c r="F157" s="2"/>
      <c r="G157" s="2"/>
      <c r="H157" s="2"/>
      <c r="I157" s="2"/>
      <c r="K157" s="2"/>
      <c r="L157" s="2"/>
      <c r="M157" s="2"/>
    </row>
    <row r="158" spans="1:225" x14ac:dyDescent="0.35">
      <c r="A158" s="2"/>
      <c r="B158" s="2"/>
      <c r="C158" s="2"/>
      <c r="D158" s="2"/>
      <c r="E158" s="2"/>
      <c r="F158" s="2"/>
      <c r="G158" s="2"/>
      <c r="H158" s="2"/>
      <c r="I158" s="2"/>
      <c r="K158" s="2"/>
      <c r="L158" s="2"/>
      <c r="M158" s="2"/>
    </row>
    <row r="159" spans="1:225" x14ac:dyDescent="0.35">
      <c r="A159" s="2"/>
      <c r="B159" s="2"/>
      <c r="C159" s="2"/>
      <c r="D159" s="2"/>
      <c r="E159" s="2"/>
      <c r="F159" s="2"/>
      <c r="G159" s="2"/>
      <c r="H159" s="2"/>
      <c r="I159" s="2"/>
      <c r="K159" s="2"/>
      <c r="L159" s="2"/>
      <c r="M159" s="2"/>
    </row>
    <row r="160" spans="1:225" x14ac:dyDescent="0.35">
      <c r="A160" s="2"/>
      <c r="B160" s="2"/>
      <c r="C160" s="2"/>
      <c r="D160" s="2"/>
      <c r="E160" s="2"/>
      <c r="F160" s="2"/>
      <c r="G160" s="2"/>
      <c r="H160" s="2"/>
      <c r="I160" s="2"/>
      <c r="K160" s="2"/>
      <c r="L160" s="2"/>
      <c r="M160" s="2"/>
    </row>
    <row r="161" spans="1:13" x14ac:dyDescent="0.35">
      <c r="A161" s="2"/>
      <c r="B161" s="2"/>
      <c r="C161" s="2"/>
      <c r="D161" s="2"/>
      <c r="E161" s="2"/>
      <c r="F161" s="2"/>
      <c r="G161" s="2"/>
      <c r="H161" s="2"/>
      <c r="I161" s="2"/>
      <c r="K161" s="2"/>
      <c r="L161" s="2"/>
      <c r="M161" s="2"/>
    </row>
    <row r="162" spans="1:13" x14ac:dyDescent="0.35">
      <c r="A162" s="2"/>
      <c r="B162" s="2"/>
      <c r="C162" s="2"/>
      <c r="D162" s="2"/>
      <c r="E162" s="2"/>
      <c r="F162" s="2"/>
      <c r="G162" s="2"/>
      <c r="H162" s="2"/>
      <c r="I162" s="2"/>
      <c r="K162" s="2"/>
      <c r="L162" s="2"/>
      <c r="M162" s="2"/>
    </row>
    <row r="163" spans="1:13" x14ac:dyDescent="0.35">
      <c r="A163" s="2"/>
      <c r="B163" s="2"/>
      <c r="C163" s="2"/>
      <c r="D163" s="2"/>
      <c r="E163" s="2"/>
      <c r="F163" s="2"/>
      <c r="G163" s="2"/>
      <c r="H163" s="2"/>
      <c r="I163" s="2"/>
      <c r="K163" s="2"/>
      <c r="L163" s="2"/>
      <c r="M163" s="2"/>
    </row>
    <row r="164" spans="1:13" x14ac:dyDescent="0.35">
      <c r="A164" s="2"/>
      <c r="B164" s="2"/>
      <c r="C164" s="2"/>
      <c r="D164" s="2"/>
      <c r="E164" s="2"/>
      <c r="F164" s="2"/>
      <c r="G164" s="2"/>
      <c r="H164" s="2"/>
      <c r="I164" s="2"/>
      <c r="K164" s="2"/>
      <c r="L164" s="2"/>
      <c r="M164" s="2"/>
    </row>
    <row r="165" spans="1:13" x14ac:dyDescent="0.35">
      <c r="A165" s="2"/>
      <c r="B165" s="2"/>
      <c r="C165" s="2"/>
      <c r="D165" s="2"/>
      <c r="E165" s="2"/>
      <c r="F165" s="2"/>
      <c r="G165" s="2"/>
      <c r="H165" s="2"/>
      <c r="I165" s="2"/>
      <c r="K165" s="2"/>
      <c r="L165" s="2"/>
      <c r="M165" s="2"/>
    </row>
    <row r="166" spans="1:13" x14ac:dyDescent="0.35">
      <c r="A166" s="2"/>
      <c r="B166" s="2"/>
      <c r="C166" s="2"/>
      <c r="D166" s="2"/>
      <c r="E166" s="2"/>
      <c r="F166" s="2"/>
      <c r="G166" s="2"/>
      <c r="H166" s="2"/>
      <c r="I166" s="2"/>
      <c r="K166" s="2"/>
      <c r="L166" s="2"/>
      <c r="M166" s="2"/>
    </row>
    <row r="167" spans="1:13" x14ac:dyDescent="0.35">
      <c r="A167" s="2"/>
      <c r="B167" s="2"/>
      <c r="C167" s="2"/>
      <c r="D167" s="2"/>
      <c r="E167" s="2"/>
      <c r="F167" s="2"/>
      <c r="G167" s="2"/>
      <c r="H167" s="2"/>
      <c r="I167" s="2"/>
      <c r="K167" s="2"/>
      <c r="L167" s="2"/>
      <c r="M167" s="2"/>
    </row>
    <row r="168" spans="1:13" x14ac:dyDescent="0.35">
      <c r="A168" s="2"/>
      <c r="B168" s="2"/>
      <c r="C168" s="2"/>
      <c r="D168" s="2"/>
      <c r="E168" s="2"/>
      <c r="F168" s="2"/>
      <c r="G168" s="2"/>
      <c r="H168" s="2"/>
      <c r="I168" s="2"/>
      <c r="K168" s="2"/>
      <c r="L168" s="2"/>
      <c r="M168" s="2"/>
    </row>
    <row r="169" spans="1:13" x14ac:dyDescent="0.35">
      <c r="A169" s="2"/>
      <c r="B169" s="2"/>
      <c r="C169" s="2"/>
      <c r="D169" s="2"/>
      <c r="E169" s="2"/>
      <c r="F169" s="2"/>
      <c r="G169" s="2"/>
      <c r="H169" s="2"/>
      <c r="I169" s="2"/>
      <c r="K169" s="2"/>
      <c r="L169" s="2"/>
      <c r="M169" s="2"/>
    </row>
    <row r="170" spans="1:13" x14ac:dyDescent="0.35">
      <c r="A170" s="2"/>
      <c r="B170" s="2"/>
      <c r="C170" s="2"/>
      <c r="D170" s="2"/>
      <c r="E170" s="2"/>
      <c r="F170" s="2"/>
      <c r="G170" s="2"/>
      <c r="H170" s="2"/>
      <c r="I170" s="2"/>
      <c r="K170" s="2"/>
      <c r="L170" s="2"/>
      <c r="M170" s="2"/>
    </row>
    <row r="171" spans="1:13" x14ac:dyDescent="0.35">
      <c r="A171" s="2"/>
      <c r="B171" s="2"/>
      <c r="C171" s="2"/>
      <c r="D171" s="2"/>
      <c r="E171" s="2"/>
      <c r="F171" s="2"/>
      <c r="G171" s="2"/>
      <c r="H171" s="2"/>
      <c r="I171" s="2"/>
      <c r="K171" s="2"/>
      <c r="L171" s="2"/>
      <c r="M171" s="2"/>
    </row>
    <row r="172" spans="1:13" x14ac:dyDescent="0.35">
      <c r="A172" s="2"/>
      <c r="B172" s="2"/>
      <c r="C172" s="2"/>
      <c r="D172" s="2"/>
      <c r="E172" s="2"/>
      <c r="F172" s="2"/>
      <c r="G172" s="2"/>
      <c r="H172" s="2"/>
      <c r="I172" s="2"/>
      <c r="K172" s="2"/>
      <c r="L172" s="2"/>
      <c r="M172" s="2"/>
    </row>
    <row r="173" spans="1:13" x14ac:dyDescent="0.35">
      <c r="A173" s="2"/>
      <c r="B173" s="2"/>
      <c r="C173" s="2"/>
      <c r="D173" s="2"/>
      <c r="E173" s="2"/>
      <c r="F173" s="2"/>
      <c r="G173" s="2"/>
      <c r="H173" s="2"/>
      <c r="I173" s="2"/>
      <c r="K173" s="2"/>
      <c r="L173" s="2"/>
      <c r="M173" s="2"/>
    </row>
    <row r="174" spans="1:13" x14ac:dyDescent="0.35">
      <c r="A174" s="2"/>
      <c r="B174" s="2"/>
      <c r="C174" s="2"/>
      <c r="D174" s="2"/>
      <c r="E174" s="2"/>
      <c r="F174" s="2"/>
      <c r="G174" s="2"/>
      <c r="H174" s="2"/>
      <c r="I174" s="2"/>
      <c r="K174" s="2"/>
      <c r="L174" s="2"/>
      <c r="M174" s="2"/>
    </row>
    <row r="175" spans="1:13" x14ac:dyDescent="0.35">
      <c r="A175" s="2"/>
      <c r="B175" s="2"/>
      <c r="C175" s="2"/>
      <c r="D175" s="2"/>
      <c r="E175" s="2"/>
      <c r="F175" s="2"/>
      <c r="G175" s="2"/>
      <c r="H175" s="2"/>
      <c r="I175" s="2"/>
      <c r="K175" s="2"/>
      <c r="L175" s="2"/>
      <c r="M175" s="2"/>
    </row>
    <row r="176" spans="1:13" x14ac:dyDescent="0.35">
      <c r="A176" s="2"/>
      <c r="B176" s="2"/>
      <c r="C176" s="2"/>
      <c r="D176" s="2"/>
      <c r="E176" s="2"/>
      <c r="F176" s="2"/>
      <c r="G176" s="2"/>
      <c r="H176" s="2"/>
      <c r="I176" s="2"/>
      <c r="K176" s="2"/>
      <c r="L176" s="2"/>
      <c r="M176" s="2"/>
    </row>
    <row r="177" spans="1:13" x14ac:dyDescent="0.35">
      <c r="A177" s="2"/>
      <c r="B177" s="2"/>
      <c r="C177" s="2"/>
      <c r="D177" s="2"/>
      <c r="E177" s="2"/>
      <c r="F177" s="2"/>
      <c r="G177" s="2"/>
      <c r="H177" s="2"/>
      <c r="I177" s="2"/>
      <c r="K177" s="2"/>
      <c r="L177" s="2"/>
      <c r="M177" s="2"/>
    </row>
    <row r="178" spans="1:13" x14ac:dyDescent="0.35">
      <c r="A178" s="2"/>
      <c r="B178" s="2"/>
      <c r="C178" s="2"/>
      <c r="D178" s="2"/>
      <c r="E178" s="2"/>
      <c r="F178" s="2"/>
      <c r="G178" s="2"/>
      <c r="H178" s="2"/>
      <c r="I178" s="2"/>
      <c r="K178" s="2"/>
      <c r="L178" s="2"/>
      <c r="M178" s="2"/>
    </row>
    <row r="179" spans="1:13" x14ac:dyDescent="0.35">
      <c r="A179" s="2"/>
      <c r="B179" s="2"/>
      <c r="C179" s="2"/>
      <c r="D179" s="2"/>
      <c r="E179" s="2"/>
      <c r="F179" s="2"/>
      <c r="G179" s="2"/>
      <c r="H179" s="2"/>
      <c r="I179" s="2"/>
      <c r="K179" s="2"/>
      <c r="L179" s="2"/>
      <c r="M179" s="2"/>
    </row>
    <row r="180" spans="1:13" x14ac:dyDescent="0.35">
      <c r="A180" s="2"/>
      <c r="B180" s="2"/>
      <c r="C180" s="2"/>
      <c r="D180" s="2"/>
      <c r="E180" s="2"/>
      <c r="F180" s="2"/>
      <c r="G180" s="2"/>
      <c r="H180" s="2"/>
      <c r="I180" s="2"/>
      <c r="K180" s="2"/>
      <c r="L180" s="2"/>
      <c r="M180" s="2"/>
    </row>
    <row r="181" spans="1:13" x14ac:dyDescent="0.35">
      <c r="A181" s="2"/>
      <c r="B181" s="2"/>
      <c r="C181" s="2"/>
      <c r="D181" s="2"/>
      <c r="E181" s="2"/>
      <c r="F181" s="2"/>
      <c r="G181" s="2"/>
      <c r="H181" s="2"/>
      <c r="I181" s="2"/>
      <c r="K181" s="2"/>
      <c r="L181" s="2"/>
      <c r="M181" s="2"/>
    </row>
    <row r="182" spans="1:13" x14ac:dyDescent="0.35">
      <c r="A182" s="2"/>
      <c r="B182" s="2"/>
      <c r="C182" s="2"/>
      <c r="D182" s="2"/>
      <c r="E182" s="2"/>
      <c r="F182" s="2"/>
      <c r="G182" s="2"/>
      <c r="H182" s="2"/>
      <c r="I182" s="2"/>
      <c r="K182" s="2"/>
      <c r="L182" s="2"/>
      <c r="M182" s="2"/>
    </row>
    <row r="183" spans="1:13" x14ac:dyDescent="0.35">
      <c r="A183" s="2"/>
      <c r="B183" s="2"/>
      <c r="C183" s="2"/>
      <c r="D183" s="2"/>
      <c r="E183" s="2"/>
      <c r="F183" s="2"/>
      <c r="G183" s="2"/>
      <c r="H183" s="2"/>
      <c r="I183" s="2"/>
      <c r="K183" s="2"/>
      <c r="L183" s="2"/>
      <c r="M183" s="2"/>
    </row>
    <row r="184" spans="1:13" x14ac:dyDescent="0.35">
      <c r="A184" s="2"/>
      <c r="B184" s="2"/>
      <c r="C184" s="2"/>
      <c r="D184" s="2"/>
      <c r="E184" s="2"/>
      <c r="F184" s="2"/>
      <c r="G184" s="2"/>
      <c r="H184" s="2"/>
      <c r="I184" s="2"/>
      <c r="K184" s="2"/>
      <c r="L184" s="2"/>
      <c r="M184" s="2"/>
    </row>
    <row r="185" spans="1:13" x14ac:dyDescent="0.35">
      <c r="A185" s="2"/>
      <c r="B185" s="2"/>
      <c r="C185" s="2"/>
      <c r="D185" s="2"/>
      <c r="E185" s="2"/>
      <c r="F185" s="2"/>
      <c r="G185" s="2"/>
      <c r="H185" s="2"/>
      <c r="I185" s="2"/>
      <c r="K185" s="2"/>
      <c r="L185" s="2"/>
      <c r="M185" s="2"/>
    </row>
    <row r="186" spans="1:13" x14ac:dyDescent="0.35">
      <c r="A186" s="2"/>
      <c r="B186" s="2"/>
      <c r="C186" s="2"/>
      <c r="D186" s="2"/>
      <c r="E186" s="2"/>
      <c r="F186" s="2"/>
      <c r="G186" s="2"/>
      <c r="H186" s="2"/>
      <c r="I186" s="2"/>
      <c r="K186" s="2"/>
      <c r="L186" s="2"/>
      <c r="M186" s="2"/>
    </row>
    <row r="187" spans="1:13" x14ac:dyDescent="0.35">
      <c r="A187" s="2"/>
      <c r="B187" s="2"/>
      <c r="C187" s="2"/>
      <c r="D187" s="2"/>
      <c r="E187" s="2"/>
      <c r="F187" s="2"/>
      <c r="G187" s="2"/>
      <c r="H187" s="2"/>
      <c r="I187" s="2"/>
      <c r="K187" s="2"/>
      <c r="L187" s="2"/>
      <c r="M187" s="2"/>
    </row>
    <row r="188" spans="1:13" x14ac:dyDescent="0.35">
      <c r="A188" s="2"/>
      <c r="B188" s="2"/>
      <c r="C188" s="2"/>
      <c r="D188" s="2"/>
      <c r="E188" s="2"/>
      <c r="F188" s="2"/>
      <c r="G188" s="2"/>
      <c r="H188" s="2"/>
      <c r="I188" s="2"/>
      <c r="K188" s="2"/>
      <c r="L188" s="2"/>
      <c r="M188" s="2"/>
    </row>
    <row r="189" spans="1:13" x14ac:dyDescent="0.35">
      <c r="A189" s="2"/>
      <c r="B189" s="2"/>
      <c r="C189" s="2"/>
      <c r="D189" s="2"/>
      <c r="E189" s="2"/>
      <c r="F189" s="2"/>
      <c r="G189" s="2"/>
      <c r="H189" s="2"/>
      <c r="I189" s="2"/>
      <c r="K189" s="2"/>
      <c r="L189" s="2"/>
      <c r="M189" s="2"/>
    </row>
    <row r="190" spans="1:13" x14ac:dyDescent="0.35">
      <c r="A190" s="2"/>
      <c r="B190" s="2"/>
      <c r="C190" s="2"/>
      <c r="D190" s="2"/>
      <c r="E190" s="2"/>
      <c r="F190" s="2"/>
      <c r="G190" s="2"/>
      <c r="H190" s="2"/>
      <c r="I190" s="2"/>
      <c r="K190" s="2"/>
      <c r="L190" s="2"/>
      <c r="M190" s="2"/>
    </row>
    <row r="191" spans="1:13" x14ac:dyDescent="0.35">
      <c r="A191" s="2"/>
      <c r="B191" s="2"/>
      <c r="C191" s="2"/>
      <c r="D191" s="2"/>
      <c r="E191" s="2"/>
      <c r="F191" s="2"/>
      <c r="G191" s="2"/>
      <c r="H191" s="2"/>
      <c r="I191" s="2"/>
      <c r="K191" s="2"/>
      <c r="L191" s="2"/>
      <c r="M191" s="2"/>
    </row>
    <row r="192" spans="1:13" x14ac:dyDescent="0.35">
      <c r="A192" s="2"/>
      <c r="B192" s="2"/>
      <c r="C192" s="2"/>
      <c r="D192" s="2"/>
      <c r="E192" s="2"/>
      <c r="F192" s="2"/>
      <c r="G192" s="2"/>
      <c r="H192" s="2"/>
      <c r="I192" s="2"/>
      <c r="K192" s="2"/>
      <c r="L192" s="2"/>
      <c r="M192" s="2"/>
    </row>
    <row r="193" spans="1:225" x14ac:dyDescent="0.35">
      <c r="A193" s="2"/>
      <c r="B193" s="2"/>
      <c r="C193" s="2"/>
      <c r="D193" s="2"/>
      <c r="E193" s="2"/>
      <c r="F193" s="2"/>
      <c r="G193" s="2"/>
      <c r="H193" s="2"/>
      <c r="I193" s="2"/>
      <c r="K193" s="2"/>
      <c r="L193" s="2"/>
      <c r="M193" s="2"/>
    </row>
    <row r="194" spans="1:225" x14ac:dyDescent="0.35">
      <c r="A194" s="2"/>
      <c r="B194" s="2"/>
      <c r="C194" s="2"/>
      <c r="D194" s="2"/>
      <c r="E194" s="2"/>
      <c r="F194" s="2"/>
      <c r="G194" s="2"/>
      <c r="H194" s="2"/>
      <c r="I194" s="2"/>
      <c r="K194" s="2"/>
      <c r="L194" s="2"/>
      <c r="M194" s="2"/>
    </row>
    <row r="195" spans="1:225" x14ac:dyDescent="0.35">
      <c r="A195" s="2"/>
      <c r="B195" s="2"/>
      <c r="C195" s="2"/>
      <c r="D195" s="2"/>
      <c r="E195" s="2"/>
      <c r="F195" s="2"/>
      <c r="G195" s="2"/>
      <c r="H195" s="2"/>
      <c r="I195" s="2"/>
      <c r="K195" s="2"/>
      <c r="L195" s="2"/>
      <c r="M195" s="2"/>
    </row>
    <row r="196" spans="1:225" x14ac:dyDescent="0.35">
      <c r="A196" s="2"/>
      <c r="B196" s="2"/>
      <c r="C196" s="2"/>
      <c r="D196" s="2"/>
      <c r="E196" s="2"/>
      <c r="F196" s="2"/>
      <c r="G196" s="2"/>
      <c r="H196" s="2"/>
      <c r="I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  <c r="GZ196" s="2"/>
      <c r="HA196" s="2"/>
      <c r="HB196" s="2"/>
      <c r="HC196" s="2"/>
      <c r="HD196" s="2"/>
      <c r="HE196" s="2"/>
      <c r="HF196" s="2"/>
      <c r="HG196" s="2"/>
      <c r="HH196" s="2"/>
      <c r="HI196" s="2"/>
      <c r="HJ196" s="2"/>
      <c r="HK196" s="2"/>
      <c r="HL196" s="2"/>
      <c r="HM196" s="2"/>
      <c r="HN196" s="2"/>
      <c r="HO196" s="2"/>
      <c r="HP196" s="2"/>
      <c r="HQ196" s="2"/>
    </row>
    <row r="197" spans="1:225" x14ac:dyDescent="0.35">
      <c r="A197" s="2"/>
      <c r="B197" s="2"/>
      <c r="C197" s="2"/>
      <c r="D197" s="2"/>
      <c r="E197" s="2"/>
      <c r="F197" s="2"/>
      <c r="G197" s="2"/>
      <c r="H197" s="2"/>
      <c r="I197" s="2"/>
      <c r="K197" s="2"/>
      <c r="L197" s="2"/>
      <c r="M197" s="2"/>
    </row>
    <row r="198" spans="1:225" x14ac:dyDescent="0.35">
      <c r="A198" s="2"/>
      <c r="B198" s="2"/>
      <c r="C198" s="2"/>
      <c r="D198" s="2"/>
      <c r="E198" s="2"/>
      <c r="F198" s="2"/>
      <c r="G198" s="2"/>
      <c r="H198" s="2"/>
      <c r="I198" s="2"/>
      <c r="K198" s="2"/>
      <c r="L198" s="2"/>
      <c r="M198" s="2"/>
    </row>
    <row r="199" spans="1:225" x14ac:dyDescent="0.35">
      <c r="A199" s="2"/>
      <c r="B199" s="2"/>
      <c r="C199" s="2"/>
      <c r="D199" s="2"/>
      <c r="E199" s="2"/>
      <c r="F199" s="2"/>
      <c r="G199" s="2"/>
      <c r="H199" s="2"/>
      <c r="I199" s="2"/>
      <c r="K199" s="2"/>
      <c r="L199" s="2"/>
      <c r="M199" s="2"/>
    </row>
    <row r="200" spans="1:225" x14ac:dyDescent="0.35">
      <c r="A200" s="2"/>
      <c r="B200" s="2"/>
      <c r="C200" s="2"/>
      <c r="D200" s="2"/>
      <c r="E200" s="2"/>
      <c r="F200" s="2"/>
      <c r="G200" s="2"/>
      <c r="H200" s="2"/>
      <c r="I200" s="2"/>
      <c r="K200" s="2"/>
      <c r="L200" s="2"/>
      <c r="M200" s="2"/>
    </row>
    <row r="201" spans="1:225" x14ac:dyDescent="0.35">
      <c r="A201" s="2"/>
      <c r="B201" s="2"/>
      <c r="C201" s="2"/>
      <c r="D201" s="2"/>
      <c r="E201" s="2"/>
      <c r="F201" s="2"/>
      <c r="G201" s="2"/>
      <c r="H201" s="2"/>
      <c r="I201" s="2"/>
      <c r="K201" s="2"/>
      <c r="L201" s="2"/>
      <c r="M201" s="2"/>
    </row>
    <row r="202" spans="1:225" x14ac:dyDescent="0.35">
      <c r="A202" s="2"/>
      <c r="B202" s="2"/>
      <c r="C202" s="2"/>
      <c r="D202" s="2"/>
      <c r="E202" s="2"/>
      <c r="F202" s="2"/>
      <c r="G202" s="2"/>
      <c r="H202" s="2"/>
      <c r="I202" s="2"/>
      <c r="K202" s="2"/>
      <c r="L202" s="2"/>
      <c r="M202" s="2"/>
    </row>
    <row r="203" spans="1:225" x14ac:dyDescent="0.35">
      <c r="A203" s="2"/>
      <c r="B203" s="2"/>
      <c r="C203" s="2"/>
      <c r="D203" s="2"/>
      <c r="E203" s="2"/>
      <c r="F203" s="2"/>
      <c r="G203" s="2"/>
      <c r="H203" s="2"/>
      <c r="I203" s="2"/>
      <c r="K203" s="2"/>
      <c r="L203" s="2"/>
      <c r="M203" s="2"/>
    </row>
    <row r="204" spans="1:225" x14ac:dyDescent="0.35">
      <c r="A204" s="2"/>
      <c r="B204" s="2"/>
      <c r="C204" s="2"/>
      <c r="D204" s="2"/>
      <c r="E204" s="2"/>
      <c r="F204" s="2"/>
      <c r="G204" s="2"/>
      <c r="H204" s="2"/>
      <c r="I204" s="2"/>
      <c r="K204" s="2"/>
      <c r="L204" s="2"/>
      <c r="M204" s="2"/>
    </row>
    <row r="205" spans="1:225" x14ac:dyDescent="0.35">
      <c r="A205" s="2"/>
      <c r="B205" s="2"/>
      <c r="C205" s="2"/>
      <c r="D205" s="2"/>
      <c r="E205" s="2"/>
      <c r="F205" s="2"/>
      <c r="G205" s="2"/>
      <c r="H205" s="2"/>
      <c r="I205" s="2"/>
      <c r="K205" s="2"/>
      <c r="L205" s="2"/>
      <c r="M205" s="2"/>
    </row>
    <row r="206" spans="1:225" x14ac:dyDescent="0.35">
      <c r="A206" s="2"/>
      <c r="B206" s="2"/>
      <c r="C206" s="2"/>
      <c r="D206" s="2"/>
      <c r="E206" s="2"/>
      <c r="F206" s="2"/>
      <c r="G206" s="2"/>
      <c r="H206" s="2"/>
      <c r="I206" s="2"/>
      <c r="K206" s="2"/>
      <c r="L206" s="2"/>
      <c r="M206" s="2"/>
    </row>
    <row r="207" spans="1:225" x14ac:dyDescent="0.35">
      <c r="A207" s="2"/>
      <c r="B207" s="2"/>
      <c r="C207" s="2"/>
      <c r="D207" s="2"/>
      <c r="E207" s="2"/>
      <c r="F207" s="2"/>
      <c r="G207" s="2"/>
      <c r="H207" s="2"/>
      <c r="I207" s="2"/>
      <c r="K207" s="2"/>
      <c r="L207" s="2"/>
      <c r="M207" s="2"/>
    </row>
    <row r="208" spans="1:225" x14ac:dyDescent="0.35">
      <c r="A208" s="2"/>
      <c r="B208" s="2"/>
      <c r="C208" s="2"/>
      <c r="D208" s="2"/>
      <c r="E208" s="2"/>
      <c r="F208" s="2"/>
      <c r="G208" s="2"/>
      <c r="H208" s="2"/>
      <c r="I208" s="2"/>
      <c r="K208" s="2"/>
      <c r="L208" s="2"/>
      <c r="M208" s="2"/>
    </row>
    <row r="209" spans="1:13" x14ac:dyDescent="0.35">
      <c r="A209" s="2"/>
      <c r="B209" s="2"/>
      <c r="C209" s="2"/>
      <c r="D209" s="2"/>
      <c r="E209" s="2"/>
      <c r="F209" s="2"/>
      <c r="G209" s="2"/>
      <c r="H209" s="2"/>
      <c r="I209" s="2"/>
      <c r="K209" s="2"/>
      <c r="L209" s="2"/>
      <c r="M209" s="2"/>
    </row>
    <row r="210" spans="1:13" x14ac:dyDescent="0.35">
      <c r="A210" s="2"/>
      <c r="B210" s="2"/>
      <c r="C210" s="2"/>
      <c r="D210" s="2"/>
      <c r="E210" s="2"/>
      <c r="F210" s="2"/>
      <c r="G210" s="2"/>
      <c r="H210" s="2"/>
      <c r="I210" s="2"/>
      <c r="K210" s="2"/>
      <c r="L210" s="2"/>
      <c r="M210" s="2"/>
    </row>
    <row r="211" spans="1:13" x14ac:dyDescent="0.35">
      <c r="A211" s="2"/>
      <c r="B211" s="2"/>
      <c r="C211" s="2"/>
      <c r="D211" s="2"/>
      <c r="E211" s="2"/>
      <c r="F211" s="2"/>
      <c r="G211" s="2"/>
      <c r="H211" s="2"/>
      <c r="I211" s="2"/>
      <c r="K211" s="2"/>
      <c r="L211" s="2"/>
      <c r="M211" s="2"/>
    </row>
    <row r="212" spans="1:13" x14ac:dyDescent="0.35">
      <c r="A212" s="2"/>
      <c r="B212" s="2"/>
      <c r="C212" s="2"/>
      <c r="D212" s="2"/>
      <c r="E212" s="2"/>
      <c r="F212" s="2"/>
      <c r="G212" s="2"/>
      <c r="H212" s="2"/>
      <c r="I212" s="2"/>
      <c r="K212" s="2"/>
      <c r="L212" s="2"/>
      <c r="M212" s="2"/>
    </row>
    <row r="213" spans="1:13" x14ac:dyDescent="0.35">
      <c r="A213" s="2"/>
      <c r="B213" s="2"/>
      <c r="C213" s="2"/>
      <c r="D213" s="2"/>
      <c r="E213" s="2"/>
      <c r="F213" s="2"/>
      <c r="G213" s="2"/>
      <c r="H213" s="2"/>
      <c r="I213" s="2"/>
      <c r="K213" s="2"/>
      <c r="L213" s="2"/>
      <c r="M213" s="2"/>
    </row>
    <row r="214" spans="1:13" x14ac:dyDescent="0.35">
      <c r="A214" s="2"/>
      <c r="B214" s="2"/>
      <c r="C214" s="2"/>
      <c r="D214" s="2"/>
      <c r="E214" s="2"/>
      <c r="F214" s="2"/>
      <c r="G214" s="2"/>
      <c r="H214" s="2"/>
      <c r="I214" s="2"/>
      <c r="K214" s="2"/>
      <c r="L214" s="2"/>
      <c r="M214" s="2"/>
    </row>
    <row r="215" spans="1:13" x14ac:dyDescent="0.35">
      <c r="A215" s="2"/>
      <c r="B215" s="2"/>
      <c r="C215" s="2"/>
      <c r="D215" s="2"/>
      <c r="E215" s="2"/>
      <c r="F215" s="2"/>
      <c r="G215" s="2"/>
      <c r="H215" s="2"/>
      <c r="I215" s="2"/>
      <c r="K215" s="2"/>
      <c r="L215" s="2"/>
      <c r="M215" s="2"/>
    </row>
    <row r="216" spans="1:13" x14ac:dyDescent="0.35">
      <c r="A216" s="2"/>
      <c r="B216" s="2"/>
      <c r="C216" s="2"/>
      <c r="D216" s="2"/>
      <c r="E216" s="2"/>
      <c r="F216" s="2"/>
      <c r="G216" s="2"/>
      <c r="H216" s="2"/>
      <c r="I216" s="2"/>
      <c r="K216" s="2"/>
      <c r="L216" s="2"/>
      <c r="M216" s="2"/>
    </row>
    <row r="217" spans="1:13" x14ac:dyDescent="0.35">
      <c r="A217" s="2"/>
      <c r="B217" s="2"/>
      <c r="C217" s="2"/>
      <c r="D217" s="2"/>
      <c r="E217" s="2"/>
      <c r="F217" s="2"/>
      <c r="G217" s="2"/>
      <c r="H217" s="2"/>
      <c r="I217" s="2"/>
      <c r="K217" s="2"/>
      <c r="L217" s="2"/>
      <c r="M217" s="2"/>
    </row>
    <row r="218" spans="1:13" x14ac:dyDescent="0.35">
      <c r="A218" s="2"/>
      <c r="B218" s="2"/>
      <c r="C218" s="2"/>
      <c r="D218" s="2"/>
      <c r="E218" s="2"/>
      <c r="F218" s="2"/>
      <c r="G218" s="2"/>
      <c r="H218" s="2"/>
      <c r="I218" s="2"/>
      <c r="K218" s="2"/>
      <c r="L218" s="2"/>
      <c r="M218" s="2"/>
    </row>
    <row r="219" spans="1:13" x14ac:dyDescent="0.35">
      <c r="A219" s="2"/>
      <c r="B219" s="2"/>
      <c r="C219" s="2"/>
      <c r="D219" s="2"/>
      <c r="E219" s="2"/>
      <c r="F219" s="2"/>
      <c r="G219" s="2"/>
      <c r="H219" s="2"/>
      <c r="I219" s="2"/>
      <c r="K219" s="2"/>
      <c r="L219" s="2"/>
      <c r="M219" s="2"/>
    </row>
    <row r="220" spans="1:13" x14ac:dyDescent="0.35">
      <c r="A220" s="2"/>
      <c r="B220" s="2"/>
      <c r="C220" s="2"/>
      <c r="D220" s="2"/>
      <c r="E220" s="2"/>
      <c r="F220" s="2"/>
      <c r="G220" s="2"/>
      <c r="H220" s="2"/>
      <c r="I220" s="2"/>
      <c r="K220" s="2"/>
      <c r="L220" s="2"/>
      <c r="M220" s="2"/>
    </row>
    <row r="221" spans="1:13" x14ac:dyDescent="0.35">
      <c r="A221" s="2"/>
      <c r="B221" s="2"/>
      <c r="C221" s="2"/>
      <c r="D221" s="2"/>
      <c r="E221" s="2"/>
      <c r="F221" s="2"/>
      <c r="G221" s="2"/>
      <c r="H221" s="2"/>
      <c r="I221" s="2"/>
      <c r="K221" s="2"/>
      <c r="L221" s="2"/>
      <c r="M221" s="2"/>
    </row>
    <row r="222" spans="1:13" x14ac:dyDescent="0.35">
      <c r="A222" s="2"/>
      <c r="B222" s="2"/>
      <c r="C222" s="2"/>
      <c r="D222" s="2"/>
      <c r="E222" s="2"/>
      <c r="F222" s="2"/>
      <c r="G222" s="2"/>
      <c r="H222" s="2"/>
      <c r="I222" s="2"/>
      <c r="K222" s="2"/>
      <c r="L222" s="2"/>
      <c r="M222" s="2"/>
    </row>
    <row r="223" spans="1:13" x14ac:dyDescent="0.35">
      <c r="A223" s="2"/>
      <c r="B223" s="2"/>
      <c r="C223" s="2"/>
      <c r="D223" s="2"/>
      <c r="E223" s="2"/>
      <c r="F223" s="2"/>
      <c r="G223" s="2"/>
      <c r="H223" s="2"/>
      <c r="I223" s="2"/>
      <c r="K223" s="2"/>
      <c r="L223" s="2"/>
      <c r="M223" s="2"/>
    </row>
    <row r="224" spans="1:13" x14ac:dyDescent="0.35">
      <c r="A224" s="2"/>
      <c r="B224" s="2"/>
      <c r="C224" s="2"/>
      <c r="D224" s="2"/>
      <c r="E224" s="2"/>
      <c r="F224" s="2"/>
      <c r="G224" s="2"/>
      <c r="H224" s="2"/>
      <c r="I224" s="2"/>
      <c r="K224" s="2"/>
      <c r="L224" s="2"/>
      <c r="M224" s="2"/>
    </row>
    <row r="225" spans="1:13" x14ac:dyDescent="0.35">
      <c r="A225" s="2"/>
      <c r="B225" s="2"/>
      <c r="C225" s="2"/>
      <c r="D225" s="2"/>
      <c r="E225" s="2"/>
      <c r="F225" s="2"/>
      <c r="G225" s="2"/>
      <c r="H225" s="2"/>
      <c r="I225" s="2"/>
      <c r="K225" s="2"/>
      <c r="L225" s="2"/>
      <c r="M225" s="2"/>
    </row>
    <row r="226" spans="1:13" x14ac:dyDescent="0.35">
      <c r="A226" s="2"/>
      <c r="B226" s="2"/>
      <c r="C226" s="2"/>
      <c r="D226" s="2"/>
      <c r="E226" s="2"/>
      <c r="F226" s="2"/>
      <c r="G226" s="2"/>
      <c r="H226" s="2"/>
      <c r="I226" s="2"/>
      <c r="K226" s="2"/>
      <c r="L226" s="2"/>
      <c r="M226" s="2"/>
    </row>
    <row r="227" spans="1:13" x14ac:dyDescent="0.35">
      <c r="A227" s="2"/>
      <c r="B227" s="2"/>
      <c r="C227" s="2"/>
      <c r="D227" s="2"/>
      <c r="E227" s="2"/>
      <c r="F227" s="2"/>
      <c r="G227" s="2"/>
      <c r="H227" s="2"/>
      <c r="I227" s="2"/>
      <c r="K227" s="2"/>
      <c r="L227" s="2"/>
      <c r="M227" s="2"/>
    </row>
    <row r="228" spans="1:13" x14ac:dyDescent="0.35">
      <c r="A228" s="2"/>
      <c r="B228" s="2"/>
      <c r="C228" s="2"/>
      <c r="D228" s="2"/>
      <c r="E228" s="2"/>
      <c r="F228" s="2"/>
      <c r="G228" s="2"/>
      <c r="H228" s="2"/>
      <c r="I228" s="2"/>
      <c r="K228" s="2"/>
      <c r="L228" s="2"/>
      <c r="M228" s="2"/>
    </row>
    <row r="229" spans="1:13" x14ac:dyDescent="0.35">
      <c r="A229" s="2"/>
      <c r="B229" s="2"/>
      <c r="C229" s="2"/>
      <c r="D229" s="2"/>
      <c r="E229" s="2"/>
      <c r="F229" s="2"/>
      <c r="G229" s="2"/>
      <c r="H229" s="2"/>
      <c r="I229" s="2"/>
      <c r="K229" s="2"/>
      <c r="L229" s="2"/>
      <c r="M229" s="2"/>
    </row>
    <row r="230" spans="1:13" x14ac:dyDescent="0.35">
      <c r="A230" s="2"/>
      <c r="B230" s="2"/>
      <c r="C230" s="2"/>
      <c r="D230" s="2"/>
      <c r="E230" s="2"/>
      <c r="F230" s="2"/>
      <c r="G230" s="2"/>
      <c r="H230" s="2"/>
      <c r="I230" s="2"/>
      <c r="K230" s="2"/>
      <c r="L230" s="2"/>
      <c r="M230" s="2"/>
    </row>
    <row r="231" spans="1:13" x14ac:dyDescent="0.35">
      <c r="A231" s="2"/>
      <c r="B231" s="2"/>
      <c r="C231" s="2"/>
      <c r="D231" s="2"/>
      <c r="E231" s="2"/>
      <c r="F231" s="2"/>
      <c r="G231" s="2"/>
      <c r="H231" s="2"/>
      <c r="I231" s="2"/>
      <c r="K231" s="2"/>
      <c r="L231" s="2"/>
      <c r="M231" s="2"/>
    </row>
    <row r="232" spans="1:13" x14ac:dyDescent="0.35">
      <c r="A232" s="2"/>
      <c r="B232" s="2"/>
      <c r="C232" s="2"/>
      <c r="D232" s="2"/>
      <c r="E232" s="2"/>
      <c r="F232" s="2"/>
      <c r="G232" s="2"/>
      <c r="H232" s="2"/>
      <c r="I232" s="2"/>
      <c r="K232" s="2"/>
      <c r="L232" s="2"/>
      <c r="M232" s="2"/>
    </row>
    <row r="233" spans="1:13" x14ac:dyDescent="0.35">
      <c r="A233" s="2"/>
      <c r="B233" s="2"/>
      <c r="C233" s="2"/>
      <c r="D233" s="2"/>
      <c r="E233" s="2"/>
      <c r="F233" s="2"/>
      <c r="G233" s="2"/>
      <c r="H233" s="2"/>
      <c r="I233" s="2"/>
      <c r="K233" s="2"/>
      <c r="L233" s="2"/>
      <c r="M233" s="2"/>
    </row>
    <row r="234" spans="1:13" x14ac:dyDescent="0.35">
      <c r="A234" s="2"/>
      <c r="B234" s="2"/>
      <c r="C234" s="2"/>
      <c r="D234" s="2"/>
      <c r="E234" s="2"/>
      <c r="F234" s="2"/>
      <c r="G234" s="2"/>
      <c r="H234" s="2"/>
      <c r="I234" s="2"/>
      <c r="K234" s="2"/>
      <c r="L234" s="2"/>
      <c r="M234" s="2"/>
    </row>
    <row r="235" spans="1:13" x14ac:dyDescent="0.35">
      <c r="A235" s="2"/>
      <c r="B235" s="2"/>
      <c r="C235" s="2"/>
      <c r="D235" s="2"/>
      <c r="E235" s="2"/>
      <c r="F235" s="2"/>
      <c r="G235" s="2"/>
      <c r="H235" s="2"/>
      <c r="I235" s="2"/>
      <c r="K235" s="2"/>
      <c r="L235" s="2"/>
      <c r="M235" s="2"/>
    </row>
    <row r="236" spans="1:13" x14ac:dyDescent="0.35">
      <c r="A236" s="2"/>
      <c r="B236" s="2"/>
      <c r="C236" s="2"/>
      <c r="D236" s="2"/>
      <c r="E236" s="2"/>
      <c r="F236" s="2"/>
      <c r="G236" s="2"/>
      <c r="H236" s="2"/>
      <c r="I236" s="2"/>
      <c r="K236" s="2"/>
      <c r="L236" s="2"/>
      <c r="M236" s="2"/>
    </row>
    <row r="237" spans="1:13" x14ac:dyDescent="0.35">
      <c r="A237" s="2"/>
      <c r="B237" s="2"/>
      <c r="C237" s="2"/>
      <c r="D237" s="2"/>
      <c r="E237" s="2"/>
      <c r="F237" s="2"/>
      <c r="G237" s="2"/>
      <c r="H237" s="2"/>
      <c r="I237" s="2"/>
      <c r="K237" s="2"/>
      <c r="L237" s="2"/>
      <c r="M237" s="2"/>
    </row>
    <row r="238" spans="1:13" x14ac:dyDescent="0.35">
      <c r="A238" s="2"/>
      <c r="B238" s="2"/>
      <c r="C238" s="2"/>
      <c r="D238" s="2"/>
      <c r="E238" s="2"/>
      <c r="F238" s="2"/>
      <c r="G238" s="2"/>
      <c r="H238" s="2"/>
      <c r="I238" s="2"/>
      <c r="K238" s="2"/>
      <c r="L238" s="2"/>
      <c r="M238" s="2"/>
    </row>
    <row r="239" spans="1:13" x14ac:dyDescent="0.35">
      <c r="A239" s="2"/>
      <c r="B239" s="2"/>
      <c r="C239" s="2"/>
      <c r="D239" s="2"/>
      <c r="E239" s="2"/>
      <c r="F239" s="2"/>
      <c r="G239" s="2"/>
      <c r="H239" s="2"/>
      <c r="I239" s="2"/>
      <c r="K239" s="2"/>
      <c r="L239" s="2"/>
      <c r="M239" s="2"/>
    </row>
    <row r="240" spans="1:13" x14ac:dyDescent="0.35">
      <c r="A240" s="2"/>
      <c r="B240" s="2"/>
      <c r="C240" s="2"/>
      <c r="D240" s="2"/>
      <c r="E240" s="2"/>
      <c r="F240" s="2"/>
      <c r="G240" s="2"/>
      <c r="H240" s="2"/>
      <c r="I240" s="2"/>
      <c r="K240" s="2"/>
      <c r="L240" s="2"/>
      <c r="M240" s="2"/>
    </row>
    <row r="241" spans="1:13" x14ac:dyDescent="0.35">
      <c r="A241" s="2"/>
      <c r="B241" s="2"/>
      <c r="C241" s="2"/>
      <c r="D241" s="2"/>
      <c r="E241" s="2"/>
      <c r="F241" s="2"/>
      <c r="G241" s="2"/>
      <c r="H241" s="2"/>
      <c r="I241" s="2"/>
      <c r="K241" s="2"/>
      <c r="L241" s="2"/>
      <c r="M241" s="2"/>
    </row>
    <row r="242" spans="1:13" x14ac:dyDescent="0.35">
      <c r="A242" s="2"/>
      <c r="B242" s="2"/>
      <c r="C242" s="2"/>
      <c r="D242" s="2"/>
      <c r="E242" s="2"/>
      <c r="F242" s="2"/>
      <c r="G242" s="2"/>
      <c r="H242" s="2"/>
      <c r="I242" s="2"/>
      <c r="K242" s="2"/>
      <c r="L242" s="2"/>
      <c r="M242" s="2"/>
    </row>
    <row r="243" spans="1:13" x14ac:dyDescent="0.35">
      <c r="A243" s="2"/>
      <c r="B243" s="2"/>
      <c r="C243" s="2"/>
      <c r="D243" s="2"/>
      <c r="E243" s="2"/>
      <c r="F243" s="2"/>
      <c r="G243" s="2"/>
      <c r="H243" s="2"/>
      <c r="I243" s="2"/>
      <c r="K243" s="2"/>
      <c r="L243" s="2"/>
      <c r="M243" s="2"/>
    </row>
    <row r="244" spans="1:13" x14ac:dyDescent="0.35">
      <c r="A244" s="2"/>
      <c r="B244" s="2"/>
      <c r="C244" s="2"/>
      <c r="D244" s="2"/>
      <c r="E244" s="2"/>
      <c r="F244" s="2"/>
      <c r="G244" s="2"/>
      <c r="H244" s="2"/>
      <c r="I244" s="2"/>
      <c r="K244" s="2"/>
      <c r="L244" s="2"/>
      <c r="M244" s="2"/>
    </row>
    <row r="245" spans="1:13" x14ac:dyDescent="0.35">
      <c r="A245" s="2"/>
      <c r="B245" s="2"/>
      <c r="C245" s="2"/>
      <c r="D245" s="2"/>
      <c r="E245" s="2"/>
      <c r="F245" s="2"/>
      <c r="G245" s="2"/>
      <c r="H245" s="2"/>
      <c r="I245" s="2"/>
      <c r="K245" s="2"/>
      <c r="L245" s="2"/>
      <c r="M245" s="2"/>
    </row>
    <row r="246" spans="1:13" x14ac:dyDescent="0.35">
      <c r="A246" s="2"/>
      <c r="B246" s="2"/>
      <c r="C246" s="2"/>
      <c r="D246" s="2"/>
      <c r="E246" s="2"/>
      <c r="F246" s="2"/>
      <c r="G246" s="2"/>
      <c r="H246" s="2"/>
      <c r="I246" s="2"/>
      <c r="K246" s="2"/>
      <c r="L246" s="2"/>
      <c r="M246" s="2"/>
    </row>
    <row r="247" spans="1:13" x14ac:dyDescent="0.35">
      <c r="A247" s="2"/>
      <c r="B247" s="2"/>
      <c r="C247" s="2"/>
      <c r="D247" s="2"/>
      <c r="E247" s="2"/>
      <c r="F247" s="2"/>
      <c r="G247" s="2"/>
      <c r="H247" s="2"/>
      <c r="I247" s="2"/>
      <c r="K247" s="2"/>
      <c r="L247" s="2"/>
      <c r="M247" s="2"/>
    </row>
    <row r="248" spans="1:13" x14ac:dyDescent="0.35">
      <c r="A248" s="2"/>
      <c r="B248" s="2"/>
      <c r="C248" s="2"/>
      <c r="D248" s="2"/>
      <c r="E248" s="2"/>
      <c r="F248" s="2"/>
      <c r="G248" s="2"/>
      <c r="H248" s="2"/>
      <c r="I248" s="2"/>
      <c r="K248" s="2"/>
      <c r="L248" s="2"/>
      <c r="M248" s="2"/>
    </row>
    <row r="249" spans="1:13" x14ac:dyDescent="0.35">
      <c r="A249" s="2"/>
      <c r="B249" s="2"/>
      <c r="C249" s="2"/>
      <c r="D249" s="2"/>
      <c r="E249" s="2"/>
      <c r="F249" s="2"/>
      <c r="G249" s="2"/>
      <c r="H249" s="2"/>
      <c r="I249" s="2"/>
      <c r="K249" s="2"/>
      <c r="L249" s="2"/>
      <c r="M249" s="2"/>
    </row>
    <row r="250" spans="1:13" x14ac:dyDescent="0.35">
      <c r="A250" s="2"/>
      <c r="B250" s="2"/>
      <c r="C250" s="2"/>
      <c r="D250" s="2"/>
      <c r="E250" s="2"/>
      <c r="F250" s="2"/>
      <c r="G250" s="2"/>
      <c r="H250" s="2"/>
      <c r="I250" s="2"/>
      <c r="K250" s="2"/>
      <c r="L250" s="2"/>
      <c r="M250" s="2"/>
    </row>
    <row r="251" spans="1:13" x14ac:dyDescent="0.35">
      <c r="A251" s="2"/>
      <c r="B251" s="2"/>
      <c r="C251" s="2"/>
      <c r="D251" s="2"/>
      <c r="E251" s="2"/>
      <c r="F251" s="2"/>
      <c r="G251" s="2"/>
      <c r="H251" s="2"/>
      <c r="I251" s="2"/>
      <c r="K251" s="2"/>
      <c r="L251" s="2"/>
      <c r="M251" s="2"/>
    </row>
    <row r="252" spans="1:13" x14ac:dyDescent="0.35">
      <c r="A252" s="2"/>
      <c r="B252" s="2"/>
      <c r="C252" s="2"/>
      <c r="D252" s="2"/>
      <c r="E252" s="2"/>
      <c r="F252" s="2"/>
      <c r="G252" s="2"/>
      <c r="H252" s="2"/>
      <c r="I252" s="2"/>
      <c r="K252" s="2"/>
      <c r="L252" s="2"/>
      <c r="M252" s="2"/>
    </row>
    <row r="253" spans="1:13" x14ac:dyDescent="0.35">
      <c r="A253" s="2"/>
      <c r="B253" s="2"/>
      <c r="C253" s="2"/>
      <c r="D253" s="2"/>
      <c r="E253" s="2"/>
      <c r="F253" s="2"/>
      <c r="G253" s="2"/>
      <c r="H253" s="2"/>
      <c r="I253" s="2"/>
      <c r="K253" s="2"/>
      <c r="L253" s="2"/>
      <c r="M253" s="2"/>
    </row>
    <row r="254" spans="1:13" x14ac:dyDescent="0.35">
      <c r="A254" s="2"/>
      <c r="B254" s="2"/>
      <c r="C254" s="2"/>
      <c r="D254" s="2"/>
      <c r="E254" s="2"/>
      <c r="F254" s="2"/>
      <c r="G254" s="2"/>
      <c r="H254" s="2"/>
      <c r="I254" s="2"/>
      <c r="K254" s="2"/>
      <c r="L254" s="2"/>
      <c r="M254" s="2"/>
    </row>
    <row r="255" spans="1:13" x14ac:dyDescent="0.35">
      <c r="A255" s="2"/>
      <c r="B255" s="2"/>
      <c r="C255" s="2"/>
      <c r="D255" s="2"/>
      <c r="E255" s="2"/>
      <c r="F255" s="2"/>
      <c r="G255" s="2"/>
      <c r="H255" s="2"/>
      <c r="I255" s="2"/>
      <c r="K255" s="2"/>
      <c r="L255" s="2"/>
      <c r="M255" s="2"/>
    </row>
    <row r="256" spans="1:13" x14ac:dyDescent="0.35">
      <c r="A256" s="2"/>
      <c r="B256" s="2"/>
      <c r="C256" s="2"/>
      <c r="D256" s="2"/>
      <c r="E256" s="2"/>
      <c r="F256" s="2"/>
      <c r="G256" s="2"/>
      <c r="H256" s="2"/>
      <c r="I256" s="2"/>
      <c r="K256" s="2"/>
      <c r="L256" s="2"/>
      <c r="M256" s="2"/>
    </row>
    <row r="257" spans="1:13" x14ac:dyDescent="0.35">
      <c r="A257" s="2"/>
      <c r="B257" s="2"/>
      <c r="C257" s="2"/>
      <c r="D257" s="2"/>
      <c r="E257" s="2"/>
      <c r="F257" s="2"/>
      <c r="G257" s="2"/>
      <c r="H257" s="2"/>
      <c r="I257" s="2"/>
      <c r="K257" s="2"/>
      <c r="L257" s="2"/>
      <c r="M257" s="2"/>
    </row>
    <row r="258" spans="1:13" x14ac:dyDescent="0.35">
      <c r="A258" s="2"/>
      <c r="B258" s="2"/>
      <c r="C258" s="2"/>
      <c r="D258" s="2"/>
      <c r="E258" s="2"/>
      <c r="F258" s="2"/>
      <c r="G258" s="2"/>
      <c r="H258" s="2"/>
      <c r="I258" s="2"/>
      <c r="K258" s="2"/>
      <c r="L258" s="2"/>
      <c r="M258" s="2"/>
    </row>
    <row r="259" spans="1:13" x14ac:dyDescent="0.35">
      <c r="A259" s="2"/>
      <c r="B259" s="2"/>
      <c r="C259" s="2"/>
      <c r="D259" s="2"/>
      <c r="E259" s="2"/>
      <c r="F259" s="2"/>
      <c r="G259" s="2"/>
      <c r="H259" s="2"/>
      <c r="I259" s="2"/>
      <c r="K259" s="2"/>
      <c r="L259" s="2"/>
      <c r="M259" s="2"/>
    </row>
    <row r="260" spans="1:13" x14ac:dyDescent="0.35">
      <c r="A260" s="2"/>
      <c r="B260" s="2"/>
      <c r="C260" s="2"/>
      <c r="D260" s="2"/>
      <c r="E260" s="2"/>
      <c r="F260" s="2"/>
      <c r="G260" s="2"/>
      <c r="H260" s="2"/>
      <c r="I260" s="2"/>
      <c r="K260" s="2"/>
      <c r="L260" s="2"/>
      <c r="M260" s="2"/>
    </row>
    <row r="261" spans="1:13" x14ac:dyDescent="0.35">
      <c r="A261" s="2"/>
      <c r="B261" s="2"/>
      <c r="C261" s="2"/>
      <c r="D261" s="2"/>
      <c r="E261" s="2"/>
      <c r="F261" s="2"/>
      <c r="G261" s="2"/>
      <c r="H261" s="2"/>
      <c r="I261" s="2"/>
      <c r="K261" s="2"/>
      <c r="L261" s="2"/>
      <c r="M261" s="2"/>
    </row>
    <row r="262" spans="1:13" x14ac:dyDescent="0.35">
      <c r="A262" s="2"/>
      <c r="B262" s="2"/>
      <c r="C262" s="2"/>
      <c r="D262" s="2"/>
      <c r="E262" s="2"/>
      <c r="F262" s="2"/>
      <c r="G262" s="2"/>
      <c r="H262" s="2"/>
      <c r="I262" s="2"/>
      <c r="K262" s="2"/>
      <c r="L262" s="2"/>
      <c r="M262" s="2"/>
    </row>
    <row r="263" spans="1:13" x14ac:dyDescent="0.35">
      <c r="A263" s="2"/>
      <c r="B263" s="2"/>
      <c r="C263" s="2"/>
      <c r="D263" s="2"/>
      <c r="E263" s="2"/>
      <c r="F263" s="2"/>
      <c r="G263" s="2"/>
      <c r="H263" s="2"/>
      <c r="I263" s="2"/>
      <c r="K263" s="2"/>
      <c r="L263" s="2"/>
      <c r="M263" s="2"/>
    </row>
    <row r="264" spans="1:13" x14ac:dyDescent="0.35">
      <c r="A264" s="2"/>
      <c r="B264" s="2"/>
      <c r="C264" s="2"/>
      <c r="D264" s="2"/>
      <c r="E264" s="2"/>
      <c r="F264" s="2"/>
      <c r="G264" s="2"/>
      <c r="H264" s="2"/>
      <c r="I264" s="2"/>
      <c r="K264" s="2"/>
      <c r="L264" s="2"/>
      <c r="M264" s="2"/>
    </row>
    <row r="265" spans="1:13" x14ac:dyDescent="0.35">
      <c r="A265" s="2"/>
      <c r="B265" s="2"/>
      <c r="C265" s="2"/>
      <c r="D265" s="2"/>
      <c r="E265" s="2"/>
      <c r="F265" s="2"/>
      <c r="G265" s="2"/>
      <c r="H265" s="2"/>
      <c r="I265" s="2"/>
      <c r="K265" s="2"/>
      <c r="L265" s="2"/>
      <c r="M265" s="2"/>
    </row>
    <row r="266" spans="1:13" x14ac:dyDescent="0.35">
      <c r="A266" s="2"/>
      <c r="B266" s="2"/>
      <c r="C266" s="2"/>
      <c r="D266" s="2"/>
      <c r="E266" s="2"/>
      <c r="F266" s="2"/>
      <c r="G266" s="2"/>
      <c r="H266" s="2"/>
      <c r="I266" s="2"/>
      <c r="K266" s="2"/>
      <c r="L266" s="2"/>
      <c r="M266" s="2"/>
    </row>
    <row r="267" spans="1:13" x14ac:dyDescent="0.35">
      <c r="A267" s="2"/>
      <c r="B267" s="2"/>
      <c r="C267" s="2"/>
      <c r="D267" s="2"/>
      <c r="E267" s="2"/>
      <c r="F267" s="2"/>
      <c r="G267" s="2"/>
      <c r="H267" s="2"/>
      <c r="I267" s="2"/>
      <c r="K267" s="2"/>
      <c r="L267" s="2"/>
      <c r="M267" s="2"/>
    </row>
    <row r="268" spans="1:13" x14ac:dyDescent="0.35">
      <c r="A268" s="2"/>
      <c r="B268" s="2"/>
      <c r="C268" s="2"/>
      <c r="D268" s="2"/>
      <c r="E268" s="2"/>
      <c r="F268" s="2"/>
      <c r="G268" s="2"/>
      <c r="H268" s="2"/>
      <c r="I268" s="2"/>
      <c r="K268" s="2"/>
      <c r="L268" s="2"/>
      <c r="M268" s="2"/>
    </row>
    <row r="269" spans="1:13" x14ac:dyDescent="0.35">
      <c r="A269" s="2"/>
      <c r="B269" s="2"/>
      <c r="C269" s="2"/>
      <c r="D269" s="2"/>
      <c r="E269" s="2"/>
      <c r="F269" s="2"/>
      <c r="G269" s="2"/>
      <c r="H269" s="2"/>
      <c r="I269" s="2"/>
      <c r="K269" s="2"/>
      <c r="L269" s="2"/>
      <c r="M269" s="2"/>
    </row>
    <row r="270" spans="1:13" x14ac:dyDescent="0.35">
      <c r="A270" s="2"/>
      <c r="B270" s="2"/>
      <c r="C270" s="2"/>
      <c r="D270" s="2"/>
      <c r="E270" s="2"/>
      <c r="F270" s="2"/>
      <c r="G270" s="2"/>
      <c r="H270" s="2"/>
      <c r="I270" s="2"/>
      <c r="K270" s="2"/>
      <c r="L270" s="2"/>
      <c r="M270" s="2"/>
    </row>
    <row r="271" spans="1:13" x14ac:dyDescent="0.35">
      <c r="A271" s="2"/>
      <c r="B271" s="2"/>
      <c r="C271" s="2"/>
      <c r="D271" s="2"/>
      <c r="E271" s="2"/>
      <c r="F271" s="2"/>
      <c r="G271" s="2"/>
      <c r="H271" s="2"/>
      <c r="I271" s="2"/>
      <c r="K271" s="2"/>
      <c r="L271" s="2"/>
      <c r="M271" s="2"/>
    </row>
    <row r="272" spans="1:13" x14ac:dyDescent="0.35">
      <c r="A272" s="2"/>
      <c r="B272" s="2"/>
      <c r="C272" s="2"/>
      <c r="D272" s="2"/>
      <c r="E272" s="2"/>
      <c r="F272" s="2"/>
      <c r="G272" s="2"/>
      <c r="H272" s="2"/>
      <c r="I272" s="2"/>
      <c r="K272" s="2"/>
      <c r="L272" s="2"/>
      <c r="M272" s="2"/>
    </row>
    <row r="273" spans="1:13" x14ac:dyDescent="0.35">
      <c r="A273" s="2"/>
      <c r="B273" s="2"/>
      <c r="C273" s="2"/>
      <c r="D273" s="2"/>
      <c r="E273" s="2"/>
      <c r="F273" s="2"/>
      <c r="G273" s="2"/>
      <c r="H273" s="2"/>
      <c r="I273" s="2"/>
      <c r="K273" s="2"/>
      <c r="L273" s="2"/>
      <c r="M273" s="2"/>
    </row>
    <row r="274" spans="1:13" x14ac:dyDescent="0.35">
      <c r="A274" s="2"/>
      <c r="B274" s="2"/>
      <c r="C274" s="2"/>
      <c r="D274" s="2"/>
      <c r="E274" s="2"/>
      <c r="F274" s="2"/>
      <c r="G274" s="2"/>
      <c r="H274" s="2"/>
      <c r="I274" s="2"/>
      <c r="K274" s="2"/>
      <c r="L274" s="2"/>
      <c r="M274" s="2"/>
    </row>
  </sheetData>
  <printOptions horizontalCentered="1"/>
  <pageMargins left="0" right="0.15" top="0.63" bottom="0.36" header="0.22" footer="0.17"/>
  <pageSetup scale="64" orientation="landscape" horizontalDpi="4294967295" verticalDpi="4294967295" r:id="rId1"/>
  <headerFooter alignWithMargins="0">
    <oddHeader xml:space="preserve">&amp;L&amp;"Times New Roman,Bold"&amp;12REVISED AS OF &amp;D&amp;C&amp;"Times New Roman,Bold"UNIVERSITY of SOUTHERN CALIFORNIA
Statement of Activities
USC, Norris, REDC,  USC Care, AMI-USC, ICT Productions and APF
Restated for Publication &amp;R
</oddHeader>
    <oddFooter>&amp;Cpage &amp;P+1&amp;R&amp;Z&amp;F\&amp;A : &amp;D</oddFooter>
  </headerFooter>
  <colBreaks count="1" manualBreakCount="1">
    <brk id="6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Q276"/>
  <sheetViews>
    <sheetView showZeros="0" topLeftCell="A8" zoomScaleNormal="100" workbookViewId="0">
      <pane xSplit="1" ySplit="6" topLeftCell="B14" activePane="bottomRight" state="frozen"/>
      <selection activeCell="A8" sqref="A8"/>
      <selection pane="topRight" activeCell="B8" sqref="B8"/>
      <selection pane="bottomLeft" activeCell="A14" sqref="A14"/>
      <selection pane="bottomRight" activeCell="M8" sqref="M1:M1048576"/>
    </sheetView>
  </sheetViews>
  <sheetFormatPr defaultColWidth="8" defaultRowHeight="10.35" x14ac:dyDescent="0.35"/>
  <cols>
    <col min="1" max="1" width="35.87890625" style="1" customWidth="1"/>
    <col min="2" max="3" width="15.29296875" style="1" customWidth="1"/>
    <col min="4" max="4" width="16.29296875" style="1" bestFit="1" customWidth="1"/>
    <col min="5" max="5" width="15.29296875" style="1" customWidth="1"/>
    <col min="6" max="7" width="16.29296875" style="1" bestFit="1" customWidth="1"/>
    <col min="8" max="8" width="15.29296875" style="1" customWidth="1"/>
    <col min="9" max="9" width="16.29296875" style="1" bestFit="1" customWidth="1"/>
    <col min="10" max="10" width="2.41015625" style="2" customWidth="1"/>
    <col min="11" max="12" width="16.29296875" style="1" bestFit="1" customWidth="1"/>
    <col min="13" max="13" width="16.1171875" style="1" customWidth="1"/>
    <col min="14" max="16384" width="8" style="1"/>
  </cols>
  <sheetData>
    <row r="1" spans="1:13" x14ac:dyDescent="0.35">
      <c r="A1" s="2"/>
    </row>
    <row r="3" spans="1:13" x14ac:dyDescent="0.35">
      <c r="M3" s="2"/>
    </row>
    <row r="4" spans="1:13" x14ac:dyDescent="0.35">
      <c r="M4" s="2"/>
    </row>
    <row r="5" spans="1:13" x14ac:dyDescent="0.35">
      <c r="B5" s="2"/>
      <c r="I5" s="82"/>
      <c r="J5" s="81"/>
      <c r="K5" s="81"/>
      <c r="L5" s="81"/>
      <c r="M5" s="68" t="s">
        <v>87</v>
      </c>
    </row>
    <row r="6" spans="1:13" ht="9.75" customHeight="1" thickBot="1" x14ac:dyDescent="0.4">
      <c r="A6" s="2"/>
      <c r="B6" s="2"/>
      <c r="C6" s="70"/>
      <c r="D6" s="70"/>
      <c r="E6" s="71"/>
      <c r="F6" s="70"/>
      <c r="G6" s="70"/>
      <c r="H6" s="71"/>
      <c r="I6" s="80"/>
      <c r="J6" s="80"/>
      <c r="K6" s="80"/>
      <c r="L6" s="80"/>
      <c r="M6" s="79" t="s">
        <v>124</v>
      </c>
    </row>
    <row r="7" spans="1:13" ht="9.75" customHeight="1" x14ac:dyDescent="0.35">
      <c r="A7" s="2"/>
      <c r="B7" s="78"/>
      <c r="C7" s="70"/>
      <c r="D7" s="70"/>
      <c r="E7" s="71"/>
      <c r="F7" s="70"/>
      <c r="G7" s="70"/>
      <c r="H7" s="71"/>
      <c r="I7" s="63"/>
      <c r="J7" s="63"/>
      <c r="K7" s="63"/>
      <c r="L7" s="63"/>
      <c r="M7" s="77"/>
    </row>
    <row r="8" spans="1:13" ht="9.75" customHeight="1" x14ac:dyDescent="0.35">
      <c r="A8" s="2"/>
      <c r="B8" s="78" t="s">
        <v>73</v>
      </c>
      <c r="C8" s="70"/>
      <c r="D8" s="70"/>
      <c r="E8" s="71"/>
      <c r="F8" s="70"/>
      <c r="G8" s="70"/>
      <c r="H8" s="71"/>
      <c r="I8" s="63"/>
      <c r="J8" s="63"/>
      <c r="K8" s="63"/>
      <c r="L8" s="63"/>
      <c r="M8" s="77"/>
    </row>
    <row r="9" spans="1:13" ht="9.75" customHeight="1" x14ac:dyDescent="0.35">
      <c r="A9" s="2"/>
      <c r="B9" s="76" t="s">
        <v>62</v>
      </c>
      <c r="C9" s="70"/>
      <c r="D9" s="70"/>
      <c r="E9" s="71"/>
      <c r="F9" s="70"/>
      <c r="G9" s="70"/>
      <c r="H9" s="71"/>
      <c r="I9" s="63"/>
      <c r="J9" s="63"/>
      <c r="K9" s="63"/>
      <c r="L9" s="63"/>
      <c r="M9" s="63"/>
    </row>
    <row r="10" spans="1:13" ht="9.75" customHeight="1" x14ac:dyDescent="0.35">
      <c r="A10" s="2"/>
      <c r="B10" s="11"/>
      <c r="C10" s="11"/>
      <c r="D10" s="75" t="s">
        <v>85</v>
      </c>
      <c r="E10" s="74"/>
      <c r="F10" s="11"/>
      <c r="G10" s="11"/>
      <c r="H10" s="74"/>
      <c r="I10" s="73"/>
      <c r="J10" s="63"/>
      <c r="K10" s="63"/>
      <c r="L10" s="63"/>
      <c r="M10" s="63"/>
    </row>
    <row r="11" spans="1:13" ht="9.75" customHeight="1" x14ac:dyDescent="0.35">
      <c r="A11" s="2"/>
      <c r="B11" s="13"/>
      <c r="C11" s="13"/>
      <c r="D11" s="72" t="s">
        <v>84</v>
      </c>
      <c r="E11" s="67" t="s">
        <v>83</v>
      </c>
      <c r="F11" s="13"/>
      <c r="G11" s="2"/>
      <c r="H11" s="71"/>
      <c r="I11" s="68" t="s">
        <v>71</v>
      </c>
      <c r="J11" s="63"/>
      <c r="K11" s="68" t="s">
        <v>82</v>
      </c>
      <c r="L11" s="69" t="s">
        <v>81</v>
      </c>
      <c r="M11" s="63"/>
    </row>
    <row r="12" spans="1:13" ht="9.75" customHeight="1" x14ac:dyDescent="0.35">
      <c r="A12" s="2"/>
      <c r="B12" s="13" t="s">
        <v>79</v>
      </c>
      <c r="C12" s="13" t="s">
        <v>78</v>
      </c>
      <c r="D12" s="67" t="s">
        <v>77</v>
      </c>
      <c r="E12" s="67" t="s">
        <v>77</v>
      </c>
      <c r="F12" s="13" t="s">
        <v>76</v>
      </c>
      <c r="G12" s="13" t="s">
        <v>75</v>
      </c>
      <c r="H12" s="13" t="s">
        <v>74</v>
      </c>
      <c r="I12" s="69" t="s">
        <v>73</v>
      </c>
      <c r="J12" s="63"/>
      <c r="K12" s="68" t="s">
        <v>72</v>
      </c>
      <c r="L12" s="68" t="s">
        <v>72</v>
      </c>
      <c r="M12" s="68" t="s">
        <v>71</v>
      </c>
    </row>
    <row r="13" spans="1:13" ht="9.75" customHeight="1" x14ac:dyDescent="0.35">
      <c r="A13" s="2"/>
      <c r="B13" s="66" t="s">
        <v>69</v>
      </c>
      <c r="C13" s="66" t="s">
        <v>68</v>
      </c>
      <c r="D13" s="67" t="s">
        <v>67</v>
      </c>
      <c r="E13" s="66" t="s">
        <v>66</v>
      </c>
      <c r="F13" s="66" t="s">
        <v>65</v>
      </c>
      <c r="G13" s="66" t="s">
        <v>64</v>
      </c>
      <c r="H13" s="66" t="s">
        <v>63</v>
      </c>
      <c r="I13" s="65" t="s">
        <v>62</v>
      </c>
      <c r="J13" s="63"/>
      <c r="K13" s="65" t="s">
        <v>62</v>
      </c>
      <c r="L13" s="65" t="s">
        <v>62</v>
      </c>
      <c r="M13" s="65" t="s">
        <v>62</v>
      </c>
    </row>
    <row r="14" spans="1:13" ht="9.75" customHeight="1" x14ac:dyDescent="0.35">
      <c r="A14" s="33" t="s">
        <v>60</v>
      </c>
      <c r="D14" s="9"/>
      <c r="I14" s="64"/>
      <c r="J14" s="63"/>
      <c r="K14" s="62"/>
      <c r="L14" s="62"/>
      <c r="M14" s="62"/>
    </row>
    <row r="15" spans="1:13" ht="9.75" customHeight="1" x14ac:dyDescent="0.35">
      <c r="A15" s="6" t="s">
        <v>59</v>
      </c>
      <c r="B15" s="30">
        <f>ROUND('[11]Changes FY17'!B15,-3)</f>
        <v>1899584000</v>
      </c>
      <c r="C15" s="20">
        <f>ROUND('[11]Changes FY17'!C15,-3)</f>
        <v>0</v>
      </c>
      <c r="D15" s="20">
        <f>ROUND('[11]Changes FY17'!D15,-3)</f>
        <v>0</v>
      </c>
      <c r="E15" s="20">
        <f>ROUND('[11]Changes FY17'!E15,-3)</f>
        <v>0</v>
      </c>
      <c r="F15" s="20">
        <f>ROUND('[11]Changes FY17'!F15,-3)</f>
        <v>0</v>
      </c>
      <c r="G15" s="20">
        <f>ROUND('[11]Changes FY17'!G15,-3)</f>
        <v>0</v>
      </c>
      <c r="H15" s="20">
        <f>ROUND('[11]Changes FY17'!H15,-3)</f>
        <v>0</v>
      </c>
      <c r="I15" s="32">
        <f t="shared" ref="I15:I30" si="0">SUM(B15:H15)</f>
        <v>1899584000</v>
      </c>
      <c r="J15" s="28"/>
      <c r="K15" s="29">
        <f>ROUND('[11]Changes FY17'!K15,-3)</f>
        <v>0</v>
      </c>
      <c r="L15" s="29">
        <f>ROUND('[11]Changes FY17'!L15,-3)</f>
        <v>0</v>
      </c>
      <c r="M15" s="32">
        <f t="shared" ref="M15:M32" si="1">SUM(I15:L15)</f>
        <v>1899584000</v>
      </c>
    </row>
    <row r="16" spans="1:13" ht="9.75" customHeight="1" x14ac:dyDescent="0.35">
      <c r="A16" s="6" t="s">
        <v>58</v>
      </c>
      <c r="B16" s="134">
        <f>ROUND('[11]Changes FY17'!B16,-3)</f>
        <v>-510551000</v>
      </c>
      <c r="C16" s="20">
        <f>ROUND('[11]Changes FY17'!C16,-3)</f>
        <v>0</v>
      </c>
      <c r="D16" s="20">
        <f>ROUND('[11]Changes FY17'!D16,-3)</f>
        <v>0</v>
      </c>
      <c r="E16" s="20">
        <f>ROUND('[11]Changes FY17'!E16,-3)</f>
        <v>0</v>
      </c>
      <c r="F16" s="20">
        <f>ROUND('[11]Changes FY17'!F16,-3)</f>
        <v>0</v>
      </c>
      <c r="G16" s="20">
        <f>ROUND('[11]Changes FY17'!G16,-3)</f>
        <v>0</v>
      </c>
      <c r="H16" s="20">
        <f>ROUND('[11]Changes FY17'!H16,-3)</f>
        <v>0</v>
      </c>
      <c r="I16" s="28">
        <f t="shared" si="0"/>
        <v>-510551000</v>
      </c>
      <c r="J16" s="28"/>
      <c r="K16" s="29">
        <f>ROUND('[11]Changes FY17'!K16,-3)</f>
        <v>0</v>
      </c>
      <c r="L16" s="29">
        <f>ROUND('[11]Changes FY17'!L16,-3)</f>
        <v>0</v>
      </c>
      <c r="M16" s="28">
        <f t="shared" si="1"/>
        <v>-510551000</v>
      </c>
    </row>
    <row r="17" spans="1:13" ht="9.75" customHeight="1" x14ac:dyDescent="0.35">
      <c r="A17" s="61" t="s">
        <v>57</v>
      </c>
      <c r="B17" s="30">
        <f>ROUND('[11]Changes FY17'!B17,-3)</f>
        <v>1389034000</v>
      </c>
      <c r="C17" s="20">
        <f>ROUND('[11]Changes FY17'!C17,-3)</f>
        <v>0</v>
      </c>
      <c r="D17" s="20">
        <f>ROUND('[11]Changes FY17'!D17,-3)</f>
        <v>0</v>
      </c>
      <c r="E17" s="20">
        <f>ROUND('[11]Changes FY17'!E17,-3)</f>
        <v>0</v>
      </c>
      <c r="F17" s="20">
        <f>ROUND('[11]Changes FY17'!F17,-3)</f>
        <v>0</v>
      </c>
      <c r="G17" s="20">
        <f>ROUND('[11]Changes FY17'!G17,-3)</f>
        <v>0</v>
      </c>
      <c r="H17" s="20">
        <f>ROUND('[11]Changes FY17'!H17,-3)</f>
        <v>0</v>
      </c>
      <c r="I17" s="87">
        <f t="shared" si="0"/>
        <v>1389034000</v>
      </c>
      <c r="J17" s="88"/>
      <c r="K17" s="29">
        <f>ROUND('[11]Changes FY17'!K17,-3)</f>
        <v>0</v>
      </c>
      <c r="L17" s="29">
        <f>ROUND('[11]Changes FY17'!L17,-3)</f>
        <v>0</v>
      </c>
      <c r="M17" s="87">
        <f t="shared" si="1"/>
        <v>1389034000</v>
      </c>
    </row>
    <row r="18" spans="1:13" ht="9.75" customHeight="1" x14ac:dyDescent="0.35">
      <c r="A18" s="6" t="s">
        <v>56</v>
      </c>
      <c r="B18" s="20">
        <f>ROUND('[11]Changes FY17'!B18,-3)</f>
        <v>23906000</v>
      </c>
      <c r="C18" s="20">
        <f>ROUND('[11]Changes FY17'!C18,-3)</f>
        <v>0</v>
      </c>
      <c r="D18" s="30">
        <f>ROUND('[11]Changes FY17'!D18,-3)</f>
        <v>9740000</v>
      </c>
      <c r="E18" s="20">
        <f>ROUND('[11]Changes FY17'!E18,-3)</f>
        <v>0</v>
      </c>
      <c r="F18" s="20">
        <f>ROUND('[11]Changes FY17'!F18,-3)</f>
        <v>0</v>
      </c>
      <c r="G18" s="20">
        <f>ROUND('[11]Changes FY17'!G18,-3)</f>
        <v>0</v>
      </c>
      <c r="H18" s="20">
        <f>ROUND('[11]Changes FY17'!H18,-3)</f>
        <v>0</v>
      </c>
      <c r="I18" s="28">
        <f t="shared" si="0"/>
        <v>33646000</v>
      </c>
      <c r="J18" s="28"/>
      <c r="K18" s="29">
        <f>ROUND('[11]Changes FY17'!K18,-3)</f>
        <v>0</v>
      </c>
      <c r="L18" s="31">
        <f>ROUND('[11]Changes FY17'!L18,-3)-1000</f>
        <v>819000</v>
      </c>
      <c r="M18" s="28">
        <f t="shared" si="1"/>
        <v>34465000</v>
      </c>
    </row>
    <row r="19" spans="1:13" ht="9.75" customHeight="1" x14ac:dyDescent="0.35">
      <c r="A19" s="6" t="s">
        <v>55</v>
      </c>
      <c r="B19" s="20">
        <f>ROUND('[11]Changes FY17'!B19,-3)</f>
        <v>7742000</v>
      </c>
      <c r="C19" s="20">
        <f>ROUND('[11]Changes FY17'!C19,-3)</f>
        <v>0</v>
      </c>
      <c r="D19" s="20">
        <f>ROUND('[11]Changes FY17'!D19,-3)</f>
        <v>945000</v>
      </c>
      <c r="E19" s="30">
        <f>ROUND('[11]Changes FY17'!E19,-3)</f>
        <v>39791000</v>
      </c>
      <c r="F19" s="20">
        <f>ROUND('[11]Changes FY17'!F19,-3)</f>
        <v>0</v>
      </c>
      <c r="G19" s="20">
        <f>ROUND('[11]Changes FY17'!G19,-3)</f>
        <v>0</v>
      </c>
      <c r="H19" s="30">
        <f>ROUND('[11]Changes FY17'!H19,-3)</f>
        <v>-211000</v>
      </c>
      <c r="I19" s="28">
        <f t="shared" si="0"/>
        <v>48267000</v>
      </c>
      <c r="J19" s="28"/>
      <c r="K19" s="29">
        <f>ROUND('[11]Changes FY17'!K19,-3)</f>
        <v>1159000</v>
      </c>
      <c r="L19" s="29">
        <f>ROUND('[11]Changes FY17'!L19,-3)</f>
        <v>192000</v>
      </c>
      <c r="M19" s="28">
        <f t="shared" si="1"/>
        <v>49618000</v>
      </c>
    </row>
    <row r="20" spans="1:13" ht="9.75" customHeight="1" x14ac:dyDescent="0.35">
      <c r="A20" s="6" t="s">
        <v>54</v>
      </c>
      <c r="B20" s="20">
        <f>ROUND('[11]Changes FY17'!B20,-3)</f>
        <v>0</v>
      </c>
      <c r="C20" s="20">
        <f>ROUND('[11]Changes FY17'!C20,-3)</f>
        <v>0</v>
      </c>
      <c r="D20" s="20">
        <f>ROUND('[11]Changes FY17'!D20,-3)+1000</f>
        <v>9827000</v>
      </c>
      <c r="E20" s="20">
        <f>ROUND('[11]Changes FY17'!E20,-3)</f>
        <v>0</v>
      </c>
      <c r="F20" s="20">
        <f>ROUND('[11]Changes FY17'!F20,-3)</f>
        <v>0</v>
      </c>
      <c r="G20" s="30">
        <f>ROUND('[11]Changes FY17'!G20,-3)-1000</f>
        <v>152314000</v>
      </c>
      <c r="H20" s="20">
        <f>ROUND('[11]Changes FY17'!H20,-3)</f>
        <v>0</v>
      </c>
      <c r="I20" s="28">
        <f t="shared" si="0"/>
        <v>162141000</v>
      </c>
      <c r="J20" s="28"/>
      <c r="K20" s="31">
        <f>ROUND('[11]Changes FY17'!K20,-3)</f>
        <v>397155000</v>
      </c>
      <c r="L20" s="29">
        <f>ROUND('[11]Changes FY17'!L20,-3)</f>
        <v>21613000</v>
      </c>
      <c r="M20" s="28">
        <f t="shared" si="1"/>
        <v>580909000</v>
      </c>
    </row>
    <row r="21" spans="1:13" ht="9.75" customHeight="1" x14ac:dyDescent="0.35">
      <c r="A21" s="6" t="s">
        <v>53</v>
      </c>
      <c r="B21" s="20">
        <f>ROUND('[11]Changes FY17'!B21,-3)</f>
        <v>0</v>
      </c>
      <c r="C21" s="20">
        <f>ROUND('[11]Changes FY17'!C21,-3)</f>
        <v>0</v>
      </c>
      <c r="D21" s="20">
        <f>ROUND('[11]Changes FY17'!D21,-3)</f>
        <v>327406000</v>
      </c>
      <c r="E21" s="20">
        <f>ROUND('[11]Changes FY17'!E21,-3)</f>
        <v>0</v>
      </c>
      <c r="F21" s="20">
        <f>ROUND('[11]Changes FY17'!F21,-3)</f>
        <v>0</v>
      </c>
      <c r="G21" s="20">
        <f>ROUND('[11]Changes FY17'!G21,-3)</f>
        <v>0</v>
      </c>
      <c r="H21" s="20">
        <f>ROUND('[11]Changes FY17'!H21,-3)</f>
        <v>0</v>
      </c>
      <c r="I21" s="28">
        <f t="shared" si="0"/>
        <v>327406000</v>
      </c>
      <c r="J21" s="28"/>
      <c r="K21" s="29">
        <f>ROUND('[11]Changes FY17'!K21,-3)</f>
        <v>0</v>
      </c>
      <c r="L21" s="29">
        <f>ROUND('[11]Changes FY17'!L21,-3)</f>
        <v>0</v>
      </c>
      <c r="M21" s="28">
        <f t="shared" si="1"/>
        <v>327406000</v>
      </c>
    </row>
    <row r="22" spans="1:13" ht="9.75" customHeight="1" x14ac:dyDescent="0.35">
      <c r="A22" s="6" t="s">
        <v>52</v>
      </c>
      <c r="B22" s="20">
        <f>ROUND('[11]Changes FY17'!B22,-3)</f>
        <v>146402000</v>
      </c>
      <c r="C22" s="20">
        <f>ROUND('[11]Changes FY17'!C22,-3)</f>
        <v>0</v>
      </c>
      <c r="D22" s="20">
        <f>ROUND('[11]Changes FY17'!D22,-3)</f>
        <v>1377000</v>
      </c>
      <c r="E22" s="20">
        <f>ROUND('[11]Changes FY17'!E22,-3)</f>
        <v>0</v>
      </c>
      <c r="F22" s="20">
        <f>ROUND('[11]Changes FY17'!F22,-3)</f>
        <v>0</v>
      </c>
      <c r="G22" s="20">
        <f>ROUND('[11]Changes FY17'!G22,-3)</f>
        <v>0</v>
      </c>
      <c r="H22" s="20">
        <f>ROUND('[11]Changes FY17'!H22,-3)</f>
        <v>0</v>
      </c>
      <c r="I22" s="28">
        <f t="shared" si="0"/>
        <v>147779000</v>
      </c>
      <c r="J22" s="28"/>
      <c r="K22" s="29">
        <f>ROUND('[11]Changes FY17'!K22,-3)</f>
        <v>0</v>
      </c>
      <c r="L22" s="29">
        <f>ROUND('[11]Changes FY17'!L22,-3)</f>
        <v>0</v>
      </c>
      <c r="M22" s="28">
        <f t="shared" si="1"/>
        <v>147779000</v>
      </c>
    </row>
    <row r="23" spans="1:13" ht="9.75" customHeight="1" x14ac:dyDescent="0.35">
      <c r="A23" s="6" t="s">
        <v>51</v>
      </c>
      <c r="B23" s="20">
        <f>ROUND('[11]Changes FY17'!B23,-3)</f>
        <v>37368000</v>
      </c>
      <c r="C23" s="20">
        <f>ROUND('[11]Changes FY17'!C23,-3)</f>
        <v>0</v>
      </c>
      <c r="D23" s="20">
        <f>ROUND('[11]Changes FY17'!D23,-3)</f>
        <v>243716000</v>
      </c>
      <c r="E23" s="20">
        <f>ROUND('[11]Changes FY17'!E23,-3)</f>
        <v>19342000</v>
      </c>
      <c r="F23" s="30">
        <f>ROUND('[11]Changes FY17'!F23,-3)</f>
        <v>3205000</v>
      </c>
      <c r="G23" s="20">
        <f>ROUND('[11]Changes FY17'!G23,-3)</f>
        <v>0</v>
      </c>
      <c r="H23" s="20">
        <f>ROUND('[11]Changes FY17'!H23,-3)</f>
        <v>0</v>
      </c>
      <c r="I23" s="28">
        <f t="shared" si="0"/>
        <v>303631000</v>
      </c>
      <c r="J23" s="28"/>
      <c r="K23" s="29">
        <f>ROUND('[11]Changes FY17'!K23,-3)</f>
        <v>138747000</v>
      </c>
      <c r="L23" s="29">
        <f>ROUND('[11]Changes FY17'!L23,-3)</f>
        <v>167631000</v>
      </c>
      <c r="M23" s="28">
        <f t="shared" si="1"/>
        <v>610009000</v>
      </c>
    </row>
    <row r="24" spans="1:13" ht="9.75" customHeight="1" x14ac:dyDescent="0.35">
      <c r="A24" s="6" t="s">
        <v>50</v>
      </c>
      <c r="B24" s="20">
        <f>ROUND('[11]Changes FY17'!B24,-3)</f>
        <v>60299000</v>
      </c>
      <c r="C24" s="20">
        <f>ROUND('[11]Changes FY17'!C24,-3)</f>
        <v>0</v>
      </c>
      <c r="D24" s="20">
        <f>ROUND('[11]Changes FY17'!D24,-3)</f>
        <v>97841000</v>
      </c>
      <c r="E24" s="20">
        <f>ROUND('[11]Changes FY17'!E24,-3)</f>
        <v>0</v>
      </c>
      <c r="F24" s="20">
        <f>ROUND('[11]Changes FY17'!F24,-3)</f>
        <v>0</v>
      </c>
      <c r="G24" s="20">
        <f>ROUND('[11]Changes FY17'!G24,-3)</f>
        <v>0</v>
      </c>
      <c r="H24" s="20">
        <f>ROUND('[11]Changes FY17'!H24,-3)</f>
        <v>0</v>
      </c>
      <c r="I24" s="28">
        <f t="shared" si="0"/>
        <v>158140000</v>
      </c>
      <c r="J24" s="28"/>
      <c r="K24" s="29">
        <f>ROUND('[11]Changes FY17'!K24,-3)</f>
        <v>0</v>
      </c>
      <c r="L24" s="29">
        <f>ROUND('[11]Changes FY17'!L24,-3)</f>
        <v>0</v>
      </c>
      <c r="M24" s="28">
        <f t="shared" si="1"/>
        <v>158140000</v>
      </c>
    </row>
    <row r="25" spans="1:13" ht="9.75" customHeight="1" x14ac:dyDescent="0.35">
      <c r="A25" s="6" t="s">
        <v>49</v>
      </c>
      <c r="B25" s="20">
        <f>ROUND('[11]Changes FY17'!B25,-3)-1000</f>
        <v>346401000</v>
      </c>
      <c r="C25" s="20">
        <f>ROUND('[11]Changes FY17'!C25,-3)</f>
        <v>0</v>
      </c>
      <c r="D25" s="20">
        <f>ROUND('[11]Changes FY17'!D25,-3)</f>
        <v>0</v>
      </c>
      <c r="E25" s="20">
        <f>ROUND('[11]Changes FY17'!E25,-3)</f>
        <v>0</v>
      </c>
      <c r="F25" s="20">
        <f>ROUND('[11]Changes FY17'!F25,-3)</f>
        <v>0</v>
      </c>
      <c r="G25" s="20">
        <f>ROUND('[11]Changes FY17'!G25,-3)</f>
        <v>0</v>
      </c>
      <c r="H25" s="20">
        <f>ROUND('[11]Changes FY17'!H25,-3)</f>
        <v>0</v>
      </c>
      <c r="I25" s="28">
        <f t="shared" si="0"/>
        <v>346401000</v>
      </c>
      <c r="J25" s="28"/>
      <c r="K25" s="29">
        <f>ROUND('[11]Changes FY17'!K25,-3)</f>
        <v>0</v>
      </c>
      <c r="L25" s="29">
        <f>ROUND('[11]Changes FY17'!L25,-3)</f>
        <v>0</v>
      </c>
      <c r="M25" s="28">
        <f t="shared" si="1"/>
        <v>346401000</v>
      </c>
    </row>
    <row r="26" spans="1:13" ht="9.75" customHeight="1" x14ac:dyDescent="0.35">
      <c r="A26" s="6" t="s">
        <v>92</v>
      </c>
      <c r="B26" s="20">
        <f>ROUND('[11]Changes FY17'!B26,-3)</f>
        <v>0</v>
      </c>
      <c r="C26" s="20">
        <f>ROUND('[11]Changes FY17'!C26,-3)</f>
        <v>1407150000</v>
      </c>
      <c r="D26" s="20">
        <f>ROUND('[11]Changes FY17'!D26,-3)</f>
        <v>0</v>
      </c>
      <c r="E26" s="20">
        <f>ROUND('[11]Changes FY17'!E26,-3)</f>
        <v>0</v>
      </c>
      <c r="F26" s="20">
        <f>ROUND('[11]Changes FY17'!F26,-3)</f>
        <v>0</v>
      </c>
      <c r="G26" s="20">
        <f>ROUND('[11]Changes FY17'!G26,-3)</f>
        <v>0</v>
      </c>
      <c r="H26" s="20">
        <f>ROUND('[11]Changes FY17'!H26,-3)</f>
        <v>0</v>
      </c>
      <c r="I26" s="28">
        <f t="shared" si="0"/>
        <v>1407150000</v>
      </c>
      <c r="J26" s="28"/>
      <c r="K26" s="29">
        <f>ROUND('[11]Changes FY17'!K26,-3)</f>
        <v>0</v>
      </c>
      <c r="L26" s="29">
        <f>ROUND('[11]Changes FY17'!L26,-3)</f>
        <v>0</v>
      </c>
      <c r="M26" s="28">
        <f t="shared" si="1"/>
        <v>1407150000</v>
      </c>
    </row>
    <row r="27" spans="1:13" ht="9.75" customHeight="1" x14ac:dyDescent="0.35">
      <c r="A27" s="6" t="s">
        <v>48</v>
      </c>
      <c r="B27" s="20">
        <f>ROUND('[11]Changes FY17'!B27,-3)</f>
        <v>0</v>
      </c>
      <c r="C27" s="30">
        <f>ROUND('[11]Changes FY17'!C27,-3)</f>
        <v>141602000</v>
      </c>
      <c r="D27" s="20">
        <f>ROUND('[11]Changes FY17'!D27,-3)</f>
        <v>0</v>
      </c>
      <c r="E27" s="20">
        <f>ROUND('[11]Changes FY17'!E27,-3)</f>
        <v>0</v>
      </c>
      <c r="F27" s="20">
        <f>ROUND('[11]Changes FY17'!F27,-3)</f>
        <v>0</v>
      </c>
      <c r="G27" s="20">
        <f>ROUND('[11]Changes FY17'!G27,-3)</f>
        <v>0</v>
      </c>
      <c r="H27" s="20">
        <f>ROUND('[11]Changes FY17'!H27,-3)</f>
        <v>0</v>
      </c>
      <c r="I27" s="28">
        <f t="shared" si="0"/>
        <v>141602000</v>
      </c>
      <c r="J27" s="28"/>
      <c r="K27" s="29">
        <f>ROUND('[11]Changes FY17'!K27,-3)</f>
        <v>0</v>
      </c>
      <c r="L27" s="29">
        <f>ROUND('[11]Changes FY17'!L27,-3)</f>
        <v>0</v>
      </c>
      <c r="M27" s="28">
        <f t="shared" si="1"/>
        <v>141602000</v>
      </c>
    </row>
    <row r="28" spans="1:13" ht="9.75" customHeight="1" x14ac:dyDescent="0.35">
      <c r="A28" s="6" t="s">
        <v>47</v>
      </c>
      <c r="B28" s="20">
        <f>ROUND('[11]Changes FY17'!B28,-3)</f>
        <v>0</v>
      </c>
      <c r="C28" s="20">
        <f>ROUND('[11]Changes FY17'!C28,-3)</f>
        <v>3478000</v>
      </c>
      <c r="D28" s="20">
        <f>ROUND('[11]Changes FY17'!D28,-3)</f>
        <v>0</v>
      </c>
      <c r="E28" s="20">
        <f>ROUND('[11]Changes FY17'!E28,-3)</f>
        <v>0</v>
      </c>
      <c r="F28" s="20">
        <f>ROUND('[11]Changes FY17'!F28,-3)</f>
        <v>0</v>
      </c>
      <c r="G28" s="20">
        <f>ROUND('[11]Changes FY17'!G28,-3)</f>
        <v>0</v>
      </c>
      <c r="H28" s="20">
        <f>ROUND('[11]Changes FY17'!H28,-3)</f>
        <v>0</v>
      </c>
      <c r="I28" s="28">
        <f t="shared" si="0"/>
        <v>3478000</v>
      </c>
      <c r="J28" s="28"/>
      <c r="K28" s="29">
        <f>ROUND('[11]Changes FY17'!K28,-3)</f>
        <v>0</v>
      </c>
      <c r="L28" s="29">
        <f>ROUND('[11]Changes FY17'!L28,-3)</f>
        <v>0</v>
      </c>
      <c r="M28" s="28">
        <f t="shared" si="1"/>
        <v>3478000</v>
      </c>
    </row>
    <row r="29" spans="1:13" s="2" customFormat="1" ht="10.5" customHeight="1" x14ac:dyDescent="0.35">
      <c r="A29" s="2" t="s">
        <v>46</v>
      </c>
      <c r="B29" s="20">
        <f>ROUND('[11]Changes FY17'!B29,-3)</f>
        <v>0</v>
      </c>
      <c r="C29" s="20">
        <f>ROUND('[11]Changes FY17'!C29,-3)</f>
        <v>0</v>
      </c>
      <c r="D29" s="20">
        <f>ROUND('[11]Changes FY17'!D29,-3)</f>
        <v>0</v>
      </c>
      <c r="E29" s="20">
        <f>ROUND('[11]Changes FY17'!E29,-3)</f>
        <v>0</v>
      </c>
      <c r="F29" s="20">
        <f>ROUND('[11]Changes FY17'!F29,-3)</f>
        <v>-6560000</v>
      </c>
      <c r="G29" s="20">
        <f>ROUND('[11]Changes FY17'!G29,-3)</f>
        <v>0</v>
      </c>
      <c r="H29" s="20">
        <f>ROUND('[11]Changes FY17'!H29,-3)</f>
        <v>0</v>
      </c>
      <c r="I29" s="28">
        <f t="shared" si="0"/>
        <v>-6560000</v>
      </c>
      <c r="J29" s="28"/>
      <c r="K29" s="29">
        <f>ROUND('[11]Changes FY17'!K29,-3)</f>
        <v>0</v>
      </c>
      <c r="L29" s="29">
        <f>ROUND('[11]Changes FY17'!L29,-3)</f>
        <v>0</v>
      </c>
      <c r="M29" s="28">
        <f t="shared" si="1"/>
        <v>-6560000</v>
      </c>
    </row>
    <row r="30" spans="1:13" ht="9.75" customHeight="1" x14ac:dyDescent="0.35">
      <c r="A30" s="6" t="s">
        <v>45</v>
      </c>
      <c r="B30" s="20">
        <f>ROUND('[11]Changes FY17'!B30,-3)</f>
        <v>117262000</v>
      </c>
      <c r="C30" s="20">
        <f>ROUND('[11]Changes FY17'!C30,-3)</f>
        <v>0</v>
      </c>
      <c r="D30" s="20">
        <f>ROUND('[11]Changes FY17'!D30,-3)</f>
        <v>0</v>
      </c>
      <c r="E30" s="20">
        <f>ROUND('[11]Changes FY17'!E30,-3)</f>
        <v>2950000</v>
      </c>
      <c r="F30" s="20">
        <f>ROUND('[11]Changes FY17'!F30,-3)</f>
        <v>-37281000</v>
      </c>
      <c r="G30" s="20">
        <f>ROUND('[11]Changes FY17'!G30,-3)</f>
        <v>0</v>
      </c>
      <c r="H30" s="20">
        <f>ROUND('[11]Changes FY17'!H30,-3)</f>
        <v>0</v>
      </c>
      <c r="I30" s="28">
        <f t="shared" si="0"/>
        <v>82931000</v>
      </c>
      <c r="J30" s="28"/>
      <c r="K30" s="29">
        <f>ROUND('[11]Changes FY17'!K30,-3)</f>
        <v>0</v>
      </c>
      <c r="L30" s="29">
        <f>ROUND('[11]Changes FY17'!L30,-3)</f>
        <v>0</v>
      </c>
      <c r="M30" s="28">
        <f t="shared" si="1"/>
        <v>82931000</v>
      </c>
    </row>
    <row r="31" spans="1:13" ht="9.75" customHeight="1" x14ac:dyDescent="0.35">
      <c r="A31" s="6" t="s">
        <v>44</v>
      </c>
      <c r="B31" s="20">
        <f>ROUND('[11]Changes FY17'!B31,-3)</f>
        <v>0</v>
      </c>
      <c r="C31" s="20">
        <f>ROUND('[11]Changes FY17'!C31,-3)</f>
        <v>0</v>
      </c>
      <c r="D31" s="20">
        <f>ROUND('[11]Changes FY17'!D31,-3)</f>
        <v>0</v>
      </c>
      <c r="E31" s="20">
        <f>ROUND('[11]Changes FY17'!E31,-3)</f>
        <v>0</v>
      </c>
      <c r="F31" s="20">
        <f>ROUND('[11]Changes FY17'!F31,-3)</f>
        <v>0</v>
      </c>
      <c r="G31" s="20">
        <f>ROUND('[11]Changes FY17'!G31,-3)</f>
        <v>0</v>
      </c>
      <c r="H31" s="20">
        <f>ROUND('[11]Changes FY17'!H31,-3)</f>
        <v>0</v>
      </c>
      <c r="I31" s="28"/>
      <c r="J31" s="28"/>
      <c r="K31" s="29">
        <f>ROUND('[11]Changes FY17'!K31,-3)</f>
        <v>-693000</v>
      </c>
      <c r="L31" s="29">
        <f>ROUND('[11]Changes FY17'!L31,-3)</f>
        <v>-3204000</v>
      </c>
      <c r="M31" s="28">
        <f t="shared" si="1"/>
        <v>-3897000</v>
      </c>
    </row>
    <row r="32" spans="1:13" ht="9.75" customHeight="1" x14ac:dyDescent="0.35">
      <c r="A32" s="6" t="s">
        <v>43</v>
      </c>
      <c r="B32" s="20">
        <f>ROUND('[11]Changes FY17'!B32,-3)</f>
        <v>856000</v>
      </c>
      <c r="C32" s="20">
        <f>ROUND('[11]Changes FY17'!C32,-3)</f>
        <v>0</v>
      </c>
      <c r="D32" s="20">
        <f>ROUND('[11]Changes FY17'!D32,-3)</f>
        <v>110762000</v>
      </c>
      <c r="E32" s="20">
        <f>ROUND('[11]Changes FY17'!E32,-3)</f>
        <v>32108000</v>
      </c>
      <c r="F32" s="20">
        <f>ROUND('[11]Changes FY17'!F32,-3)</f>
        <v>0</v>
      </c>
      <c r="G32" s="20">
        <f>ROUND('[11]Changes FY17'!G32,-3)</f>
        <v>133844000</v>
      </c>
      <c r="H32" s="20">
        <f>ROUND('[11]Changes FY17'!H32,-3)</f>
        <v>0</v>
      </c>
      <c r="I32" s="28">
        <f>SUM(B32:H32)</f>
        <v>277570000</v>
      </c>
      <c r="J32" s="28"/>
      <c r="K32" s="29">
        <f>ROUND('[11]Changes FY17'!K32,-3)</f>
        <v>-282290000</v>
      </c>
      <c r="L32" s="29">
        <f>ROUND('[11]Changes FY17'!L32,-3)</f>
        <v>4720000</v>
      </c>
      <c r="M32" s="28">
        <f t="shared" si="1"/>
        <v>0</v>
      </c>
    </row>
    <row r="33" spans="1:13" ht="12.95" customHeight="1" x14ac:dyDescent="0.35">
      <c r="A33" s="37" t="s">
        <v>42</v>
      </c>
      <c r="B33" s="57">
        <f t="shared" ref="B33:M33" si="2">SUM(B17:B32)</f>
        <v>2129270000</v>
      </c>
      <c r="C33" s="57">
        <f t="shared" si="2"/>
        <v>1552230000</v>
      </c>
      <c r="D33" s="57">
        <f t="shared" si="2"/>
        <v>801614000</v>
      </c>
      <c r="E33" s="57">
        <f t="shared" si="2"/>
        <v>94191000</v>
      </c>
      <c r="F33" s="57">
        <f t="shared" si="2"/>
        <v>-40636000</v>
      </c>
      <c r="G33" s="57">
        <f t="shared" si="2"/>
        <v>286158000</v>
      </c>
      <c r="H33" s="57">
        <f t="shared" si="2"/>
        <v>-211000</v>
      </c>
      <c r="I33" s="56">
        <f t="shared" si="2"/>
        <v>4822616000</v>
      </c>
      <c r="J33" s="56">
        <f t="shared" si="2"/>
        <v>0</v>
      </c>
      <c r="K33" s="56">
        <f t="shared" si="2"/>
        <v>254078000</v>
      </c>
      <c r="L33" s="56">
        <f t="shared" si="2"/>
        <v>191771000</v>
      </c>
      <c r="M33" s="56">
        <f t="shared" si="2"/>
        <v>5268465000</v>
      </c>
    </row>
    <row r="34" spans="1:13" ht="12.95" customHeight="1" x14ac:dyDescent="0.35">
      <c r="A34" s="54"/>
      <c r="B34" s="53"/>
      <c r="C34" s="53"/>
      <c r="D34" s="53"/>
      <c r="E34" s="53"/>
      <c r="F34" s="53"/>
      <c r="G34" s="53"/>
      <c r="H34" s="53"/>
      <c r="I34" s="43"/>
      <c r="J34" s="28"/>
      <c r="K34" s="43"/>
      <c r="L34" s="43"/>
      <c r="M34" s="43"/>
    </row>
    <row r="35" spans="1:13" ht="9.75" customHeight="1" x14ac:dyDescent="0.35">
      <c r="A35" s="33" t="s">
        <v>41</v>
      </c>
      <c r="B35" s="20"/>
      <c r="C35" s="20"/>
      <c r="D35" s="20"/>
      <c r="E35" s="20"/>
      <c r="F35" s="20"/>
      <c r="G35" s="20"/>
      <c r="H35" s="20"/>
      <c r="I35" s="28"/>
      <c r="J35" s="28"/>
      <c r="K35" s="28"/>
      <c r="L35" s="28"/>
      <c r="M35" s="28"/>
    </row>
    <row r="36" spans="1:13" s="2" customFormat="1" ht="9.75" customHeight="1" x14ac:dyDescent="0.35">
      <c r="A36" s="6" t="s">
        <v>40</v>
      </c>
      <c r="B36" s="20">
        <f>ROUND('[11]Changes FY17'!B36,-3)</f>
        <v>1885283000</v>
      </c>
      <c r="C36" s="20">
        <f>ROUND('[11]Changes FY17'!C36,-3)</f>
        <v>0</v>
      </c>
      <c r="D36" s="20">
        <f>ROUND('[11]Changes FY17'!D36,-3)</f>
        <v>748415000</v>
      </c>
      <c r="E36" s="20">
        <f>ROUND('[11]Changes FY17'!E36,-3)</f>
        <v>0</v>
      </c>
      <c r="F36" s="20">
        <f>ROUND('[11]Changes FY17'!F36,-3)</f>
        <v>0</v>
      </c>
      <c r="G36" s="20">
        <f>ROUND('[11]Changes FY17'!G36,-3)</f>
        <v>0</v>
      </c>
      <c r="H36" s="20">
        <f>ROUND('[11]Changes FY17'!H36,-3)</f>
        <v>0</v>
      </c>
      <c r="I36" s="28">
        <f>SUM(B36:H36)</f>
        <v>2633698000</v>
      </c>
      <c r="J36" s="28"/>
      <c r="K36" s="29">
        <f>ROUND('[11]Changes FY17'!K36,-3)</f>
        <v>0</v>
      </c>
      <c r="L36" s="29">
        <f>ROUND('[11]Changes FY17'!L36,-3)</f>
        <v>0</v>
      </c>
      <c r="M36" s="28">
        <f>SUM(I36:L36)</f>
        <v>2633698000</v>
      </c>
    </row>
    <row r="37" spans="1:13" s="2" customFormat="1" ht="9.75" customHeight="1" x14ac:dyDescent="0.35">
      <c r="A37" s="2" t="s">
        <v>39</v>
      </c>
      <c r="B37" s="20">
        <f>ROUND('[11]Changes FY17'!B37,-3)</f>
        <v>0</v>
      </c>
      <c r="C37" s="20">
        <f>ROUND('[11]Changes FY17'!C37,-3)</f>
        <v>1423551000</v>
      </c>
      <c r="D37" s="20">
        <f>ROUND('[11]Changes FY17'!D37,-3)</f>
        <v>0</v>
      </c>
      <c r="E37" s="20">
        <f>ROUND('[11]Changes FY17'!E37,-3)</f>
        <v>0</v>
      </c>
      <c r="F37" s="20">
        <f>ROUND('[11]Changes FY17'!F37,-3)</f>
        <v>0</v>
      </c>
      <c r="G37" s="20">
        <f>ROUND('[11]Changes FY17'!G37,-3)</f>
        <v>0</v>
      </c>
      <c r="H37" s="20">
        <f>ROUND('[11]Changes FY17'!H37,-3)</f>
        <v>0</v>
      </c>
      <c r="I37" s="28">
        <f>SUM(B37:H37)</f>
        <v>1423551000</v>
      </c>
      <c r="J37" s="28"/>
      <c r="K37" s="29">
        <f>ROUND('[11]Changes FY17'!K37,-3)</f>
        <v>0</v>
      </c>
      <c r="L37" s="29">
        <f>ROUND('[11]Changes FY17'!L37,-3)</f>
        <v>0</v>
      </c>
      <c r="M37" s="28">
        <f>SUM(I37:L37)</f>
        <v>1423551000</v>
      </c>
    </row>
    <row r="38" spans="1:13" ht="9.75" customHeight="1" x14ac:dyDescent="0.35">
      <c r="A38" s="6" t="s">
        <v>38</v>
      </c>
      <c r="B38" s="20">
        <f>ROUND('[11]Changes FY17'!B38,-3)</f>
        <v>0</v>
      </c>
      <c r="C38" s="20">
        <f>ROUND('[11]Changes FY17'!C38,-3)</f>
        <v>44521000</v>
      </c>
      <c r="D38" s="20">
        <f>ROUND('[11]Changes FY17'!D38,-3)</f>
        <v>0</v>
      </c>
      <c r="E38" s="20">
        <f>ROUND('[11]Changes FY17'!E38,-3)</f>
        <v>1376000</v>
      </c>
      <c r="F38" s="20">
        <f>ROUND('[11]Changes FY17'!F38,-3)</f>
        <v>199514000</v>
      </c>
      <c r="G38" s="20">
        <f>ROUND('[11]Changes FY17'!G38,-3)</f>
        <v>0</v>
      </c>
      <c r="H38" s="20">
        <f>ROUND('[11]Changes FY17'!H38,-3)</f>
        <v>0</v>
      </c>
      <c r="I38" s="28">
        <f>SUM(B38:H38)</f>
        <v>245411000</v>
      </c>
      <c r="J38" s="28"/>
      <c r="K38" s="29">
        <f>ROUND('[11]Changes FY17'!K38,-3)</f>
        <v>0</v>
      </c>
      <c r="L38" s="29">
        <f>ROUND('[11]Changes FY17'!L38,-3)</f>
        <v>0</v>
      </c>
      <c r="M38" s="28">
        <f>SUM(I38:L38)</f>
        <v>245411000</v>
      </c>
    </row>
    <row r="39" spans="1:13" ht="9.75" customHeight="1" x14ac:dyDescent="0.35">
      <c r="A39" s="6" t="s">
        <v>37</v>
      </c>
      <c r="B39" s="20">
        <f>ROUND('[11]Changes FY17'!B39,-3)</f>
        <v>0</v>
      </c>
      <c r="C39" s="20">
        <f>ROUND('[11]Changes FY17'!C39,-3)</f>
        <v>1139000</v>
      </c>
      <c r="D39" s="20">
        <f>ROUND('[11]Changes FY17'!D39,-3)</f>
        <v>0</v>
      </c>
      <c r="E39" s="20">
        <f>ROUND('[11]Changes FY17'!E39,-3)</f>
        <v>66870000</v>
      </c>
      <c r="F39" s="20">
        <f>ROUND('[11]Changes FY17'!F39,-3)</f>
        <v>0</v>
      </c>
      <c r="G39" s="20">
        <f>ROUND('[11]Changes FY17'!G39,-3)</f>
        <v>0</v>
      </c>
      <c r="H39" s="20">
        <f>ROUND('[11]Changes FY17'!H39,-3)</f>
        <v>0</v>
      </c>
      <c r="I39" s="28">
        <f>SUM(B39:H39)</f>
        <v>68009000</v>
      </c>
      <c r="J39" s="28"/>
      <c r="K39" s="29">
        <f>ROUND('[11]Changes FY17'!K39,-3)</f>
        <v>0</v>
      </c>
      <c r="L39" s="29">
        <f>ROUND('[11]Changes FY17'!L39,-3)</f>
        <v>0</v>
      </c>
      <c r="M39" s="28">
        <f>SUM(I39:L39)</f>
        <v>68009000</v>
      </c>
    </row>
    <row r="40" spans="1:13" s="9" customFormat="1" ht="12" customHeight="1" x14ac:dyDescent="0.35">
      <c r="A40" s="37" t="s">
        <v>35</v>
      </c>
      <c r="B40" s="57">
        <f t="shared" ref="B40:M40" si="3">SUM(B36:B39)</f>
        <v>1885283000</v>
      </c>
      <c r="C40" s="57">
        <f t="shared" si="3"/>
        <v>1469211000</v>
      </c>
      <c r="D40" s="57">
        <f t="shared" si="3"/>
        <v>748415000</v>
      </c>
      <c r="E40" s="57">
        <f t="shared" si="3"/>
        <v>68246000</v>
      </c>
      <c r="F40" s="57">
        <f t="shared" si="3"/>
        <v>199514000</v>
      </c>
      <c r="G40" s="57">
        <f t="shared" si="3"/>
        <v>0</v>
      </c>
      <c r="H40" s="57">
        <f t="shared" si="3"/>
        <v>0</v>
      </c>
      <c r="I40" s="56">
        <f t="shared" si="3"/>
        <v>4370669000</v>
      </c>
      <c r="J40" s="28">
        <f t="shared" si="3"/>
        <v>0</v>
      </c>
      <c r="K40" s="56">
        <f t="shared" si="3"/>
        <v>0</v>
      </c>
      <c r="L40" s="56">
        <f t="shared" si="3"/>
        <v>0</v>
      </c>
      <c r="M40" s="56">
        <f t="shared" si="3"/>
        <v>4370669000</v>
      </c>
    </row>
    <row r="41" spans="1:13" s="15" customFormat="1" ht="12" customHeight="1" x14ac:dyDescent="0.35">
      <c r="A41" s="55"/>
      <c r="B41" s="53"/>
      <c r="C41" s="53"/>
      <c r="D41" s="53"/>
      <c r="E41" s="53"/>
      <c r="F41" s="53"/>
      <c r="G41" s="53"/>
      <c r="H41" s="53"/>
      <c r="I41" s="43"/>
      <c r="J41" s="28"/>
      <c r="K41" s="43"/>
      <c r="L41" s="43"/>
      <c r="M41" s="43"/>
    </row>
    <row r="42" spans="1:13" s="15" customFormat="1" ht="9.75" customHeight="1" x14ac:dyDescent="0.35">
      <c r="A42" s="54" t="s">
        <v>34</v>
      </c>
      <c r="B42" s="53"/>
      <c r="C42" s="53"/>
      <c r="D42" s="53"/>
      <c r="E42" s="53"/>
      <c r="F42" s="53"/>
      <c r="G42" s="53"/>
      <c r="H42" s="53"/>
      <c r="I42" s="43"/>
      <c r="J42" s="28"/>
      <c r="K42" s="28"/>
      <c r="L42" s="28"/>
      <c r="M42" s="28"/>
    </row>
    <row r="43" spans="1:13" ht="12" customHeight="1" x14ac:dyDescent="0.35">
      <c r="A43" s="6" t="s">
        <v>33</v>
      </c>
      <c r="B43" s="20">
        <f>ROUND('[11]Changes FY17'!B43,-3)</f>
        <v>-72017000</v>
      </c>
      <c r="C43" s="20">
        <f>ROUND('[11]Changes FY17'!C43,-3)-1000</f>
        <v>-1069000</v>
      </c>
      <c r="D43" s="20">
        <f>ROUND('[11]Changes FY17'!D43,-3)</f>
        <v>0</v>
      </c>
      <c r="E43" s="20">
        <f>ROUND('[11]Changes FY17'!E43,-3)</f>
        <v>73086000</v>
      </c>
      <c r="F43" s="20">
        <f>ROUND('[11]Changes FY17'!F43,-3)</f>
        <v>0</v>
      </c>
      <c r="G43" s="20">
        <f>ROUND('[11]Changes FY17'!G43,-3)</f>
        <v>0</v>
      </c>
      <c r="H43" s="20">
        <f>ROUND('[11]Changes FY17'!H43,-3)</f>
        <v>0</v>
      </c>
      <c r="I43" s="28">
        <f t="shared" ref="I43:I51" si="4">SUM(B43:H43)</f>
        <v>0</v>
      </c>
      <c r="J43" s="28"/>
      <c r="K43" s="29">
        <f>ROUND('[11]Changes FY17'!K43,-3)</f>
        <v>0</v>
      </c>
      <c r="L43" s="29">
        <f>ROUND('[11]Changes FY17'!L43,-3)</f>
        <v>0</v>
      </c>
      <c r="M43" s="28">
        <f t="shared" ref="M43:M51" si="5">SUM(I43:L43)</f>
        <v>0</v>
      </c>
    </row>
    <row r="44" spans="1:13" ht="9.75" customHeight="1" x14ac:dyDescent="0.35">
      <c r="A44" s="6" t="s">
        <v>32</v>
      </c>
      <c r="B44" s="20">
        <f>ROUND('[11]Changes FY17'!B44,-3)</f>
        <v>0</v>
      </c>
      <c r="C44" s="20">
        <f>ROUND('[11]Changes FY17'!C44,-3)</f>
        <v>0</v>
      </c>
      <c r="D44" s="20">
        <f>ROUND('[11]Changes FY17'!D44,-3)</f>
        <v>0</v>
      </c>
      <c r="E44" s="20">
        <f>ROUND('[11]Changes FY17'!E44,-3)</f>
        <v>12709000</v>
      </c>
      <c r="F44" s="20">
        <f>ROUND('[11]Changes FY17'!F44,-3)</f>
        <v>-12709000</v>
      </c>
      <c r="G44" s="20">
        <f>ROUND('[11]Changes FY17'!G44,-3)</f>
        <v>0</v>
      </c>
      <c r="H44" s="20">
        <f>ROUND('[11]Changes FY17'!H44,-3)</f>
        <v>0</v>
      </c>
      <c r="I44" s="28">
        <f t="shared" si="4"/>
        <v>0</v>
      </c>
      <c r="J44" s="28"/>
      <c r="K44" s="29">
        <f>ROUND('[11]Changes FY17'!K44,-3)</f>
        <v>0</v>
      </c>
      <c r="L44" s="29">
        <f>ROUND('[11]Changes FY17'!L44,-3)</f>
        <v>0</v>
      </c>
      <c r="M44" s="28">
        <f t="shared" si="5"/>
        <v>0</v>
      </c>
    </row>
    <row r="45" spans="1:13" ht="9.75" customHeight="1" x14ac:dyDescent="0.35">
      <c r="A45" s="6" t="s">
        <v>31</v>
      </c>
      <c r="B45" s="20">
        <f>ROUND('[11]Changes FY17'!B45,-3)</f>
        <v>-1883000</v>
      </c>
      <c r="C45" s="20">
        <f>ROUND('[11]Changes FY17'!C45,-3)</f>
        <v>0</v>
      </c>
      <c r="D45" s="20">
        <f>ROUND('[11]Changes FY17'!D45,-3)</f>
        <v>0</v>
      </c>
      <c r="E45" s="20">
        <f>ROUND('[11]Changes FY17'!E45,-3)</f>
        <v>0</v>
      </c>
      <c r="F45" s="20">
        <f>ROUND('[11]Changes FY17'!F45,-3)</f>
        <v>0</v>
      </c>
      <c r="G45" s="20">
        <f>ROUND('[11]Changes FY17'!G45,-3)</f>
        <v>1883000</v>
      </c>
      <c r="H45" s="20">
        <f>ROUND('[11]Changes FY17'!H45,-3)</f>
        <v>0</v>
      </c>
      <c r="I45" s="28">
        <f t="shared" si="4"/>
        <v>0</v>
      </c>
      <c r="J45" s="28"/>
      <c r="K45" s="29">
        <f>ROUND('[11]Changes FY17'!K45,-3)</f>
        <v>0</v>
      </c>
      <c r="L45" s="29">
        <f>ROUND('[11]Changes FY17'!L45,-3)</f>
        <v>0</v>
      </c>
      <c r="M45" s="28">
        <f t="shared" si="5"/>
        <v>0</v>
      </c>
    </row>
    <row r="46" spans="1:13" ht="9.75" customHeight="1" x14ac:dyDescent="0.35">
      <c r="A46" s="6" t="s">
        <v>30</v>
      </c>
      <c r="B46" s="20">
        <f>ROUND('[11]Changes FY17'!B46,-3)</f>
        <v>-29950000</v>
      </c>
      <c r="C46" s="20">
        <f>ROUND('[11]Changes FY17'!C46,-3)</f>
        <v>-1528000</v>
      </c>
      <c r="D46" s="20">
        <f>ROUND('[11]Changes FY17'!D46,-3)</f>
        <v>-1205000</v>
      </c>
      <c r="E46" s="20">
        <f>ROUND('[11]Changes FY17'!E46,-3)</f>
        <v>32683000</v>
      </c>
      <c r="F46" s="20">
        <f>ROUND('[11]Changes FY17'!F46,-3)</f>
        <v>0</v>
      </c>
      <c r="G46" s="20">
        <f>ROUND('[11]Changes FY17'!G46,-3)</f>
        <v>0</v>
      </c>
      <c r="H46" s="20">
        <f>ROUND('[11]Changes FY17'!H46,-3)</f>
        <v>0</v>
      </c>
      <c r="I46" s="28">
        <f t="shared" si="4"/>
        <v>0</v>
      </c>
      <c r="J46" s="28"/>
      <c r="K46" s="29">
        <f>ROUND('[11]Changes FY17'!K46,-3)</f>
        <v>0</v>
      </c>
      <c r="L46" s="29">
        <f>ROUND('[11]Changes FY17'!L46,-3)</f>
        <v>0</v>
      </c>
      <c r="M46" s="28">
        <f t="shared" si="5"/>
        <v>0</v>
      </c>
    </row>
    <row r="47" spans="1:13" ht="9.75" customHeight="1" x14ac:dyDescent="0.35">
      <c r="A47" s="6" t="s">
        <v>29</v>
      </c>
      <c r="B47" s="20">
        <f>ROUND('[11]Changes FY17'!B47,-3)</f>
        <v>84864000</v>
      </c>
      <c r="C47" s="20">
        <f>ROUND('[11]Changes FY17'!C47,-3)</f>
        <v>0</v>
      </c>
      <c r="D47" s="20">
        <f>ROUND('[11]Changes FY17'!D47,-3)</f>
        <v>109411000</v>
      </c>
      <c r="E47" s="20">
        <f>ROUND('[11]Changes FY17'!E47,-3)</f>
        <v>0</v>
      </c>
      <c r="F47" s="20">
        <f>ROUND('[11]Changes FY17'!F47,-3)</f>
        <v>0</v>
      </c>
      <c r="G47" s="20">
        <f>ROUND('[11]Changes FY17'!G47,-3)</f>
        <v>-194275000</v>
      </c>
      <c r="H47" s="20">
        <f>ROUND('[11]Changes FY17'!H47,-3)</f>
        <v>0</v>
      </c>
      <c r="I47" s="28">
        <f t="shared" si="4"/>
        <v>0</v>
      </c>
      <c r="J47" s="28"/>
      <c r="K47" s="29">
        <f>ROUND('[11]Changes FY17'!K47,-3)</f>
        <v>0</v>
      </c>
      <c r="L47" s="29">
        <f>ROUND('[11]Changes FY17'!L47,-3)</f>
        <v>0</v>
      </c>
      <c r="M47" s="28">
        <f t="shared" si="5"/>
        <v>0</v>
      </c>
    </row>
    <row r="48" spans="1:13" ht="9.75" customHeight="1" x14ac:dyDescent="0.35">
      <c r="A48" s="6" t="s">
        <v>28</v>
      </c>
      <c r="B48" s="20">
        <f>ROUND('[11]Changes FY17'!B48,-3)</f>
        <v>65199000</v>
      </c>
      <c r="C48" s="20">
        <f>ROUND('[11]Changes FY17'!C48,-3)</f>
        <v>0</v>
      </c>
      <c r="D48" s="20">
        <f>ROUND('[11]Changes FY17'!D48,-3)</f>
        <v>-65199000</v>
      </c>
      <c r="E48" s="20">
        <f>ROUND('[11]Changes FY17'!E48,-3)</f>
        <v>0</v>
      </c>
      <c r="F48" s="20">
        <f>ROUND('[11]Changes FY17'!F48,-3)</f>
        <v>0</v>
      </c>
      <c r="G48" s="20">
        <f>ROUND('[11]Changes FY17'!G48,-3)</f>
        <v>0</v>
      </c>
      <c r="H48" s="20">
        <f>ROUND('[11]Changes FY17'!H48,-3)</f>
        <v>0</v>
      </c>
      <c r="I48" s="28">
        <f t="shared" si="4"/>
        <v>0</v>
      </c>
      <c r="J48" s="28"/>
      <c r="K48" s="29">
        <f>ROUND('[11]Changes FY17'!K48,-3)</f>
        <v>0</v>
      </c>
      <c r="L48" s="29">
        <f>ROUND('[11]Changes FY17'!L48,-3)</f>
        <v>0</v>
      </c>
      <c r="M48" s="28">
        <f t="shared" si="5"/>
        <v>0</v>
      </c>
    </row>
    <row r="49" spans="1:13" ht="9.75" customHeight="1" x14ac:dyDescent="0.35">
      <c r="A49" s="52" t="s">
        <v>27</v>
      </c>
      <c r="B49" s="20">
        <f>ROUND('[11]Changes FY17'!B49,-3)</f>
        <v>-252666000</v>
      </c>
      <c r="C49" s="20">
        <f>ROUND('[11]Changes FY17'!C49,-3)-1000</f>
        <v>-48321000</v>
      </c>
      <c r="D49" s="20">
        <f>ROUND('[11]Changes FY17'!D49,-3)</f>
        <v>96436000</v>
      </c>
      <c r="E49" s="20">
        <f>ROUND('[11]Changes FY17'!E49,-3)</f>
        <v>201041000</v>
      </c>
      <c r="F49" s="20">
        <f>ROUND('[11]Changes FY17'!F49,-3)</f>
        <v>0</v>
      </c>
      <c r="G49" s="20">
        <f>ROUND('[11]Changes FY17'!G49,-3)+1000</f>
        <v>3510000</v>
      </c>
      <c r="H49" s="20">
        <f>ROUND('[11]Changes FY17'!H49,-3)</f>
        <v>0</v>
      </c>
      <c r="I49" s="28">
        <f t="shared" si="4"/>
        <v>0</v>
      </c>
      <c r="J49" s="28"/>
      <c r="K49" s="29">
        <f>ROUND('[11]Changes FY17'!K49,-3)</f>
        <v>0</v>
      </c>
      <c r="L49" s="29">
        <f>ROUND('[11]Changes FY17'!L49,-3)</f>
        <v>0</v>
      </c>
      <c r="M49" s="28">
        <f t="shared" si="5"/>
        <v>0</v>
      </c>
    </row>
    <row r="50" spans="1:13" ht="9.75" customHeight="1" x14ac:dyDescent="0.35">
      <c r="A50" s="52" t="s">
        <v>26</v>
      </c>
      <c r="B50" s="20">
        <f>ROUND('[11]Changes FY17'!B50,-3)</f>
        <v>0</v>
      </c>
      <c r="C50" s="20">
        <f>ROUND('[11]Changes FY17'!C50,-3)</f>
        <v>0</v>
      </c>
      <c r="D50" s="20">
        <f>ROUND('[11]Changes FY17'!D50,-3)</f>
        <v>0</v>
      </c>
      <c r="E50" s="20">
        <f>ROUND('[11]Changes FY17'!E50,-3)</f>
        <v>0</v>
      </c>
      <c r="F50" s="20">
        <f>ROUND('[11]Changes FY17'!F50,-3)</f>
        <v>0</v>
      </c>
      <c r="G50" s="20">
        <f>ROUND('[11]Changes FY17'!G50,-3)</f>
        <v>0</v>
      </c>
      <c r="H50" s="20">
        <f>ROUND('[11]Changes FY17'!H50,-3)</f>
        <v>0</v>
      </c>
      <c r="I50" s="28">
        <f t="shared" si="4"/>
        <v>0</v>
      </c>
      <c r="J50" s="28"/>
      <c r="K50" s="29">
        <f>ROUND('[11]Changes FY17'!K50,-3)</f>
        <v>0</v>
      </c>
      <c r="L50" s="29">
        <f>ROUND('[11]Changes FY17'!L50,-3)</f>
        <v>0</v>
      </c>
      <c r="M50" s="28">
        <f t="shared" si="5"/>
        <v>0</v>
      </c>
    </row>
    <row r="51" spans="1:13" ht="9.75" customHeight="1" x14ac:dyDescent="0.35">
      <c r="A51" s="6" t="s">
        <v>25</v>
      </c>
      <c r="B51" s="20">
        <f>ROUND('[11]Changes FY17'!B51,-3)</f>
        <v>-37534000</v>
      </c>
      <c r="C51" s="20">
        <f>ROUND('[11]Changes FY17'!C51,-3)</f>
        <v>-482000</v>
      </c>
      <c r="D51" s="20">
        <f>ROUND('[11]Changes FY17'!D51,-3)</f>
        <v>54636000</v>
      </c>
      <c r="E51" s="20">
        <f>ROUND('[11]Changes FY17'!E51,-3)</f>
        <v>-331951000</v>
      </c>
      <c r="F51" s="20">
        <f>ROUND('[11]Changes FY17'!F51,-3)</f>
        <v>315331000</v>
      </c>
      <c r="G51" s="20">
        <f>ROUND('[11]Changes FY17'!G51,-3)</f>
        <v>0</v>
      </c>
      <c r="H51" s="20">
        <f>ROUND('[11]Changes FY17'!H51,-3)</f>
        <v>0</v>
      </c>
      <c r="I51" s="28">
        <f t="shared" si="4"/>
        <v>0</v>
      </c>
      <c r="J51" s="28"/>
      <c r="K51" s="29">
        <f>ROUND('[11]Changes FY17'!K51,-3)</f>
        <v>0</v>
      </c>
      <c r="L51" s="29">
        <f>ROUND('[11]Changes FY17'!L51,-3)</f>
        <v>0</v>
      </c>
      <c r="M51" s="28">
        <f t="shared" si="5"/>
        <v>0</v>
      </c>
    </row>
    <row r="52" spans="1:13" s="15" customFormat="1" ht="11.7" x14ac:dyDescent="0.4">
      <c r="A52" s="49" t="s">
        <v>21</v>
      </c>
      <c r="B52" s="83">
        <f t="shared" ref="B52:I52" si="6">+B33-B40+SUM(B43:B51)</f>
        <v>0</v>
      </c>
      <c r="C52" s="83">
        <f t="shared" si="6"/>
        <v>31619000</v>
      </c>
      <c r="D52" s="83">
        <f t="shared" si="6"/>
        <v>247278000</v>
      </c>
      <c r="E52" s="83">
        <f t="shared" si="6"/>
        <v>13513000</v>
      </c>
      <c r="F52" s="83">
        <f t="shared" si="6"/>
        <v>62472000</v>
      </c>
      <c r="G52" s="83">
        <f t="shared" si="6"/>
        <v>97276000</v>
      </c>
      <c r="H52" s="83">
        <f t="shared" si="6"/>
        <v>-211000</v>
      </c>
      <c r="I52" s="56">
        <f t="shared" si="6"/>
        <v>451947000</v>
      </c>
      <c r="J52" s="47"/>
      <c r="K52" s="56">
        <f>+K33-K40+SUM(K43:K51)</f>
        <v>254078000</v>
      </c>
      <c r="L52" s="56">
        <f>+L33-L40+SUM(L43:L51)</f>
        <v>191771000</v>
      </c>
      <c r="M52" s="56">
        <f>+M33-M40+SUM(M43:M51)</f>
        <v>897796000</v>
      </c>
    </row>
    <row r="53" spans="1:13" s="15" customFormat="1" ht="11.7" x14ac:dyDescent="0.4">
      <c r="A53" s="49" t="s">
        <v>123</v>
      </c>
      <c r="B53" s="86"/>
      <c r="C53" s="86"/>
      <c r="D53" s="20">
        <f>ROUND('[11]Changes FY17'!D53,-3)</f>
        <v>0</v>
      </c>
      <c r="E53" s="86"/>
      <c r="F53" s="20">
        <f>ROUND('[11]Changes FY17'!F53,-3)</f>
        <v>7419000</v>
      </c>
      <c r="G53" s="20">
        <f>ROUND('[11]Changes FY17'!G54,-3)</f>
        <v>0</v>
      </c>
      <c r="H53" s="86"/>
      <c r="I53" s="28">
        <f>SUM(B53:H53)</f>
        <v>7419000</v>
      </c>
      <c r="J53" s="47"/>
      <c r="K53" s="29">
        <f>ROUND('[11]Changes FY17'!K54,-3)</f>
        <v>0</v>
      </c>
      <c r="L53" s="43"/>
      <c r="M53" s="28">
        <f>SUM(I53:L53)</f>
        <v>7419000</v>
      </c>
    </row>
    <row r="54" spans="1:13" s="15" customFormat="1" ht="11.7" x14ac:dyDescent="0.4">
      <c r="A54" s="49" t="s">
        <v>122</v>
      </c>
      <c r="B54" s="86"/>
      <c r="C54" s="86"/>
      <c r="D54" s="20">
        <f>ROUND('[11]Changes FY17'!D54,-3)</f>
        <v>0</v>
      </c>
      <c r="E54" s="86"/>
      <c r="F54" s="20">
        <f>ROUND('[11]Changes FY17'!F54,-3)</f>
        <v>-7419000</v>
      </c>
      <c r="G54" s="20"/>
      <c r="H54" s="86"/>
      <c r="I54" s="28">
        <f>SUM(B54:H54)</f>
        <v>-7419000</v>
      </c>
      <c r="J54" s="47"/>
      <c r="K54" s="29"/>
      <c r="L54" s="43"/>
      <c r="M54" s="28">
        <f>SUM(I54:L54)</f>
        <v>-7419000</v>
      </c>
    </row>
    <row r="55" spans="1:13" s="15" customFormat="1" x14ac:dyDescent="0.35">
      <c r="A55" s="111" t="s">
        <v>121</v>
      </c>
      <c r="B55" s="20">
        <f>ROUND('[11]Changes FY17'!B55,-3)</f>
        <v>0</v>
      </c>
      <c r="C55" s="20">
        <f>ROUND('[11]Changes FY17'!C55,-3)</f>
        <v>0</v>
      </c>
      <c r="D55" s="20">
        <f>ROUND('[11]Changes FY17'!D55,-3)</f>
        <v>-6440000</v>
      </c>
      <c r="E55" s="20">
        <f>ROUND('[11]Changes FY17'!E55,-3)</f>
        <v>0</v>
      </c>
      <c r="F55" s="20">
        <f>ROUND('[11]Changes FY17'!F55,-3)</f>
        <v>6440000</v>
      </c>
      <c r="G55" s="20">
        <f>ROUND('[11]Changes FY17'!G55,-3)</f>
        <v>0</v>
      </c>
      <c r="H55" s="20">
        <f>ROUND('[11]Changes FY17'!H55,-3)</f>
        <v>0</v>
      </c>
      <c r="I55" s="28">
        <f>SUM(B55:H55)</f>
        <v>0</v>
      </c>
      <c r="J55" s="28"/>
      <c r="K55" s="29">
        <f>ROUND('[11]Changes FY17'!K55,-3)</f>
        <v>0</v>
      </c>
      <c r="L55" s="43"/>
      <c r="M55" s="28">
        <f>SUM(I55:L55)</f>
        <v>0</v>
      </c>
    </row>
    <row r="56" spans="1:13" s="15" customFormat="1" x14ac:dyDescent="0.35">
      <c r="A56" s="135" t="s">
        <v>120</v>
      </c>
      <c r="B56" s="20"/>
      <c r="C56" s="20"/>
      <c r="D56" s="20"/>
      <c r="E56" s="20"/>
      <c r="F56" s="20"/>
      <c r="G56" s="20">
        <f>ROUND('[11]Changes FY17'!G56,-3)</f>
        <v>15278000</v>
      </c>
      <c r="H56" s="20"/>
      <c r="I56" s="28">
        <f>SUM(B56:H56)</f>
        <v>15278000</v>
      </c>
      <c r="J56" s="28"/>
      <c r="K56" s="29">
        <f>ROUND('[11]Changes FY17'!K56,-3)</f>
        <v>-15278000</v>
      </c>
      <c r="L56" s="43"/>
      <c r="M56" s="28">
        <f>SUM(I56:L56)</f>
        <v>0</v>
      </c>
    </row>
    <row r="57" spans="1:13" ht="12" customHeight="1" x14ac:dyDescent="0.35">
      <c r="A57" s="41" t="s">
        <v>19</v>
      </c>
      <c r="B57" s="20">
        <f>ROUND('[11]Changes FY17'!B57,-3)</f>
        <v>0</v>
      </c>
      <c r="C57" s="40">
        <f>ROUND('[11]Changes FY17'!C57,-3)</f>
        <v>-228244000</v>
      </c>
      <c r="D57" s="40">
        <f>ROUND('[11]Changes FY17'!D57,-3)</f>
        <v>1232463000</v>
      </c>
      <c r="E57" s="40">
        <f>ROUND('[11]Changes FY17'!E57,-3)</f>
        <v>318836000</v>
      </c>
      <c r="F57" s="40">
        <f>ROUND('[11]Changes FY17'!F57,-3)</f>
        <v>1081988000</v>
      </c>
      <c r="G57" s="40">
        <f>ROUND('[11]Changes FY17'!G57,-3)+1000</f>
        <v>1292145000</v>
      </c>
      <c r="H57" s="40">
        <f>ROUND('[11]Changes FY17'!H57,-3)</f>
        <v>-13198000</v>
      </c>
      <c r="I57" s="39">
        <f>SUM(B57:H57)</f>
        <v>3683990000</v>
      </c>
      <c r="J57" s="39"/>
      <c r="K57" s="38">
        <f>ROUND('[11]Changes FY17'!K57,-3)</f>
        <v>1792593000</v>
      </c>
      <c r="L57" s="38">
        <f>ROUND('[11]Changes FY17'!L57,-3)</f>
        <v>2405839000</v>
      </c>
      <c r="M57" s="38">
        <f>SUM(I57:L57)</f>
        <v>7882422000</v>
      </c>
    </row>
    <row r="58" spans="1:13" s="9" customFormat="1" ht="12" customHeight="1" x14ac:dyDescent="0.35">
      <c r="A58" s="37" t="s">
        <v>18</v>
      </c>
      <c r="B58" s="85">
        <f t="shared" ref="B58:M58" si="7">SUM(B52:B57)</f>
        <v>0</v>
      </c>
      <c r="C58" s="85">
        <f t="shared" si="7"/>
        <v>-196625000</v>
      </c>
      <c r="D58" s="85">
        <f t="shared" si="7"/>
        <v>1473301000</v>
      </c>
      <c r="E58" s="85">
        <f t="shared" si="7"/>
        <v>332349000</v>
      </c>
      <c r="F58" s="85">
        <f t="shared" si="7"/>
        <v>1150900000</v>
      </c>
      <c r="G58" s="85">
        <f t="shared" si="7"/>
        <v>1404699000</v>
      </c>
      <c r="H58" s="85">
        <f t="shared" si="7"/>
        <v>-13409000</v>
      </c>
      <c r="I58" s="23">
        <f t="shared" si="7"/>
        <v>4151215000</v>
      </c>
      <c r="J58" s="32">
        <f t="shared" si="7"/>
        <v>0</v>
      </c>
      <c r="K58" s="23">
        <f t="shared" si="7"/>
        <v>2031393000</v>
      </c>
      <c r="L58" s="23">
        <f t="shared" si="7"/>
        <v>2597610000</v>
      </c>
      <c r="M58" s="23">
        <f t="shared" si="7"/>
        <v>8780218000</v>
      </c>
    </row>
    <row r="59" spans="1:13" s="7" customFormat="1" ht="2.1" customHeight="1" x14ac:dyDescent="0.35">
      <c r="B59" s="35"/>
      <c r="C59" s="35"/>
      <c r="D59" s="35"/>
      <c r="E59" s="35"/>
      <c r="F59" s="35"/>
      <c r="G59" s="35"/>
      <c r="H59" s="35"/>
      <c r="I59" s="34"/>
      <c r="J59" s="28"/>
      <c r="K59" s="34"/>
      <c r="L59" s="34"/>
      <c r="M59" s="34"/>
    </row>
    <row r="60" spans="1:13" ht="9.9499999999999993" customHeight="1" x14ac:dyDescent="0.35">
      <c r="A60" s="2"/>
      <c r="B60" s="20"/>
      <c r="C60" s="20"/>
      <c r="D60" s="20"/>
      <c r="E60" s="20"/>
      <c r="F60" s="20"/>
      <c r="G60" s="20"/>
      <c r="H60" s="20"/>
      <c r="I60" s="28"/>
      <c r="J60" s="28"/>
      <c r="K60" s="28"/>
      <c r="L60" s="28"/>
      <c r="M60" s="28"/>
    </row>
    <row r="61" spans="1:13" ht="9.9499999999999993" customHeight="1" x14ac:dyDescent="0.35">
      <c r="A61" s="33" t="s">
        <v>17</v>
      </c>
      <c r="B61" s="20"/>
      <c r="C61" s="20"/>
      <c r="D61" s="20"/>
      <c r="E61" s="20"/>
      <c r="F61" s="20"/>
      <c r="G61" s="20"/>
      <c r="H61" s="20"/>
      <c r="I61" s="28"/>
      <c r="J61" s="28"/>
      <c r="K61" s="28"/>
      <c r="L61" s="28"/>
      <c r="M61" s="28"/>
    </row>
    <row r="62" spans="1:13" s="2" customFormat="1" ht="9.9499999999999993" customHeight="1" x14ac:dyDescent="0.35">
      <c r="A62" s="6" t="s">
        <v>16</v>
      </c>
      <c r="B62" s="30">
        <f>ROUND('[11]Changes FY17'!B62,-3)</f>
        <v>0</v>
      </c>
      <c r="C62" s="30">
        <f>ROUND('[11]Changes FY17'!C62,-3)-1000</f>
        <v>-33092000</v>
      </c>
      <c r="D62" s="30">
        <f>ROUND('[11]Changes FY17'!D62,-3)</f>
        <v>222313000</v>
      </c>
      <c r="E62" s="20">
        <f>ROUND('[11]Changes FY17'!E62,-3)</f>
        <v>0</v>
      </c>
      <c r="F62" s="20">
        <f>ROUND('[11]Changes FY17'!F62,-3)</f>
        <v>0</v>
      </c>
      <c r="G62" s="20">
        <f>ROUND('[11]Changes FY17'!G62,-3)</f>
        <v>0</v>
      </c>
      <c r="H62" s="30">
        <f>ROUND('[11]Changes FY17'!H62,-3)-1000</f>
        <v>-18053000</v>
      </c>
      <c r="I62" s="32">
        <f t="shared" ref="I62:I77" si="8">SUM(B62:H62)</f>
        <v>171168000</v>
      </c>
      <c r="J62" s="28"/>
      <c r="K62" s="29">
        <f>ROUND('[11]Changes FY17'!K62,-3)</f>
        <v>0</v>
      </c>
      <c r="L62" s="29">
        <f>ROUND('[11]Changes FY17'!L62,-3)</f>
        <v>0</v>
      </c>
      <c r="M62" s="32">
        <f t="shared" ref="M62:M77" si="9">SUM(I62:L62)</f>
        <v>171168000</v>
      </c>
    </row>
    <row r="63" spans="1:13" s="2" customFormat="1" ht="9.9499999999999993" customHeight="1" x14ac:dyDescent="0.35">
      <c r="A63" s="6" t="s">
        <v>15</v>
      </c>
      <c r="B63" s="30">
        <f>ROUND('[11]Changes FY17'!B63,-3)</f>
        <v>0</v>
      </c>
      <c r="C63" s="20">
        <f>ROUND('[11]Changes FY17'!C63,-3)</f>
        <v>-163533000</v>
      </c>
      <c r="D63" s="20">
        <f>ROUND('[11]Changes FY17'!D63,-3)</f>
        <v>984844000</v>
      </c>
      <c r="E63" s="30">
        <f>ROUND('[11]Changes FY17'!E63,-3)</f>
        <v>225969000</v>
      </c>
      <c r="F63" s="20">
        <f>ROUND('[11]Changes FY17'!F63,-3)</f>
        <v>0</v>
      </c>
      <c r="G63" s="20">
        <f>ROUND('[11]Changes FY17'!G63,-3)</f>
        <v>0</v>
      </c>
      <c r="H63" s="20">
        <f>ROUND('[11]Changes FY17'!H63,-3)</f>
        <v>4644000</v>
      </c>
      <c r="I63" s="28">
        <f t="shared" si="8"/>
        <v>1051924000</v>
      </c>
      <c r="J63" s="28"/>
      <c r="K63" s="29">
        <f>ROUND('[11]Changes FY17'!K63,-3)</f>
        <v>0</v>
      </c>
      <c r="L63" s="29">
        <f>ROUND('[11]Changes FY17'!L63,-3)</f>
        <v>0</v>
      </c>
      <c r="M63" s="28">
        <f t="shared" si="9"/>
        <v>1051924000</v>
      </c>
    </row>
    <row r="64" spans="1:13" s="2" customFormat="1" x14ac:dyDescent="0.35">
      <c r="A64" s="6" t="s">
        <v>14</v>
      </c>
      <c r="B64" s="30">
        <f>ROUND('[11]Changes FY17'!B64,-3)</f>
        <v>0</v>
      </c>
      <c r="C64" s="20">
        <f>ROUND('[11]Changes FY17'!C64,-3)</f>
        <v>0</v>
      </c>
      <c r="D64" s="20">
        <f>ROUND('[11]Changes FY17'!D64,-3)</f>
        <v>0</v>
      </c>
      <c r="E64" s="20">
        <f>ROUND('[11]Changes FY17'!E64,-3)</f>
        <v>0</v>
      </c>
      <c r="F64" s="20">
        <f>ROUND('[11]Changes FY17'!F64,-3)</f>
        <v>0</v>
      </c>
      <c r="G64" s="20">
        <f>ROUND('[11]Changes FY17'!G64,-3)</f>
        <v>0</v>
      </c>
      <c r="H64" s="20">
        <f>ROUND('[11]Changes FY17'!H64,-3)</f>
        <v>0</v>
      </c>
      <c r="I64" s="28">
        <f t="shared" si="8"/>
        <v>0</v>
      </c>
      <c r="J64" s="28"/>
      <c r="K64" s="31">
        <f>ROUND('[11]Changes FY17'!K64,-3)</f>
        <v>101341000</v>
      </c>
      <c r="L64" s="31">
        <f>ROUND('[11]Changes FY17'!L64,-3)+1000</f>
        <v>23885000</v>
      </c>
      <c r="M64" s="28">
        <f t="shared" si="9"/>
        <v>125226000</v>
      </c>
    </row>
    <row r="65" spans="1:13" s="2" customFormat="1" ht="9.9499999999999993" customHeight="1" x14ac:dyDescent="0.35">
      <c r="A65" s="6" t="s">
        <v>13</v>
      </c>
      <c r="B65" s="30">
        <f>ROUND('[11]Changes FY17'!B65,-3)</f>
        <v>0</v>
      </c>
      <c r="C65" s="20">
        <f>ROUND('[11]Changes FY17'!C65,-3)</f>
        <v>0</v>
      </c>
      <c r="D65" s="20">
        <f>ROUND('[11]Changes FY17'!D65,-3)</f>
        <v>0</v>
      </c>
      <c r="E65" s="20">
        <f>ROUND('[11]Changes FY17'!E65,-3)</f>
        <v>0</v>
      </c>
      <c r="F65" s="20">
        <f>ROUND('[11]Changes FY17'!F65,-3)</f>
        <v>0</v>
      </c>
      <c r="G65" s="20">
        <f>ROUND('[11]Changes FY17'!G65,-3)</f>
        <v>0</v>
      </c>
      <c r="H65" s="20">
        <f>ROUND('[11]Changes FY17'!H65,-3)</f>
        <v>0</v>
      </c>
      <c r="I65" s="28">
        <f t="shared" si="8"/>
        <v>0</v>
      </c>
      <c r="J65" s="28"/>
      <c r="K65" s="29">
        <f>ROUND('[11]Changes FY17'!K65,-3)</f>
        <v>284357000</v>
      </c>
      <c r="L65" s="29">
        <f>ROUND('[11]Changes FY17'!L65,-3)</f>
        <v>344276000</v>
      </c>
      <c r="M65" s="28">
        <f t="shared" si="9"/>
        <v>628633000</v>
      </c>
    </row>
    <row r="66" spans="1:13" s="2" customFormat="1" ht="9.9499999999999993" customHeight="1" x14ac:dyDescent="0.35">
      <c r="A66" s="6" t="s">
        <v>90</v>
      </c>
      <c r="B66" s="30">
        <f>ROUND('[11]Changes FY17'!B66,-3)</f>
        <v>0</v>
      </c>
      <c r="C66" s="20">
        <f>ROUND('[11]Changes FY17'!C66,-3)</f>
        <v>0</v>
      </c>
      <c r="D66" s="20">
        <f>ROUND('[11]Changes FY17'!D66,-3)</f>
        <v>0</v>
      </c>
      <c r="E66" s="20">
        <f>ROUND('[11]Changes FY17'!E66,-3)</f>
        <v>0</v>
      </c>
      <c r="F66" s="20">
        <f>ROUND('[11]Changes FY17'!F66,-3)</f>
        <v>0</v>
      </c>
      <c r="G66" s="20">
        <f>ROUND('[11]Changes FY17'!G66,-3)</f>
        <v>0</v>
      </c>
      <c r="H66" s="20">
        <f>ROUND('[11]Changes FY17'!H66,-3)</f>
        <v>0</v>
      </c>
      <c r="I66" s="28">
        <f t="shared" si="8"/>
        <v>0</v>
      </c>
      <c r="J66" s="28"/>
      <c r="K66" s="29">
        <f>ROUND('[11]Changes FY17'!K66,-3)</f>
        <v>0</v>
      </c>
      <c r="L66" s="29">
        <f>ROUND('[11]Changes FY17'!L66,-3)</f>
        <v>0</v>
      </c>
      <c r="M66" s="28">
        <f t="shared" si="9"/>
        <v>0</v>
      </c>
    </row>
    <row r="67" spans="1:13" s="2" customFormat="1" ht="9.9499999999999993" customHeight="1" x14ac:dyDescent="0.35">
      <c r="A67" s="6" t="s">
        <v>12</v>
      </c>
      <c r="B67" s="30">
        <f>ROUND('[11]Changes FY17'!B67,-3)</f>
        <v>0</v>
      </c>
      <c r="C67" s="20">
        <f>ROUND('[11]Changes FY17'!C67,-3)</f>
        <v>0</v>
      </c>
      <c r="D67" s="20">
        <f>ROUND('[11]Changes FY17'!D67,-3)</f>
        <v>0</v>
      </c>
      <c r="E67" s="20">
        <f>ROUND('[11]Changes FY17'!E67,-3)</f>
        <v>0</v>
      </c>
      <c r="F67" s="20">
        <f>ROUND('[11]Changes FY17'!F67,-3)</f>
        <v>0</v>
      </c>
      <c r="G67" s="20">
        <f>ROUND('[11]Changes FY17'!G67,-3)</f>
        <v>0</v>
      </c>
      <c r="H67" s="20">
        <f>ROUND('[11]Changes FY17'!H67,-3)</f>
        <v>0</v>
      </c>
      <c r="I67" s="28">
        <f t="shared" si="8"/>
        <v>0</v>
      </c>
      <c r="J67" s="28"/>
      <c r="K67" s="29">
        <f>ROUND('[11]Changes FY17'!K67,-3)</f>
        <v>0</v>
      </c>
      <c r="L67" s="29">
        <f>ROUND('[11]Changes FY17'!L67,-3)</f>
        <v>0</v>
      </c>
      <c r="M67" s="28">
        <f t="shared" si="9"/>
        <v>0</v>
      </c>
    </row>
    <row r="68" spans="1:13" s="2" customFormat="1" ht="9.9499999999999993" customHeight="1" x14ac:dyDescent="0.35">
      <c r="A68" s="6" t="s">
        <v>11</v>
      </c>
      <c r="B68" s="30">
        <f>ROUND('[11]Changes FY17'!B68,-3)</f>
        <v>0</v>
      </c>
      <c r="C68" s="20">
        <f>ROUND('[11]Changes FY17'!C68,-3)</f>
        <v>0</v>
      </c>
      <c r="D68" s="20">
        <f>ROUND('[11]Changes FY17'!D68,-3)</f>
        <v>266144000</v>
      </c>
      <c r="E68" s="20">
        <f>ROUND('[11]Changes FY17'!E68,-3)</f>
        <v>0</v>
      </c>
      <c r="F68" s="20">
        <f>ROUND('[11]Changes FY17'!F68,-3)</f>
        <v>0</v>
      </c>
      <c r="G68" s="20">
        <f>ROUND('[11]Changes FY17'!G68,-3)</f>
        <v>0</v>
      </c>
      <c r="H68" s="20">
        <f>ROUND('[11]Changes FY17'!H68,-3)</f>
        <v>0</v>
      </c>
      <c r="I68" s="28">
        <f t="shared" si="8"/>
        <v>266144000</v>
      </c>
      <c r="J68" s="28"/>
      <c r="K68" s="29">
        <f>ROUND('[11]Changes FY17'!K68,-3)</f>
        <v>0</v>
      </c>
      <c r="L68" s="29">
        <f>ROUND('[11]Changes FY17'!L68,-3)</f>
        <v>0</v>
      </c>
      <c r="M68" s="28">
        <f t="shared" si="9"/>
        <v>266144000</v>
      </c>
    </row>
    <row r="69" spans="1:13" s="2" customFormat="1" ht="9.9499999999999993" customHeight="1" x14ac:dyDescent="0.35">
      <c r="A69" s="6" t="s">
        <v>10</v>
      </c>
      <c r="B69" s="30">
        <f>ROUND('[11]Changes FY17'!B69,-3)</f>
        <v>0</v>
      </c>
      <c r="C69" s="20">
        <f>ROUND('[11]Changes FY17'!C69,-3)</f>
        <v>0</v>
      </c>
      <c r="D69" s="20">
        <f>ROUND('[11]Changes FY17'!D69,-3)</f>
        <v>0</v>
      </c>
      <c r="E69" s="20">
        <f>ROUND('[11]Changes FY17'!E69,-3)</f>
        <v>0</v>
      </c>
      <c r="F69" s="20">
        <f>ROUND('[11]Changes FY17'!F69,-3)</f>
        <v>0</v>
      </c>
      <c r="G69" s="20">
        <f>ROUND('[11]Changes FY17'!G69,-3)</f>
        <v>0</v>
      </c>
      <c r="H69" s="20">
        <f>ROUND('[11]Changes FY17'!H69,-3)</f>
        <v>0</v>
      </c>
      <c r="I69" s="28">
        <f t="shared" si="8"/>
        <v>0</v>
      </c>
      <c r="J69" s="28"/>
      <c r="K69" s="29">
        <f>ROUND('[11]Changes FY17'!K69,-3)</f>
        <v>57663000</v>
      </c>
      <c r="L69" s="29">
        <f>ROUND('[11]Changes FY17'!L69,-3)</f>
        <v>91660000</v>
      </c>
      <c r="M69" s="28">
        <f t="shared" si="9"/>
        <v>149323000</v>
      </c>
    </row>
    <row r="70" spans="1:13" s="2" customFormat="1" ht="9.9499999999999993" customHeight="1" x14ac:dyDescent="0.35">
      <c r="A70" s="6" t="s">
        <v>9</v>
      </c>
      <c r="B70" s="30">
        <f>ROUND('[11]Changes FY17'!B70,-3)</f>
        <v>0</v>
      </c>
      <c r="C70" s="20">
        <f>ROUND('[11]Changes FY17'!C70,-3)</f>
        <v>0</v>
      </c>
      <c r="D70" s="20">
        <f>ROUND('[11]Changes FY17'!D70,-3)</f>
        <v>0</v>
      </c>
      <c r="E70" s="20">
        <f>ROUND('[11]Changes FY17'!E70,-3)</f>
        <v>0</v>
      </c>
      <c r="F70" s="20">
        <f>ROUND('[11]Changes FY17'!F70,-3)</f>
        <v>0</v>
      </c>
      <c r="G70" s="20">
        <f>ROUND('[11]Changes FY17'!G70,-3)</f>
        <v>0</v>
      </c>
      <c r="H70" s="20">
        <f>ROUND('[11]Changes FY17'!H70,-3)</f>
        <v>0</v>
      </c>
      <c r="I70" s="28">
        <f t="shared" si="8"/>
        <v>0</v>
      </c>
      <c r="J70" s="28"/>
      <c r="K70" s="29">
        <f>ROUND('[11]Changes FY17'!K70,-3)</f>
        <v>1588032000</v>
      </c>
      <c r="L70" s="29">
        <f>ROUND('[11]Changes FY17'!L70,-3)</f>
        <v>2137789000</v>
      </c>
      <c r="M70" s="28">
        <f t="shared" si="9"/>
        <v>3725821000</v>
      </c>
    </row>
    <row r="71" spans="1:13" s="2" customFormat="1" x14ac:dyDescent="0.35">
      <c r="A71" s="6" t="s">
        <v>8</v>
      </c>
      <c r="B71" s="30">
        <f>ROUND('[11]Changes FY17'!B71,-3)</f>
        <v>0</v>
      </c>
      <c r="C71" s="20">
        <f>ROUND('[11]Changes FY17'!C71,-3)</f>
        <v>0</v>
      </c>
      <c r="D71" s="20">
        <f>ROUND('[11]Changes FY17'!D71,-3)</f>
        <v>0</v>
      </c>
      <c r="E71" s="20">
        <f>ROUND('[11]Changes FY17'!E71,-3)</f>
        <v>0</v>
      </c>
      <c r="F71" s="20">
        <f>ROUND('[11]Changes FY17'!F71,-3)</f>
        <v>0</v>
      </c>
      <c r="G71" s="20">
        <f>ROUND('[11]Changes FY17'!G71,-3)</f>
        <v>0</v>
      </c>
      <c r="H71" s="20">
        <f>ROUND('[11]Changes FY17'!H71,-3)</f>
        <v>0</v>
      </c>
      <c r="I71" s="28">
        <f t="shared" si="8"/>
        <v>0</v>
      </c>
      <c r="J71" s="28"/>
      <c r="K71" s="29">
        <f>ROUND('[11]Changes FY17'!K71,-3)</f>
        <v>0</v>
      </c>
      <c r="L71" s="29">
        <f>ROUND('[11]Changes FY17'!L71,-3)</f>
        <v>0</v>
      </c>
      <c r="M71" s="28">
        <f t="shared" si="9"/>
        <v>0</v>
      </c>
    </row>
    <row r="72" spans="1:13" s="2" customFormat="1" x14ac:dyDescent="0.35">
      <c r="A72" s="6" t="s">
        <v>7</v>
      </c>
      <c r="B72" s="30">
        <f>ROUND('[11]Changes FY17'!B72,-3)</f>
        <v>0</v>
      </c>
      <c r="C72" s="20">
        <f>ROUND('[11]Changes FY17'!C72,-3)</f>
        <v>0</v>
      </c>
      <c r="D72" s="20">
        <f>ROUND('[11]Changes FY17'!D72,-3)</f>
        <v>0</v>
      </c>
      <c r="E72" s="20">
        <f>ROUND('[11]Changes FY17'!E72,-3)</f>
        <v>0</v>
      </c>
      <c r="F72" s="20">
        <f>ROUND('[11]Changes FY17'!F72,-3)</f>
        <v>0</v>
      </c>
      <c r="G72" s="20">
        <f>ROUND('[11]Changes FY17'!G72,-3)</f>
        <v>1404699000</v>
      </c>
      <c r="H72" s="20">
        <f>ROUND('[11]Changes FY17'!H72,-3)</f>
        <v>0</v>
      </c>
      <c r="I72" s="28">
        <f t="shared" si="8"/>
        <v>1404699000</v>
      </c>
      <c r="J72" s="28"/>
      <c r="K72" s="29">
        <f>ROUND('[11]Changes FY17'!K72,-3)</f>
        <v>0</v>
      </c>
      <c r="L72" s="29">
        <f>ROUND('[11]Changes FY17'!L72,-3)</f>
        <v>0</v>
      </c>
      <c r="M72" s="28">
        <f t="shared" si="9"/>
        <v>1404699000</v>
      </c>
    </row>
    <row r="73" spans="1:13" s="2" customFormat="1" x14ac:dyDescent="0.35">
      <c r="A73" s="6" t="s">
        <v>6</v>
      </c>
      <c r="B73" s="30">
        <f>ROUND('[11]Changes FY17'!B73,-3)</f>
        <v>0</v>
      </c>
      <c r="C73" s="20">
        <f>ROUND('[11]Changes FY17'!C73,-3)</f>
        <v>0</v>
      </c>
      <c r="D73" s="20">
        <f>ROUND('[11]Changes FY17'!D73,-3)</f>
        <v>0</v>
      </c>
      <c r="E73" s="20">
        <f>ROUND('[11]Changes FY17'!E73,-3)</f>
        <v>0</v>
      </c>
      <c r="F73" s="20">
        <f>ROUND('[11]Changes FY17'!F73,-3)</f>
        <v>0</v>
      </c>
      <c r="G73" s="20">
        <f>ROUND('[11]Changes FY17'!G73,-3)</f>
        <v>0</v>
      </c>
      <c r="H73" s="20">
        <f>ROUND('[11]Changes FY17'!H73,-3)</f>
        <v>0</v>
      </c>
      <c r="I73" s="28">
        <f t="shared" si="8"/>
        <v>0</v>
      </c>
      <c r="J73" s="28"/>
      <c r="K73" s="29">
        <f>ROUND('[11]Changes FY17'!K73,-3)</f>
        <v>0</v>
      </c>
      <c r="L73" s="29">
        <f>ROUND('[11]Changes FY17'!L73,-3)</f>
        <v>0</v>
      </c>
      <c r="M73" s="28">
        <f t="shared" si="9"/>
        <v>0</v>
      </c>
    </row>
    <row r="74" spans="1:13" s="2" customFormat="1" x14ac:dyDescent="0.35">
      <c r="A74" s="6" t="s">
        <v>5</v>
      </c>
      <c r="B74" s="30">
        <f>ROUND('[11]Changes FY17'!B74,-3)</f>
        <v>0</v>
      </c>
      <c r="C74" s="20">
        <f>ROUND('[11]Changes FY17'!C74,-3)</f>
        <v>0</v>
      </c>
      <c r="D74" s="20">
        <f>ROUND('[11]Changes FY17'!D74,-3)</f>
        <v>0</v>
      </c>
      <c r="E74" s="20">
        <f>ROUND('[11]Changes FY17'!E74,-3)</f>
        <v>0</v>
      </c>
      <c r="F74" s="20">
        <f>ROUND('[11]Changes FY17'!F74,-3)</f>
        <v>0</v>
      </c>
      <c r="G74" s="20">
        <f>ROUND('[11]Changes FY17'!G74,-3)</f>
        <v>0</v>
      </c>
      <c r="H74" s="20">
        <f>ROUND('[11]Changes FY17'!H74,-3)</f>
        <v>0</v>
      </c>
      <c r="I74" s="28">
        <f t="shared" si="8"/>
        <v>0</v>
      </c>
      <c r="J74" s="28"/>
      <c r="K74" s="29">
        <f>ROUND('[11]Changes FY17'!K74,-3)</f>
        <v>0</v>
      </c>
      <c r="L74" s="29">
        <f>ROUND('[11]Changes FY17'!L74,-3)</f>
        <v>0</v>
      </c>
      <c r="M74" s="28">
        <f t="shared" si="9"/>
        <v>0</v>
      </c>
    </row>
    <row r="75" spans="1:13" s="2" customFormat="1" x14ac:dyDescent="0.35">
      <c r="A75" s="6" t="s">
        <v>4</v>
      </c>
      <c r="B75" s="30">
        <f>ROUND('[11]Changes FY17'!B75,-3)</f>
        <v>0</v>
      </c>
      <c r="C75" s="20">
        <f>ROUND('[11]Changes FY17'!C75,-3)</f>
        <v>0</v>
      </c>
      <c r="D75" s="20">
        <f>ROUND('[11]Changes FY17'!D75,-3)</f>
        <v>0</v>
      </c>
      <c r="E75" s="20">
        <f>ROUND('[11]Changes FY17'!E75,-3)</f>
        <v>0</v>
      </c>
      <c r="F75" s="20">
        <f>ROUND('[11]Changes FY17'!F75,-3)</f>
        <v>0</v>
      </c>
      <c r="G75" s="20">
        <f>ROUND('[11]Changes FY17'!G75,-3)</f>
        <v>0</v>
      </c>
      <c r="H75" s="20">
        <f>ROUND('[11]Changes FY17'!H75,-3)</f>
        <v>0</v>
      </c>
      <c r="I75" s="28">
        <f t="shared" si="8"/>
        <v>0</v>
      </c>
      <c r="J75" s="28"/>
      <c r="K75" s="29">
        <f>ROUND('[11]Changes FY17'!K75,-3)</f>
        <v>0</v>
      </c>
      <c r="L75" s="29">
        <f>ROUND('[11]Changes FY17'!L75,-3)</f>
        <v>0</v>
      </c>
      <c r="M75" s="28">
        <f t="shared" si="9"/>
        <v>0</v>
      </c>
    </row>
    <row r="76" spans="1:13" s="2" customFormat="1" x14ac:dyDescent="0.35">
      <c r="A76" s="6" t="s">
        <v>3</v>
      </c>
      <c r="B76" s="30">
        <f>ROUND('[11]Changes FY17'!B76,-3)</f>
        <v>0</v>
      </c>
      <c r="C76" s="20">
        <f>ROUND('[11]Changes FY17'!C76,-3)</f>
        <v>0</v>
      </c>
      <c r="D76" s="20">
        <f>ROUND('[11]Changes FY17'!D76,-3)</f>
        <v>0</v>
      </c>
      <c r="E76" s="20">
        <f>ROUND('[11]Changes FY17'!E76,-3)</f>
        <v>106380000</v>
      </c>
      <c r="F76" s="20">
        <f>ROUND('[11]Changes FY17'!F76,-3)</f>
        <v>0</v>
      </c>
      <c r="G76" s="20">
        <f>ROUND('[11]Changes FY17'!G76,-3)</f>
        <v>0</v>
      </c>
      <c r="H76" s="20">
        <f>ROUND('[11]Changes FY17'!H76,-3)</f>
        <v>0</v>
      </c>
      <c r="I76" s="28">
        <f t="shared" si="8"/>
        <v>106380000</v>
      </c>
      <c r="J76" s="28"/>
      <c r="K76" s="29">
        <f>ROUND('[11]Changes FY17'!K76,-3)</f>
        <v>0</v>
      </c>
      <c r="L76" s="29">
        <f>ROUND('[11]Changes FY17'!L76,-3)</f>
        <v>0</v>
      </c>
      <c r="M76" s="28">
        <f t="shared" si="9"/>
        <v>106380000</v>
      </c>
    </row>
    <row r="77" spans="1:13" s="2" customFormat="1" x14ac:dyDescent="0.35">
      <c r="A77" s="6" t="s">
        <v>2</v>
      </c>
      <c r="B77" s="30">
        <f>ROUND('[11]Changes FY17'!B77,-3)</f>
        <v>0</v>
      </c>
      <c r="C77" s="20">
        <f>ROUND('[11]Changes FY17'!C77,-3)</f>
        <v>0</v>
      </c>
      <c r="D77" s="20">
        <f>ROUND('[11]Changes FY17'!D77,-3)</f>
        <v>0</v>
      </c>
      <c r="E77" s="20">
        <f>ROUND('[11]Changes FY17'!E77,-3)</f>
        <v>0</v>
      </c>
      <c r="F77" s="20">
        <f>ROUND('[11]Changes FY17'!F77,-3)</f>
        <v>1150900000</v>
      </c>
      <c r="G77" s="20">
        <f>ROUND('[11]Changes FY17'!G77,-3)</f>
        <v>0</v>
      </c>
      <c r="H77" s="20">
        <f>ROUND('[11]Changes FY17'!H77,-3)</f>
        <v>0</v>
      </c>
      <c r="I77" s="28">
        <f t="shared" si="8"/>
        <v>1150900000</v>
      </c>
      <c r="J77" s="28"/>
      <c r="K77" s="29">
        <f>ROUND('[11]Changes FY17'!K77,-3)</f>
        <v>0</v>
      </c>
      <c r="L77" s="29">
        <f>ROUND('[11]Changes FY17'!L77,-3)</f>
        <v>0</v>
      </c>
      <c r="M77" s="28">
        <f t="shared" si="9"/>
        <v>1150900000</v>
      </c>
    </row>
    <row r="78" spans="1:13" s="2" customFormat="1" ht="12" thickBot="1" x14ac:dyDescent="0.45">
      <c r="A78" s="27"/>
      <c r="B78" s="26">
        <f t="shared" ref="B78:I78" si="10">SUM(B62:B77)</f>
        <v>0</v>
      </c>
      <c r="C78" s="25">
        <f t="shared" si="10"/>
        <v>-196625000</v>
      </c>
      <c r="D78" s="25">
        <f t="shared" si="10"/>
        <v>1473301000</v>
      </c>
      <c r="E78" s="25">
        <f t="shared" si="10"/>
        <v>332349000</v>
      </c>
      <c r="F78" s="25">
        <f t="shared" si="10"/>
        <v>1150900000</v>
      </c>
      <c r="G78" s="25">
        <f t="shared" si="10"/>
        <v>1404699000</v>
      </c>
      <c r="H78" s="25">
        <f t="shared" si="10"/>
        <v>-13409000</v>
      </c>
      <c r="I78" s="23">
        <f t="shared" si="10"/>
        <v>4151215000</v>
      </c>
      <c r="J78" s="24"/>
      <c r="K78" s="23">
        <f>SUM(K62:K77)</f>
        <v>2031393000</v>
      </c>
      <c r="L78" s="23">
        <f>SUM(L62:L77)</f>
        <v>2597610000</v>
      </c>
      <c r="M78" s="23">
        <f>SUM(M62:M77)</f>
        <v>8780218000</v>
      </c>
    </row>
    <row r="79" spans="1:13" s="2" customFormat="1" ht="10.7" thickTop="1" x14ac:dyDescent="0.35">
      <c r="A79" s="21" t="s">
        <v>1</v>
      </c>
      <c r="B79" s="19"/>
      <c r="C79" s="19"/>
      <c r="D79" s="19"/>
      <c r="E79" s="19"/>
      <c r="F79" s="19"/>
      <c r="G79" s="19"/>
      <c r="H79" s="19"/>
      <c r="I79" s="19"/>
      <c r="J79" s="20"/>
      <c r="K79" s="19"/>
      <c r="L79" s="19"/>
      <c r="M79" s="19"/>
    </row>
    <row r="80" spans="1:13" s="2" customFormat="1" x14ac:dyDescent="0.35">
      <c r="A80" s="2" t="s">
        <v>0</v>
      </c>
      <c r="B80" s="18">
        <f t="shared" ref="B80:M80" si="11">B58-B78</f>
        <v>0</v>
      </c>
      <c r="C80" s="18">
        <f t="shared" si="11"/>
        <v>0</v>
      </c>
      <c r="D80" s="18">
        <f t="shared" si="11"/>
        <v>0</v>
      </c>
      <c r="E80" s="18">
        <f t="shared" si="11"/>
        <v>0</v>
      </c>
      <c r="F80" s="18">
        <f t="shared" si="11"/>
        <v>0</v>
      </c>
      <c r="G80" s="18">
        <f t="shared" si="11"/>
        <v>0</v>
      </c>
      <c r="H80" s="18">
        <f t="shared" si="11"/>
        <v>0</v>
      </c>
      <c r="I80" s="18">
        <f t="shared" si="11"/>
        <v>0</v>
      </c>
      <c r="J80" s="18">
        <f t="shared" si="11"/>
        <v>0</v>
      </c>
      <c r="K80" s="18">
        <f t="shared" si="11"/>
        <v>0</v>
      </c>
      <c r="L80" s="18">
        <f t="shared" si="11"/>
        <v>0</v>
      </c>
      <c r="M80" s="18">
        <f t="shared" si="11"/>
        <v>0</v>
      </c>
    </row>
    <row r="81" spans="1:13" s="2" customFormat="1" x14ac:dyDescent="0.35"/>
    <row r="82" spans="1:13" s="2" customFormat="1" x14ac:dyDescent="0.35">
      <c r="D82" s="17"/>
    </row>
    <row r="83" spans="1:13" s="2" customFormat="1" x14ac:dyDescent="0.35">
      <c r="G83" s="14"/>
      <c r="H83" s="14"/>
      <c r="I83" s="14"/>
      <c r="J83" s="14"/>
      <c r="K83" s="14"/>
    </row>
    <row r="84" spans="1:13" s="2" customFormat="1" x14ac:dyDescent="0.35">
      <c r="G84" s="14"/>
      <c r="H84" s="16"/>
      <c r="I84" s="16"/>
      <c r="J84" s="14"/>
      <c r="K84" s="14"/>
    </row>
    <row r="85" spans="1:13" ht="11.1" customHeight="1" x14ac:dyDescent="0.35">
      <c r="A85" s="2"/>
      <c r="B85" s="2"/>
      <c r="C85" s="2"/>
      <c r="D85" s="2"/>
      <c r="E85" s="2"/>
      <c r="G85" s="15"/>
      <c r="H85" s="15"/>
      <c r="I85" s="15"/>
      <c r="J85" s="14"/>
      <c r="K85" s="15"/>
      <c r="L85" s="2"/>
      <c r="M85" s="2"/>
    </row>
    <row r="86" spans="1:13" x14ac:dyDescent="0.35">
      <c r="A86" s="2"/>
      <c r="B86" s="2"/>
      <c r="C86" s="2"/>
      <c r="D86" s="2"/>
      <c r="E86" s="2"/>
      <c r="G86" s="15"/>
      <c r="H86" s="15"/>
      <c r="I86" s="15"/>
      <c r="J86" s="14"/>
      <c r="K86" s="14"/>
      <c r="L86" s="2"/>
      <c r="M86" s="2"/>
    </row>
    <row r="87" spans="1:13" x14ac:dyDescent="0.35">
      <c r="A87" s="2"/>
      <c r="B87" s="2"/>
      <c r="C87" s="2"/>
      <c r="D87" s="2"/>
      <c r="E87" s="2"/>
      <c r="G87" s="15"/>
      <c r="H87" s="15"/>
      <c r="I87" s="15"/>
      <c r="J87" s="14"/>
      <c r="K87" s="15"/>
      <c r="L87" s="2"/>
      <c r="M87" s="2"/>
    </row>
    <row r="88" spans="1:13" ht="11.1" customHeight="1" x14ac:dyDescent="0.35">
      <c r="A88" s="2"/>
      <c r="B88" s="2"/>
      <c r="C88" s="2"/>
      <c r="D88" s="2"/>
      <c r="E88" s="2"/>
      <c r="G88" s="15"/>
      <c r="H88" s="15"/>
      <c r="I88" s="15"/>
      <c r="J88" s="14"/>
      <c r="K88" s="14"/>
      <c r="L88" s="2"/>
      <c r="M88" s="2"/>
    </row>
    <row r="89" spans="1:13" x14ac:dyDescent="0.35">
      <c r="A89" s="2"/>
      <c r="B89" s="2"/>
      <c r="C89" s="2"/>
      <c r="D89" s="2"/>
      <c r="E89" s="2"/>
      <c r="G89" s="15"/>
      <c r="H89" s="15"/>
      <c r="I89" s="15"/>
      <c r="J89" s="14"/>
      <c r="K89" s="14"/>
      <c r="L89" s="2"/>
      <c r="M89" s="2"/>
    </row>
    <row r="90" spans="1:13" x14ac:dyDescent="0.35">
      <c r="A90" s="2"/>
      <c r="B90" s="2"/>
      <c r="C90" s="2"/>
      <c r="D90" s="2"/>
      <c r="E90" s="2"/>
      <c r="K90" s="2"/>
      <c r="L90" s="2"/>
      <c r="M90" s="2"/>
    </row>
    <row r="91" spans="1:13" x14ac:dyDescent="0.35">
      <c r="A91" s="2"/>
      <c r="B91" s="2"/>
      <c r="C91" s="2"/>
      <c r="D91" s="2"/>
      <c r="E91" s="2"/>
      <c r="K91" s="2"/>
      <c r="L91" s="2"/>
      <c r="M91" s="2"/>
    </row>
    <row r="92" spans="1:13" x14ac:dyDescent="0.35">
      <c r="A92" s="2"/>
      <c r="B92" s="2"/>
      <c r="C92" s="2"/>
      <c r="D92" s="2"/>
      <c r="E92" s="2"/>
      <c r="K92" s="2"/>
      <c r="L92" s="2"/>
      <c r="M92" s="2"/>
    </row>
    <row r="93" spans="1:13" x14ac:dyDescent="0.35">
      <c r="A93" s="2"/>
      <c r="B93" s="2"/>
      <c r="C93" s="2"/>
      <c r="D93" s="2"/>
      <c r="E93" s="2"/>
      <c r="K93" s="2"/>
      <c r="L93" s="2"/>
      <c r="M93" s="2"/>
    </row>
    <row r="94" spans="1:13" x14ac:dyDescent="0.35">
      <c r="A94" s="2"/>
      <c r="B94" s="2"/>
      <c r="C94" s="2"/>
      <c r="D94" s="2"/>
      <c r="E94" s="2"/>
      <c r="K94" s="2"/>
      <c r="L94" s="2"/>
      <c r="M94" s="2"/>
    </row>
    <row r="95" spans="1:13" x14ac:dyDescent="0.35">
      <c r="A95" s="2"/>
      <c r="B95" s="2"/>
      <c r="C95" s="2"/>
      <c r="D95" s="2"/>
      <c r="E95" s="2"/>
      <c r="K95" s="2"/>
      <c r="L95" s="2"/>
      <c r="M95" s="2"/>
    </row>
    <row r="96" spans="1:13" x14ac:dyDescent="0.35">
      <c r="A96" s="2"/>
      <c r="B96" s="2"/>
      <c r="C96" s="2"/>
      <c r="D96" s="2"/>
      <c r="E96" s="2"/>
      <c r="K96" s="2"/>
      <c r="L96" s="2"/>
      <c r="M96" s="2"/>
    </row>
    <row r="97" spans="1:13" x14ac:dyDescent="0.35">
      <c r="A97" s="2"/>
      <c r="B97" s="2"/>
      <c r="C97" s="2"/>
      <c r="D97" s="2"/>
      <c r="E97" s="2"/>
      <c r="K97" s="2"/>
      <c r="L97" s="2"/>
      <c r="M97" s="2"/>
    </row>
    <row r="98" spans="1:13" x14ac:dyDescent="0.35">
      <c r="A98" s="2"/>
      <c r="B98" s="2"/>
      <c r="C98" s="2"/>
      <c r="D98" s="2"/>
      <c r="E98" s="2"/>
      <c r="K98" s="2"/>
      <c r="L98" s="2"/>
      <c r="M98" s="2"/>
    </row>
    <row r="99" spans="1:13" x14ac:dyDescent="0.35">
      <c r="A99" s="2"/>
      <c r="B99" s="2"/>
      <c r="C99" s="2"/>
      <c r="D99" s="2"/>
      <c r="E99" s="2"/>
      <c r="K99" s="2"/>
      <c r="L99" s="2"/>
      <c r="M99" s="2"/>
    </row>
    <row r="100" spans="1:13" x14ac:dyDescent="0.35">
      <c r="A100" s="2"/>
      <c r="B100" s="2"/>
      <c r="C100" s="2"/>
      <c r="D100" s="2"/>
      <c r="E100" s="2"/>
      <c r="K100" s="2"/>
      <c r="L100" s="2"/>
      <c r="M100" s="2"/>
    </row>
    <row r="101" spans="1:13" x14ac:dyDescent="0.35">
      <c r="A101" s="2"/>
      <c r="B101" s="2"/>
      <c r="C101" s="2"/>
      <c r="D101" s="2"/>
      <c r="E101" s="2"/>
      <c r="K101" s="2"/>
      <c r="L101" s="2"/>
      <c r="M101" s="2"/>
    </row>
    <row r="102" spans="1:13" x14ac:dyDescent="0.35">
      <c r="A102" s="2"/>
      <c r="B102" s="2"/>
      <c r="C102" s="2"/>
      <c r="D102" s="2"/>
      <c r="E102" s="2"/>
      <c r="K102" s="2"/>
      <c r="L102" s="2"/>
      <c r="M102" s="2"/>
    </row>
    <row r="103" spans="1:13" x14ac:dyDescent="0.35">
      <c r="A103" s="2"/>
      <c r="B103" s="2"/>
      <c r="C103" s="2"/>
      <c r="D103" s="2"/>
      <c r="E103" s="2"/>
      <c r="F103" s="5"/>
      <c r="G103" s="5"/>
      <c r="H103" s="5"/>
      <c r="I103" s="5"/>
      <c r="K103" s="2"/>
      <c r="L103" s="2"/>
      <c r="M103" s="2"/>
    </row>
    <row r="104" spans="1:13" x14ac:dyDescent="0.35">
      <c r="A104" s="2"/>
      <c r="B104" s="2"/>
      <c r="C104" s="2"/>
      <c r="D104" s="2"/>
      <c r="E104" s="2"/>
      <c r="F104" s="5"/>
      <c r="G104" s="5"/>
      <c r="H104" s="5"/>
      <c r="I104" s="5"/>
      <c r="K104" s="2"/>
      <c r="L104" s="2"/>
      <c r="M104" s="2"/>
    </row>
    <row r="105" spans="1:13" x14ac:dyDescent="0.35">
      <c r="A105" s="2"/>
      <c r="B105" s="2"/>
      <c r="C105" s="2"/>
      <c r="D105" s="2"/>
      <c r="E105" s="2"/>
      <c r="F105" s="2"/>
      <c r="G105" s="2"/>
      <c r="H105" s="2"/>
      <c r="I105" s="13"/>
      <c r="K105" s="2"/>
      <c r="L105" s="2"/>
      <c r="M105" s="2"/>
    </row>
    <row r="106" spans="1:13" x14ac:dyDescent="0.35">
      <c r="A106" s="2"/>
      <c r="B106" s="2"/>
      <c r="C106" s="2"/>
      <c r="D106" s="2"/>
      <c r="E106" s="2"/>
      <c r="F106" s="2"/>
      <c r="G106" s="2"/>
      <c r="H106" s="2"/>
      <c r="I106" s="13"/>
      <c r="K106" s="2"/>
      <c r="L106" s="2"/>
      <c r="M106" s="2"/>
    </row>
    <row r="107" spans="1:13" x14ac:dyDescent="0.35">
      <c r="A107" s="2"/>
      <c r="B107" s="2"/>
      <c r="C107" s="2"/>
      <c r="D107" s="2"/>
      <c r="E107" s="2"/>
      <c r="F107" s="2"/>
      <c r="G107" s="2"/>
      <c r="H107" s="2"/>
      <c r="K107" s="2"/>
      <c r="L107" s="2"/>
      <c r="M107" s="2"/>
    </row>
    <row r="108" spans="1:13" x14ac:dyDescent="0.35">
      <c r="A108" s="2"/>
      <c r="B108" s="2"/>
      <c r="C108" s="2"/>
      <c r="D108" s="2"/>
      <c r="E108" s="2"/>
      <c r="F108" s="2"/>
      <c r="G108" s="2"/>
      <c r="H108" s="2"/>
      <c r="I108" s="12"/>
      <c r="K108" s="2"/>
      <c r="L108" s="2"/>
      <c r="M108" s="2"/>
    </row>
    <row r="109" spans="1:13" x14ac:dyDescent="0.35">
      <c r="A109" s="2"/>
      <c r="B109" s="2"/>
      <c r="C109" s="2"/>
      <c r="D109" s="2"/>
      <c r="E109" s="2"/>
      <c r="F109" s="2"/>
      <c r="G109" s="2"/>
      <c r="H109" s="2"/>
      <c r="I109" s="12"/>
      <c r="K109" s="2"/>
      <c r="L109" s="2"/>
      <c r="M109" s="2"/>
    </row>
    <row r="110" spans="1:13" x14ac:dyDescent="0.35">
      <c r="A110" s="2"/>
      <c r="B110" s="2"/>
      <c r="C110" s="2"/>
      <c r="D110" s="2"/>
      <c r="E110" s="2"/>
      <c r="F110" s="2"/>
      <c r="G110" s="2"/>
      <c r="H110" s="2"/>
      <c r="I110" s="12"/>
      <c r="K110" s="2"/>
      <c r="L110" s="2"/>
      <c r="M110" s="2"/>
    </row>
    <row r="111" spans="1:13" x14ac:dyDescent="0.35">
      <c r="A111" s="2"/>
      <c r="B111" s="2"/>
      <c r="C111" s="2"/>
      <c r="D111" s="2"/>
      <c r="E111" s="2"/>
      <c r="F111" s="2"/>
      <c r="G111" s="2"/>
      <c r="H111" s="2"/>
      <c r="I111" s="12"/>
      <c r="K111" s="2"/>
      <c r="L111" s="2"/>
      <c r="M111" s="2"/>
    </row>
    <row r="112" spans="1:13" ht="11.1" customHeight="1" x14ac:dyDescent="0.35">
      <c r="A112" s="2"/>
      <c r="B112" s="2"/>
      <c r="C112" s="2"/>
      <c r="D112" s="2"/>
      <c r="E112" s="2"/>
      <c r="F112" s="2"/>
      <c r="G112" s="2"/>
      <c r="H112" s="2"/>
      <c r="I112" s="12"/>
      <c r="K112" s="2"/>
      <c r="L112" s="2"/>
      <c r="M112" s="2"/>
    </row>
    <row r="113" spans="1:13" ht="11.1" customHeight="1" x14ac:dyDescent="0.35">
      <c r="A113" s="2"/>
      <c r="B113" s="2"/>
      <c r="C113" s="2"/>
      <c r="D113" s="2"/>
      <c r="E113" s="2"/>
      <c r="F113" s="2"/>
      <c r="G113" s="2"/>
      <c r="H113" s="2"/>
      <c r="I113" s="12"/>
      <c r="K113" s="2"/>
      <c r="L113" s="2"/>
      <c r="M113" s="2"/>
    </row>
    <row r="114" spans="1:13" ht="11.1" customHeight="1" x14ac:dyDescent="0.35">
      <c r="A114" s="2"/>
      <c r="B114" s="2"/>
      <c r="C114" s="2"/>
      <c r="D114" s="2"/>
      <c r="E114" s="2"/>
      <c r="F114" s="2"/>
      <c r="G114" s="2"/>
      <c r="H114" s="2"/>
      <c r="I114" s="12"/>
      <c r="K114" s="2"/>
      <c r="L114" s="2"/>
      <c r="M114" s="2"/>
    </row>
    <row r="115" spans="1:13" ht="11.1" customHeight="1" x14ac:dyDescent="0.35">
      <c r="A115" s="2"/>
      <c r="B115" s="2"/>
      <c r="C115" s="2"/>
      <c r="D115" s="2"/>
      <c r="E115" s="2"/>
      <c r="F115" s="2"/>
      <c r="G115" s="2"/>
      <c r="H115" s="2"/>
      <c r="I115" s="12"/>
      <c r="K115" s="2"/>
      <c r="L115" s="2"/>
      <c r="M115" s="2"/>
    </row>
    <row r="116" spans="1:13" ht="2.1" customHeight="1" x14ac:dyDescent="0.35">
      <c r="A116" s="2"/>
      <c r="B116" s="2"/>
      <c r="C116" s="2"/>
      <c r="D116" s="2"/>
      <c r="E116" s="2"/>
      <c r="F116" s="2"/>
      <c r="G116" s="2"/>
      <c r="H116" s="2"/>
      <c r="I116" s="12"/>
      <c r="K116" s="2"/>
      <c r="L116" s="2"/>
      <c r="M116" s="2"/>
    </row>
    <row r="117" spans="1:13" x14ac:dyDescent="0.35">
      <c r="A117" s="2"/>
      <c r="B117" s="2"/>
      <c r="C117" s="2"/>
      <c r="D117" s="2"/>
      <c r="E117" s="2"/>
      <c r="F117" s="2"/>
      <c r="G117" s="2"/>
      <c r="H117" s="2"/>
      <c r="I117" s="12"/>
      <c r="K117" s="2"/>
      <c r="L117" s="2"/>
      <c r="M117" s="2"/>
    </row>
    <row r="118" spans="1:13" x14ac:dyDescent="0.35">
      <c r="A118" s="2"/>
      <c r="B118" s="2"/>
      <c r="C118" s="2"/>
      <c r="D118" s="2"/>
      <c r="E118" s="2"/>
      <c r="F118" s="2"/>
      <c r="G118" s="2"/>
      <c r="H118" s="2"/>
      <c r="I118" s="2"/>
      <c r="K118" s="2"/>
      <c r="L118" s="2"/>
      <c r="M118" s="2"/>
    </row>
    <row r="119" spans="1:13" x14ac:dyDescent="0.35">
      <c r="A119" s="2"/>
      <c r="B119" s="2"/>
      <c r="C119" s="2"/>
      <c r="D119" s="2"/>
      <c r="E119" s="2"/>
      <c r="F119" s="2"/>
      <c r="G119" s="2"/>
      <c r="H119" s="2"/>
      <c r="I119" s="2"/>
      <c r="K119" s="2"/>
      <c r="L119" s="2"/>
      <c r="M119" s="2"/>
    </row>
    <row r="120" spans="1:13" x14ac:dyDescent="0.35">
      <c r="A120" s="2"/>
      <c r="B120" s="2"/>
      <c r="C120" s="2"/>
      <c r="D120" s="2"/>
      <c r="E120" s="2"/>
      <c r="F120" s="2"/>
      <c r="G120" s="2"/>
      <c r="H120" s="2"/>
      <c r="I120" s="2"/>
      <c r="K120" s="2"/>
      <c r="L120" s="2"/>
      <c r="M120" s="2"/>
    </row>
    <row r="121" spans="1:13" x14ac:dyDescent="0.35">
      <c r="A121" s="2"/>
      <c r="B121" s="2"/>
      <c r="C121" s="2"/>
      <c r="D121" s="2"/>
      <c r="E121" s="2"/>
      <c r="F121" s="2"/>
      <c r="G121" s="2"/>
      <c r="H121" s="2"/>
      <c r="I121" s="2"/>
      <c r="K121" s="2"/>
      <c r="L121" s="2"/>
      <c r="M121" s="2"/>
    </row>
    <row r="122" spans="1:13" x14ac:dyDescent="0.35">
      <c r="A122" s="2"/>
      <c r="B122" s="2"/>
      <c r="C122" s="2"/>
      <c r="D122" s="2"/>
      <c r="E122" s="2"/>
      <c r="F122" s="2"/>
      <c r="G122" s="2"/>
      <c r="H122" s="2"/>
      <c r="I122" s="2"/>
      <c r="K122" s="2"/>
      <c r="L122" s="2"/>
      <c r="M122" s="2"/>
    </row>
    <row r="123" spans="1:13" x14ac:dyDescent="0.35">
      <c r="A123" s="2"/>
      <c r="B123" s="2"/>
      <c r="C123" s="2"/>
      <c r="D123" s="2"/>
      <c r="E123" s="2"/>
      <c r="F123" s="2"/>
      <c r="G123" s="2"/>
      <c r="H123" s="2"/>
      <c r="I123" s="2"/>
      <c r="K123" s="2"/>
      <c r="L123" s="2"/>
      <c r="M123" s="2"/>
    </row>
    <row r="124" spans="1:13" x14ac:dyDescent="0.35">
      <c r="A124" s="2"/>
      <c r="B124" s="2"/>
      <c r="C124" s="2"/>
      <c r="D124" s="2"/>
      <c r="E124" s="2"/>
      <c r="F124" s="2"/>
      <c r="G124" s="2"/>
      <c r="H124" s="2"/>
      <c r="I124" s="2"/>
      <c r="K124" s="2"/>
      <c r="L124" s="2"/>
      <c r="M124" s="2"/>
    </row>
    <row r="125" spans="1:13" x14ac:dyDescent="0.35">
      <c r="A125" s="2"/>
      <c r="B125" s="2"/>
      <c r="C125" s="2"/>
      <c r="D125" s="2"/>
      <c r="E125" s="2"/>
      <c r="F125" s="2"/>
      <c r="G125" s="2"/>
      <c r="H125" s="2"/>
      <c r="I125" s="2"/>
      <c r="K125" s="2"/>
      <c r="L125" s="2"/>
      <c r="M125" s="2"/>
    </row>
    <row r="126" spans="1:13" x14ac:dyDescent="0.35">
      <c r="A126" s="2"/>
      <c r="B126" s="2"/>
      <c r="C126" s="2"/>
      <c r="D126" s="2"/>
      <c r="E126" s="2"/>
      <c r="F126" s="2"/>
      <c r="G126" s="2"/>
      <c r="H126" s="2"/>
      <c r="I126" s="2"/>
      <c r="K126" s="2"/>
      <c r="L126" s="2"/>
      <c r="M126" s="2"/>
    </row>
    <row r="127" spans="1:13" x14ac:dyDescent="0.35">
      <c r="A127" s="2"/>
      <c r="B127" s="2"/>
      <c r="C127" s="2"/>
      <c r="D127" s="2"/>
      <c r="E127" s="2"/>
      <c r="F127" s="2"/>
      <c r="G127" s="2"/>
      <c r="H127" s="2"/>
      <c r="I127" s="2"/>
      <c r="K127" s="2"/>
      <c r="L127" s="2"/>
      <c r="M127" s="2"/>
    </row>
    <row r="128" spans="1:13" x14ac:dyDescent="0.35">
      <c r="A128" s="2"/>
      <c r="B128" s="2"/>
      <c r="C128" s="2"/>
      <c r="D128" s="2"/>
      <c r="E128" s="2"/>
      <c r="F128" s="2"/>
      <c r="G128" s="2"/>
      <c r="H128" s="2"/>
      <c r="I128" s="2"/>
      <c r="K128" s="2"/>
      <c r="L128" s="2"/>
      <c r="M128" s="2"/>
    </row>
    <row r="129" spans="1:225" x14ac:dyDescent="0.35">
      <c r="A129" s="2"/>
      <c r="B129" s="2"/>
      <c r="C129" s="2"/>
      <c r="D129" s="2"/>
      <c r="E129" s="2"/>
      <c r="F129" s="2"/>
      <c r="G129" s="2"/>
      <c r="H129" s="2"/>
      <c r="I129" s="2"/>
      <c r="K129" s="2"/>
      <c r="L129" s="2"/>
      <c r="M129" s="2"/>
    </row>
    <row r="130" spans="1:225" x14ac:dyDescent="0.35">
      <c r="A130" s="2"/>
      <c r="B130" s="2"/>
      <c r="C130" s="2"/>
      <c r="D130" s="2"/>
      <c r="E130" s="2"/>
      <c r="F130" s="2"/>
      <c r="G130" s="2"/>
      <c r="H130" s="2"/>
      <c r="I130" s="2"/>
      <c r="K130" s="2"/>
      <c r="L130" s="2"/>
      <c r="M130" s="2"/>
    </row>
    <row r="131" spans="1:225" x14ac:dyDescent="0.35">
      <c r="A131" s="2"/>
      <c r="B131" s="2"/>
      <c r="C131" s="2"/>
      <c r="D131" s="2"/>
      <c r="E131" s="2"/>
      <c r="F131" s="2"/>
      <c r="G131" s="2"/>
      <c r="H131" s="2"/>
      <c r="I131" s="2"/>
      <c r="K131" s="2"/>
      <c r="L131" s="2"/>
      <c r="M131" s="2"/>
    </row>
    <row r="132" spans="1:225" x14ac:dyDescent="0.35">
      <c r="A132" s="2"/>
      <c r="B132" s="2"/>
      <c r="C132" s="2"/>
      <c r="D132" s="2"/>
      <c r="E132" s="2"/>
      <c r="F132" s="2"/>
      <c r="G132" s="2"/>
      <c r="H132" s="2"/>
      <c r="I132" s="2"/>
      <c r="K132" s="2"/>
      <c r="L132" s="2"/>
      <c r="M132" s="2"/>
    </row>
    <row r="133" spans="1:225" x14ac:dyDescent="0.35">
      <c r="A133" s="2"/>
      <c r="B133" s="2"/>
      <c r="C133" s="2"/>
      <c r="D133" s="2"/>
      <c r="E133" s="2"/>
      <c r="F133" s="2"/>
      <c r="G133" s="2"/>
      <c r="H133" s="2"/>
      <c r="I133" s="2"/>
      <c r="K133" s="2"/>
      <c r="L133" s="2"/>
      <c r="M133" s="2"/>
    </row>
    <row r="134" spans="1:225" x14ac:dyDescent="0.35">
      <c r="A134" s="2"/>
      <c r="B134" s="2"/>
      <c r="C134" s="2"/>
      <c r="D134" s="2"/>
      <c r="E134" s="2"/>
      <c r="F134" s="2"/>
      <c r="G134" s="2"/>
      <c r="H134" s="2"/>
      <c r="I134" s="2"/>
      <c r="K134" s="2"/>
      <c r="L134" s="2"/>
      <c r="M134" s="2"/>
    </row>
    <row r="135" spans="1:225" x14ac:dyDescent="0.35">
      <c r="A135" s="2"/>
      <c r="B135" s="2"/>
      <c r="C135" s="2"/>
      <c r="D135" s="2"/>
      <c r="E135" s="2"/>
      <c r="F135" s="2"/>
      <c r="G135" s="2"/>
      <c r="H135" s="2"/>
      <c r="I135" s="2"/>
      <c r="K135" s="2"/>
      <c r="L135" s="2"/>
      <c r="M135" s="2"/>
    </row>
    <row r="136" spans="1:225" x14ac:dyDescent="0.35">
      <c r="A136" s="2"/>
      <c r="B136" s="2"/>
      <c r="C136" s="2"/>
      <c r="D136" s="2"/>
      <c r="E136" s="2"/>
      <c r="F136" s="2"/>
      <c r="G136" s="2"/>
      <c r="H136" s="2"/>
      <c r="I136" s="2"/>
      <c r="K136" s="2"/>
      <c r="L136" s="2"/>
      <c r="M136" s="2"/>
    </row>
    <row r="137" spans="1:225" x14ac:dyDescent="0.35">
      <c r="A137" s="2"/>
      <c r="B137" s="2"/>
      <c r="C137" s="2"/>
      <c r="D137" s="2"/>
      <c r="E137" s="2"/>
      <c r="F137" s="2"/>
      <c r="G137" s="2"/>
      <c r="H137" s="2"/>
      <c r="I137" s="2"/>
      <c r="K137" s="2"/>
      <c r="L137" s="2"/>
      <c r="M137" s="2"/>
    </row>
    <row r="138" spans="1:225" x14ac:dyDescent="0.35">
      <c r="A138" s="2"/>
      <c r="B138" s="2"/>
      <c r="C138" s="2"/>
      <c r="D138" s="2"/>
      <c r="E138" s="2"/>
      <c r="F138" s="2"/>
      <c r="G138" s="2"/>
      <c r="H138" s="2"/>
      <c r="I138" s="2"/>
      <c r="K138" s="2"/>
      <c r="L138" s="2"/>
      <c r="M138" s="2"/>
    </row>
    <row r="139" spans="1:225" x14ac:dyDescent="0.35">
      <c r="A139" s="2"/>
      <c r="B139" s="2"/>
      <c r="C139" s="2"/>
      <c r="D139" s="2"/>
      <c r="E139" s="2"/>
      <c r="F139" s="2"/>
      <c r="G139" s="2"/>
      <c r="H139" s="2"/>
      <c r="I139" s="2"/>
      <c r="K139" s="2"/>
      <c r="L139" s="2"/>
      <c r="M139" s="2"/>
    </row>
    <row r="140" spans="1:225" x14ac:dyDescent="0.35">
      <c r="A140" s="2"/>
      <c r="B140" s="2"/>
      <c r="C140" s="2"/>
      <c r="D140" s="2"/>
      <c r="E140" s="2"/>
      <c r="F140" s="2"/>
      <c r="G140" s="2"/>
      <c r="H140" s="2"/>
      <c r="I140" s="2"/>
      <c r="K140" s="2"/>
      <c r="L140" s="2"/>
      <c r="M140" s="2"/>
    </row>
    <row r="141" spans="1:225" x14ac:dyDescent="0.35">
      <c r="A141" s="2"/>
      <c r="B141" s="2"/>
      <c r="C141" s="2"/>
      <c r="D141" s="2"/>
      <c r="E141" s="2"/>
      <c r="F141" s="2"/>
      <c r="G141" s="2"/>
      <c r="H141" s="2"/>
      <c r="I141" s="2"/>
      <c r="K141" s="2"/>
      <c r="L141" s="2"/>
      <c r="M141" s="2"/>
    </row>
    <row r="142" spans="1:225" x14ac:dyDescent="0.35">
      <c r="A142" s="2"/>
      <c r="B142" s="2"/>
      <c r="C142" s="2"/>
      <c r="D142" s="2"/>
      <c r="E142" s="2"/>
      <c r="F142" s="2"/>
      <c r="G142" s="2"/>
      <c r="H142" s="2"/>
      <c r="I142" s="2"/>
      <c r="K142" s="2"/>
      <c r="L142" s="2"/>
      <c r="M142" s="2"/>
    </row>
    <row r="143" spans="1:225" x14ac:dyDescent="0.35">
      <c r="A143" s="2"/>
      <c r="B143" s="2"/>
      <c r="C143" s="2"/>
      <c r="D143" s="2"/>
      <c r="E143" s="2"/>
      <c r="F143" s="2"/>
      <c r="G143" s="2"/>
      <c r="H143" s="2"/>
      <c r="I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</row>
    <row r="144" spans="1:225" x14ac:dyDescent="0.35">
      <c r="A144" s="2"/>
      <c r="B144" s="2"/>
      <c r="C144" s="2"/>
      <c r="D144" s="2"/>
      <c r="E144" s="2"/>
      <c r="F144" s="2"/>
      <c r="G144" s="2"/>
      <c r="H144" s="2"/>
      <c r="I144" s="2"/>
      <c r="K144" s="2"/>
      <c r="L144" s="2"/>
      <c r="M144" s="2"/>
    </row>
    <row r="145" spans="1:225" x14ac:dyDescent="0.35">
      <c r="A145" s="2"/>
      <c r="B145" s="2"/>
      <c r="C145" s="2"/>
      <c r="D145" s="2"/>
      <c r="E145" s="2"/>
      <c r="F145" s="2"/>
      <c r="G145" s="2"/>
      <c r="H145" s="2"/>
      <c r="I145" s="2"/>
      <c r="K145" s="2"/>
      <c r="L145" s="2"/>
      <c r="M145" s="2"/>
    </row>
    <row r="146" spans="1:225" x14ac:dyDescent="0.35">
      <c r="A146" s="2"/>
      <c r="B146" s="2"/>
      <c r="C146" s="2"/>
      <c r="D146" s="2"/>
      <c r="E146" s="2"/>
      <c r="F146" s="2"/>
      <c r="G146" s="2"/>
      <c r="H146" s="2"/>
      <c r="I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Q146" s="2"/>
    </row>
    <row r="147" spans="1:225" x14ac:dyDescent="0.35">
      <c r="A147" s="2"/>
      <c r="B147" s="2"/>
      <c r="C147" s="2"/>
      <c r="D147" s="2"/>
      <c r="E147" s="2"/>
      <c r="F147" s="2"/>
      <c r="G147" s="2"/>
      <c r="H147" s="2"/>
      <c r="I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</row>
    <row r="148" spans="1:225" x14ac:dyDescent="0.35">
      <c r="A148" s="2"/>
      <c r="B148" s="2"/>
      <c r="C148" s="2"/>
      <c r="D148" s="2"/>
      <c r="E148" s="2"/>
      <c r="F148" s="2"/>
      <c r="G148" s="2"/>
      <c r="H148" s="2"/>
      <c r="I148" s="2"/>
      <c r="K148" s="2"/>
      <c r="L148" s="2"/>
      <c r="M148" s="2"/>
    </row>
    <row r="149" spans="1:225" x14ac:dyDescent="0.35">
      <c r="A149" s="2"/>
      <c r="B149" s="2"/>
      <c r="C149" s="2"/>
      <c r="D149" s="2"/>
      <c r="E149" s="2"/>
      <c r="F149" s="2"/>
      <c r="G149" s="2"/>
      <c r="H149" s="2"/>
      <c r="I149" s="2"/>
      <c r="K149" s="2"/>
      <c r="L149" s="2"/>
      <c r="M149" s="2"/>
    </row>
    <row r="150" spans="1:225" x14ac:dyDescent="0.35">
      <c r="A150" s="2"/>
      <c r="B150" s="2"/>
      <c r="C150" s="2"/>
      <c r="D150" s="2"/>
      <c r="E150" s="2"/>
      <c r="F150" s="2"/>
      <c r="G150" s="2"/>
      <c r="H150" s="2"/>
      <c r="I150" s="2"/>
      <c r="K150" s="2"/>
      <c r="L150" s="2"/>
      <c r="M150" s="2"/>
    </row>
    <row r="151" spans="1:225" x14ac:dyDescent="0.35">
      <c r="A151" s="2"/>
      <c r="B151" s="2"/>
      <c r="C151" s="2"/>
      <c r="D151" s="2"/>
      <c r="E151" s="2"/>
      <c r="F151" s="2"/>
      <c r="G151" s="2"/>
      <c r="H151" s="2"/>
      <c r="I151" s="2"/>
      <c r="K151" s="2"/>
      <c r="L151" s="2"/>
      <c r="M151" s="2"/>
    </row>
    <row r="152" spans="1:225" x14ac:dyDescent="0.35">
      <c r="A152" s="2"/>
      <c r="B152" s="2"/>
      <c r="C152" s="2"/>
      <c r="D152" s="2"/>
      <c r="E152" s="2"/>
      <c r="F152" s="2"/>
      <c r="G152" s="2"/>
      <c r="H152" s="2"/>
      <c r="I152" s="2"/>
      <c r="K152" s="2"/>
      <c r="L152" s="2"/>
      <c r="M152" s="2"/>
    </row>
    <row r="153" spans="1:225" x14ac:dyDescent="0.35">
      <c r="A153" s="2"/>
      <c r="B153" s="2"/>
      <c r="C153" s="2"/>
      <c r="D153" s="2"/>
      <c r="E153" s="2"/>
      <c r="F153" s="2"/>
      <c r="G153" s="2"/>
      <c r="H153" s="2"/>
      <c r="I153" s="2"/>
      <c r="K153" s="2"/>
      <c r="L153" s="2"/>
      <c r="M153" s="2"/>
    </row>
    <row r="154" spans="1:225" x14ac:dyDescent="0.35">
      <c r="A154" s="2"/>
      <c r="B154" s="2"/>
      <c r="C154" s="2"/>
      <c r="D154" s="2"/>
      <c r="E154" s="2"/>
      <c r="F154" s="2"/>
      <c r="G154" s="2"/>
      <c r="H154" s="2"/>
      <c r="I154" s="2"/>
      <c r="K154" s="2"/>
      <c r="L154" s="2"/>
      <c r="M154" s="2"/>
    </row>
    <row r="155" spans="1:225" x14ac:dyDescent="0.35">
      <c r="A155" s="2"/>
      <c r="B155" s="2"/>
      <c r="C155" s="2"/>
      <c r="D155" s="2"/>
      <c r="E155" s="2"/>
      <c r="F155" s="2"/>
      <c r="G155" s="2"/>
      <c r="H155" s="2"/>
      <c r="I155" s="2"/>
      <c r="K155" s="2"/>
      <c r="L155" s="2"/>
      <c r="M155" s="2"/>
    </row>
    <row r="156" spans="1:225" x14ac:dyDescent="0.35">
      <c r="A156" s="2"/>
      <c r="B156" s="2"/>
      <c r="C156" s="2"/>
      <c r="D156" s="2"/>
      <c r="E156" s="2"/>
      <c r="F156" s="2"/>
      <c r="G156" s="2"/>
      <c r="H156" s="2"/>
      <c r="I156" s="2"/>
      <c r="K156" s="2"/>
      <c r="L156" s="2"/>
      <c r="M156" s="2"/>
    </row>
    <row r="157" spans="1:225" x14ac:dyDescent="0.35">
      <c r="A157" s="2"/>
      <c r="B157" s="2"/>
      <c r="C157" s="2"/>
      <c r="D157" s="2"/>
      <c r="E157" s="2"/>
      <c r="F157" s="2"/>
      <c r="G157" s="2"/>
      <c r="H157" s="2"/>
      <c r="I157" s="2"/>
      <c r="K157" s="2"/>
      <c r="L157" s="2"/>
      <c r="M157" s="2"/>
    </row>
    <row r="158" spans="1:225" x14ac:dyDescent="0.35">
      <c r="A158" s="2"/>
      <c r="B158" s="2"/>
      <c r="C158" s="2"/>
      <c r="D158" s="2"/>
      <c r="E158" s="2"/>
      <c r="F158" s="2"/>
      <c r="G158" s="2"/>
      <c r="H158" s="2"/>
      <c r="I158" s="2"/>
      <c r="K158" s="2"/>
      <c r="L158" s="2"/>
      <c r="M158" s="2"/>
    </row>
    <row r="159" spans="1:225" x14ac:dyDescent="0.35">
      <c r="A159" s="2"/>
      <c r="B159" s="2"/>
      <c r="C159" s="2"/>
      <c r="D159" s="2"/>
      <c r="E159" s="2"/>
      <c r="F159" s="2"/>
      <c r="G159" s="2"/>
      <c r="H159" s="2"/>
      <c r="I159" s="2"/>
      <c r="K159" s="2"/>
      <c r="L159" s="2"/>
      <c r="M159" s="2"/>
    </row>
    <row r="160" spans="1:225" x14ac:dyDescent="0.35">
      <c r="A160" s="2"/>
      <c r="B160" s="2"/>
      <c r="C160" s="2"/>
      <c r="D160" s="2"/>
      <c r="E160" s="2"/>
      <c r="F160" s="2"/>
      <c r="G160" s="2"/>
      <c r="H160" s="2"/>
      <c r="I160" s="2"/>
      <c r="K160" s="2"/>
      <c r="L160" s="2"/>
      <c r="M160" s="2"/>
    </row>
    <row r="161" spans="1:13" x14ac:dyDescent="0.35">
      <c r="A161" s="2"/>
      <c r="B161" s="2"/>
      <c r="C161" s="2"/>
      <c r="D161" s="2"/>
      <c r="E161" s="2"/>
      <c r="F161" s="2"/>
      <c r="G161" s="2"/>
      <c r="H161" s="2"/>
      <c r="I161" s="2"/>
      <c r="K161" s="2"/>
      <c r="L161" s="2"/>
      <c r="M161" s="2"/>
    </row>
    <row r="162" spans="1:13" x14ac:dyDescent="0.35">
      <c r="A162" s="2"/>
      <c r="B162" s="2"/>
      <c r="C162" s="2"/>
      <c r="D162" s="2"/>
      <c r="E162" s="2"/>
      <c r="F162" s="2"/>
      <c r="G162" s="2"/>
      <c r="H162" s="2"/>
      <c r="I162" s="2"/>
      <c r="K162" s="2"/>
      <c r="L162" s="2"/>
      <c r="M162" s="2"/>
    </row>
    <row r="163" spans="1:13" x14ac:dyDescent="0.35">
      <c r="A163" s="2"/>
      <c r="B163" s="2"/>
      <c r="C163" s="2"/>
      <c r="D163" s="2"/>
      <c r="E163" s="2"/>
      <c r="F163" s="2"/>
      <c r="G163" s="2"/>
      <c r="H163" s="2"/>
      <c r="I163" s="2"/>
      <c r="K163" s="2"/>
      <c r="L163" s="2"/>
      <c r="M163" s="2"/>
    </row>
    <row r="164" spans="1:13" x14ac:dyDescent="0.35">
      <c r="A164" s="2"/>
      <c r="B164" s="2"/>
      <c r="C164" s="2"/>
      <c r="D164" s="2"/>
      <c r="E164" s="2"/>
      <c r="F164" s="2"/>
      <c r="G164" s="2"/>
      <c r="H164" s="2"/>
      <c r="I164" s="2"/>
      <c r="K164" s="2"/>
      <c r="L164" s="2"/>
      <c r="M164" s="2"/>
    </row>
    <row r="165" spans="1:13" x14ac:dyDescent="0.35">
      <c r="A165" s="2"/>
      <c r="B165" s="2"/>
      <c r="C165" s="2"/>
      <c r="D165" s="2"/>
      <c r="E165" s="2"/>
      <c r="F165" s="2"/>
      <c r="G165" s="2"/>
      <c r="H165" s="2"/>
      <c r="I165" s="2"/>
      <c r="K165" s="2"/>
      <c r="L165" s="2"/>
      <c r="M165" s="2"/>
    </row>
    <row r="166" spans="1:13" x14ac:dyDescent="0.35">
      <c r="A166" s="2"/>
      <c r="B166" s="2"/>
      <c r="C166" s="2"/>
      <c r="D166" s="2"/>
      <c r="E166" s="2"/>
      <c r="F166" s="2"/>
      <c r="G166" s="2"/>
      <c r="H166" s="2"/>
      <c r="I166" s="2"/>
      <c r="K166" s="2"/>
      <c r="L166" s="2"/>
      <c r="M166" s="2"/>
    </row>
    <row r="167" spans="1:13" x14ac:dyDescent="0.35">
      <c r="A167" s="2"/>
      <c r="B167" s="2"/>
      <c r="C167" s="2"/>
      <c r="D167" s="2"/>
      <c r="E167" s="2"/>
      <c r="F167" s="2"/>
      <c r="G167" s="2"/>
      <c r="H167" s="2"/>
      <c r="I167" s="2"/>
      <c r="K167" s="2"/>
      <c r="L167" s="2"/>
      <c r="M167" s="2"/>
    </row>
    <row r="168" spans="1:13" x14ac:dyDescent="0.35">
      <c r="A168" s="2"/>
      <c r="B168" s="2"/>
      <c r="C168" s="2"/>
      <c r="D168" s="2"/>
      <c r="E168" s="2"/>
      <c r="F168" s="2"/>
      <c r="G168" s="2"/>
      <c r="H168" s="2"/>
      <c r="I168" s="2"/>
      <c r="K168" s="2"/>
      <c r="L168" s="2"/>
      <c r="M168" s="2"/>
    </row>
    <row r="169" spans="1:13" x14ac:dyDescent="0.35">
      <c r="A169" s="2"/>
      <c r="B169" s="2"/>
      <c r="C169" s="2"/>
      <c r="D169" s="2"/>
      <c r="E169" s="2"/>
      <c r="F169" s="2"/>
      <c r="G169" s="2"/>
      <c r="H169" s="2"/>
      <c r="I169" s="2"/>
      <c r="K169" s="2"/>
      <c r="L169" s="2"/>
      <c r="M169" s="2"/>
    </row>
    <row r="170" spans="1:13" x14ac:dyDescent="0.35">
      <c r="A170" s="2"/>
      <c r="B170" s="2"/>
      <c r="C170" s="2"/>
      <c r="D170" s="2"/>
      <c r="E170" s="2"/>
      <c r="F170" s="2"/>
      <c r="G170" s="2"/>
      <c r="H170" s="2"/>
      <c r="I170" s="2"/>
      <c r="K170" s="2"/>
      <c r="L170" s="2"/>
      <c r="M170" s="2"/>
    </row>
    <row r="171" spans="1:13" x14ac:dyDescent="0.35">
      <c r="A171" s="2"/>
      <c r="B171" s="2"/>
      <c r="C171" s="2"/>
      <c r="D171" s="2"/>
      <c r="E171" s="2"/>
      <c r="F171" s="2"/>
      <c r="G171" s="2"/>
      <c r="H171" s="2"/>
      <c r="I171" s="2"/>
      <c r="K171" s="2"/>
      <c r="L171" s="2"/>
      <c r="M171" s="2"/>
    </row>
    <row r="172" spans="1:13" x14ac:dyDescent="0.35">
      <c r="A172" s="2"/>
      <c r="B172" s="2"/>
      <c r="C172" s="2"/>
      <c r="D172" s="2"/>
      <c r="E172" s="2"/>
      <c r="F172" s="2"/>
      <c r="G172" s="2"/>
      <c r="H172" s="2"/>
      <c r="I172" s="2"/>
      <c r="K172" s="2"/>
      <c r="L172" s="2"/>
      <c r="M172" s="2"/>
    </row>
    <row r="173" spans="1:13" x14ac:dyDescent="0.35">
      <c r="A173" s="2"/>
      <c r="B173" s="2"/>
      <c r="C173" s="2"/>
      <c r="D173" s="2"/>
      <c r="E173" s="2"/>
      <c r="F173" s="2"/>
      <c r="G173" s="2"/>
      <c r="H173" s="2"/>
      <c r="I173" s="2"/>
      <c r="K173" s="2"/>
      <c r="L173" s="2"/>
      <c r="M173" s="2"/>
    </row>
    <row r="174" spans="1:13" x14ac:dyDescent="0.35">
      <c r="A174" s="2"/>
      <c r="B174" s="2"/>
      <c r="C174" s="2"/>
      <c r="D174" s="2"/>
      <c r="E174" s="2"/>
      <c r="F174" s="2"/>
      <c r="G174" s="2"/>
      <c r="H174" s="2"/>
      <c r="I174" s="2"/>
      <c r="K174" s="2"/>
      <c r="L174" s="2"/>
      <c r="M174" s="2"/>
    </row>
    <row r="175" spans="1:13" x14ac:dyDescent="0.35">
      <c r="A175" s="2"/>
      <c r="B175" s="2"/>
      <c r="C175" s="2"/>
      <c r="D175" s="2"/>
      <c r="E175" s="2"/>
      <c r="F175" s="2"/>
      <c r="G175" s="2"/>
      <c r="H175" s="2"/>
      <c r="I175" s="2"/>
      <c r="K175" s="2"/>
      <c r="L175" s="2"/>
      <c r="M175" s="2"/>
    </row>
    <row r="176" spans="1:13" x14ac:dyDescent="0.35">
      <c r="A176" s="2"/>
      <c r="B176" s="2"/>
      <c r="C176" s="2"/>
      <c r="D176" s="2"/>
      <c r="E176" s="2"/>
      <c r="F176" s="2"/>
      <c r="G176" s="2"/>
      <c r="H176" s="2"/>
      <c r="I176" s="2"/>
      <c r="K176" s="2"/>
      <c r="L176" s="2"/>
      <c r="M176" s="2"/>
    </row>
    <row r="177" spans="1:13" x14ac:dyDescent="0.35">
      <c r="A177" s="2"/>
      <c r="B177" s="2"/>
      <c r="C177" s="2"/>
      <c r="D177" s="2"/>
      <c r="E177" s="2"/>
      <c r="F177" s="2"/>
      <c r="G177" s="2"/>
      <c r="H177" s="2"/>
      <c r="I177" s="2"/>
      <c r="K177" s="2"/>
      <c r="L177" s="2"/>
      <c r="M177" s="2"/>
    </row>
    <row r="178" spans="1:13" x14ac:dyDescent="0.35">
      <c r="A178" s="2"/>
      <c r="B178" s="2"/>
      <c r="C178" s="2"/>
      <c r="D178" s="2"/>
      <c r="E178" s="2"/>
      <c r="F178" s="2"/>
      <c r="G178" s="2"/>
      <c r="H178" s="2"/>
      <c r="I178" s="2"/>
      <c r="K178" s="2"/>
      <c r="L178" s="2"/>
      <c r="M178" s="2"/>
    </row>
    <row r="179" spans="1:13" x14ac:dyDescent="0.35">
      <c r="A179" s="2"/>
      <c r="B179" s="2"/>
      <c r="C179" s="2"/>
      <c r="D179" s="2"/>
      <c r="E179" s="2"/>
      <c r="F179" s="2"/>
      <c r="G179" s="2"/>
      <c r="H179" s="2"/>
      <c r="I179" s="2"/>
      <c r="K179" s="2"/>
      <c r="L179" s="2"/>
      <c r="M179" s="2"/>
    </row>
    <row r="180" spans="1:13" x14ac:dyDescent="0.35">
      <c r="A180" s="2"/>
      <c r="B180" s="2"/>
      <c r="C180" s="2"/>
      <c r="D180" s="2"/>
      <c r="E180" s="2"/>
      <c r="F180" s="2"/>
      <c r="G180" s="2"/>
      <c r="H180" s="2"/>
      <c r="I180" s="2"/>
      <c r="K180" s="2"/>
      <c r="L180" s="2"/>
      <c r="M180" s="2"/>
    </row>
    <row r="181" spans="1:13" x14ac:dyDescent="0.35">
      <c r="A181" s="2"/>
      <c r="B181" s="2"/>
      <c r="C181" s="2"/>
      <c r="D181" s="2"/>
      <c r="E181" s="2"/>
      <c r="F181" s="2"/>
      <c r="G181" s="2"/>
      <c r="H181" s="2"/>
      <c r="I181" s="2"/>
      <c r="K181" s="2"/>
      <c r="L181" s="2"/>
      <c r="M181" s="2"/>
    </row>
    <row r="182" spans="1:13" x14ac:dyDescent="0.35">
      <c r="A182" s="2"/>
      <c r="B182" s="2"/>
      <c r="C182" s="2"/>
      <c r="D182" s="2"/>
      <c r="E182" s="2"/>
      <c r="F182" s="2"/>
      <c r="G182" s="2"/>
      <c r="H182" s="2"/>
      <c r="I182" s="2"/>
      <c r="K182" s="2"/>
      <c r="L182" s="2"/>
      <c r="M182" s="2"/>
    </row>
    <row r="183" spans="1:13" x14ac:dyDescent="0.35">
      <c r="A183" s="2"/>
      <c r="B183" s="2"/>
      <c r="C183" s="2"/>
      <c r="D183" s="2"/>
      <c r="E183" s="2"/>
      <c r="F183" s="2"/>
      <c r="G183" s="2"/>
      <c r="H183" s="2"/>
      <c r="I183" s="2"/>
      <c r="K183" s="2"/>
      <c r="L183" s="2"/>
      <c r="M183" s="2"/>
    </row>
    <row r="184" spans="1:13" x14ac:dyDescent="0.35">
      <c r="A184" s="2"/>
      <c r="B184" s="2"/>
      <c r="C184" s="2"/>
      <c r="D184" s="2"/>
      <c r="E184" s="2"/>
      <c r="F184" s="2"/>
      <c r="G184" s="2"/>
      <c r="H184" s="2"/>
      <c r="I184" s="2"/>
      <c r="K184" s="2"/>
      <c r="L184" s="2"/>
      <c r="M184" s="2"/>
    </row>
    <row r="185" spans="1:13" x14ac:dyDescent="0.35">
      <c r="A185" s="2"/>
      <c r="B185" s="2"/>
      <c r="C185" s="2"/>
      <c r="D185" s="2"/>
      <c r="E185" s="2"/>
      <c r="F185" s="2"/>
      <c r="G185" s="2"/>
      <c r="H185" s="2"/>
      <c r="I185" s="2"/>
      <c r="K185" s="2"/>
      <c r="L185" s="2"/>
      <c r="M185" s="2"/>
    </row>
    <row r="186" spans="1:13" x14ac:dyDescent="0.35">
      <c r="A186" s="2"/>
      <c r="B186" s="2"/>
      <c r="C186" s="2"/>
      <c r="D186" s="2"/>
      <c r="E186" s="2"/>
      <c r="F186" s="2"/>
      <c r="G186" s="2"/>
      <c r="H186" s="2"/>
      <c r="I186" s="2"/>
      <c r="K186" s="2"/>
      <c r="L186" s="2"/>
      <c r="M186" s="2"/>
    </row>
    <row r="187" spans="1:13" x14ac:dyDescent="0.35">
      <c r="A187" s="2"/>
      <c r="B187" s="2"/>
      <c r="C187" s="2"/>
      <c r="D187" s="2"/>
      <c r="E187" s="2"/>
      <c r="F187" s="2"/>
      <c r="G187" s="2"/>
      <c r="H187" s="2"/>
      <c r="I187" s="2"/>
      <c r="K187" s="2"/>
      <c r="L187" s="2"/>
      <c r="M187" s="2"/>
    </row>
    <row r="188" spans="1:13" x14ac:dyDescent="0.35">
      <c r="A188" s="2"/>
      <c r="B188" s="2"/>
      <c r="C188" s="2"/>
      <c r="D188" s="2"/>
      <c r="E188" s="2"/>
      <c r="F188" s="2"/>
      <c r="G188" s="2"/>
      <c r="H188" s="2"/>
      <c r="I188" s="2"/>
      <c r="K188" s="2"/>
      <c r="L188" s="2"/>
      <c r="M188" s="2"/>
    </row>
    <row r="189" spans="1:13" x14ac:dyDescent="0.35">
      <c r="A189" s="2"/>
      <c r="B189" s="2"/>
      <c r="C189" s="2"/>
      <c r="D189" s="2"/>
      <c r="E189" s="2"/>
      <c r="F189" s="2"/>
      <c r="G189" s="2"/>
      <c r="H189" s="2"/>
      <c r="I189" s="2"/>
      <c r="K189" s="2"/>
      <c r="L189" s="2"/>
      <c r="M189" s="2"/>
    </row>
    <row r="190" spans="1:13" x14ac:dyDescent="0.35">
      <c r="A190" s="2"/>
      <c r="B190" s="2"/>
      <c r="C190" s="2"/>
      <c r="D190" s="2"/>
      <c r="E190" s="2"/>
      <c r="F190" s="2"/>
      <c r="G190" s="2"/>
      <c r="H190" s="2"/>
      <c r="I190" s="2"/>
      <c r="K190" s="2"/>
      <c r="L190" s="2"/>
      <c r="M190" s="2"/>
    </row>
    <row r="191" spans="1:13" x14ac:dyDescent="0.35">
      <c r="A191" s="2"/>
      <c r="B191" s="2"/>
      <c r="C191" s="2"/>
      <c r="D191" s="2"/>
      <c r="E191" s="2"/>
      <c r="F191" s="2"/>
      <c r="G191" s="2"/>
      <c r="H191" s="2"/>
      <c r="I191" s="2"/>
      <c r="K191" s="2"/>
      <c r="L191" s="2"/>
      <c r="M191" s="2"/>
    </row>
    <row r="192" spans="1:13" x14ac:dyDescent="0.35">
      <c r="A192" s="2"/>
      <c r="B192" s="2"/>
      <c r="C192" s="2"/>
      <c r="D192" s="2"/>
      <c r="E192" s="2"/>
      <c r="F192" s="2"/>
      <c r="G192" s="2"/>
      <c r="H192" s="2"/>
      <c r="I192" s="2"/>
      <c r="K192" s="2"/>
      <c r="L192" s="2"/>
      <c r="M192" s="2"/>
    </row>
    <row r="193" spans="1:225" x14ac:dyDescent="0.35">
      <c r="A193" s="2"/>
      <c r="B193" s="2"/>
      <c r="C193" s="2"/>
      <c r="D193" s="2"/>
      <c r="E193" s="2"/>
      <c r="F193" s="2"/>
      <c r="G193" s="2"/>
      <c r="H193" s="2"/>
      <c r="I193" s="2"/>
      <c r="K193" s="2"/>
      <c r="L193" s="2"/>
      <c r="M193" s="2"/>
    </row>
    <row r="194" spans="1:225" x14ac:dyDescent="0.35">
      <c r="A194" s="2"/>
      <c r="B194" s="2"/>
      <c r="C194" s="2"/>
      <c r="D194" s="2"/>
      <c r="E194" s="2"/>
      <c r="F194" s="2"/>
      <c r="G194" s="2"/>
      <c r="H194" s="2"/>
      <c r="I194" s="2"/>
      <c r="K194" s="2"/>
      <c r="L194" s="2"/>
      <c r="M194" s="2"/>
    </row>
    <row r="195" spans="1:225" x14ac:dyDescent="0.35">
      <c r="A195" s="2"/>
      <c r="B195" s="2"/>
      <c r="C195" s="2"/>
      <c r="D195" s="2"/>
      <c r="E195" s="2"/>
      <c r="F195" s="2"/>
      <c r="G195" s="2"/>
      <c r="H195" s="2"/>
      <c r="I195" s="2"/>
      <c r="K195" s="2"/>
      <c r="L195" s="2"/>
      <c r="M195" s="2"/>
    </row>
    <row r="196" spans="1:225" x14ac:dyDescent="0.35">
      <c r="A196" s="2"/>
      <c r="B196" s="2"/>
      <c r="C196" s="2"/>
      <c r="D196" s="2"/>
      <c r="E196" s="2"/>
      <c r="F196" s="2"/>
      <c r="G196" s="2"/>
      <c r="H196" s="2"/>
      <c r="I196" s="2"/>
      <c r="K196" s="2"/>
      <c r="L196" s="2"/>
      <c r="M196" s="2"/>
    </row>
    <row r="197" spans="1:225" x14ac:dyDescent="0.35">
      <c r="A197" s="2"/>
      <c r="B197" s="2"/>
      <c r="C197" s="2"/>
      <c r="D197" s="2"/>
      <c r="E197" s="2"/>
      <c r="F197" s="2"/>
      <c r="G197" s="2"/>
      <c r="H197" s="2"/>
      <c r="I197" s="2"/>
      <c r="K197" s="2"/>
      <c r="L197" s="2"/>
      <c r="M197" s="2"/>
    </row>
    <row r="198" spans="1:225" x14ac:dyDescent="0.35">
      <c r="A198" s="2"/>
      <c r="B198" s="2"/>
      <c r="C198" s="2"/>
      <c r="D198" s="2"/>
      <c r="E198" s="2"/>
      <c r="F198" s="2"/>
      <c r="G198" s="2"/>
      <c r="H198" s="2"/>
      <c r="I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2"/>
      <c r="FL198" s="2"/>
      <c r="FM198" s="2"/>
      <c r="FN198" s="2"/>
      <c r="FO198" s="2"/>
      <c r="FP198" s="2"/>
      <c r="FQ198" s="2"/>
      <c r="FR198" s="2"/>
      <c r="FS198" s="2"/>
      <c r="FT198" s="2"/>
      <c r="FU198" s="2"/>
      <c r="FV198" s="2"/>
      <c r="FW198" s="2"/>
      <c r="FX198" s="2"/>
      <c r="FY198" s="2"/>
      <c r="FZ198" s="2"/>
      <c r="GA198" s="2"/>
      <c r="GB198" s="2"/>
      <c r="GC198" s="2"/>
      <c r="GD198" s="2"/>
      <c r="GE198" s="2"/>
      <c r="GF198" s="2"/>
      <c r="GG198" s="2"/>
      <c r="GH198" s="2"/>
      <c r="GI198" s="2"/>
      <c r="GJ198" s="2"/>
      <c r="GK198" s="2"/>
      <c r="GL198" s="2"/>
      <c r="GM198" s="2"/>
      <c r="GN198" s="2"/>
      <c r="GO198" s="2"/>
      <c r="GP198" s="2"/>
      <c r="GQ198" s="2"/>
      <c r="GR198" s="2"/>
      <c r="GS198" s="2"/>
      <c r="GT198" s="2"/>
      <c r="GU198" s="2"/>
      <c r="GV198" s="2"/>
      <c r="GW198" s="2"/>
      <c r="GX198" s="2"/>
      <c r="GY198" s="2"/>
      <c r="GZ198" s="2"/>
      <c r="HA198" s="2"/>
      <c r="HB198" s="2"/>
      <c r="HC198" s="2"/>
      <c r="HD198" s="2"/>
      <c r="HE198" s="2"/>
      <c r="HF198" s="2"/>
      <c r="HG198" s="2"/>
      <c r="HH198" s="2"/>
      <c r="HI198" s="2"/>
      <c r="HJ198" s="2"/>
      <c r="HK198" s="2"/>
      <c r="HL198" s="2"/>
      <c r="HM198" s="2"/>
      <c r="HN198" s="2"/>
      <c r="HO198" s="2"/>
      <c r="HP198" s="2"/>
      <c r="HQ198" s="2"/>
    </row>
    <row r="199" spans="1:225" x14ac:dyDescent="0.35">
      <c r="A199" s="2"/>
      <c r="B199" s="2"/>
      <c r="C199" s="2"/>
      <c r="D199" s="2"/>
      <c r="E199" s="2"/>
      <c r="F199" s="2"/>
      <c r="G199" s="2"/>
      <c r="H199" s="2"/>
      <c r="I199" s="2"/>
      <c r="K199" s="2"/>
      <c r="L199" s="2"/>
      <c r="M199" s="2"/>
    </row>
    <row r="200" spans="1:225" x14ac:dyDescent="0.35">
      <c r="A200" s="2"/>
      <c r="B200" s="2"/>
      <c r="C200" s="2"/>
      <c r="D200" s="2"/>
      <c r="E200" s="2"/>
      <c r="F200" s="2"/>
      <c r="G200" s="2"/>
      <c r="H200" s="2"/>
      <c r="I200" s="2"/>
      <c r="K200" s="2"/>
      <c r="L200" s="2"/>
      <c r="M200" s="2"/>
    </row>
    <row r="201" spans="1:225" x14ac:dyDescent="0.35">
      <c r="A201" s="2"/>
      <c r="B201" s="2"/>
      <c r="C201" s="2"/>
      <c r="D201" s="2"/>
      <c r="E201" s="2"/>
      <c r="F201" s="2"/>
      <c r="G201" s="2"/>
      <c r="H201" s="2"/>
      <c r="I201" s="2"/>
      <c r="K201" s="2"/>
      <c r="L201" s="2"/>
      <c r="M201" s="2"/>
    </row>
    <row r="202" spans="1:225" x14ac:dyDescent="0.35">
      <c r="A202" s="2"/>
      <c r="B202" s="2"/>
      <c r="C202" s="2"/>
      <c r="D202" s="2"/>
      <c r="E202" s="2"/>
      <c r="F202" s="2"/>
      <c r="G202" s="2"/>
      <c r="H202" s="2"/>
      <c r="I202" s="2"/>
      <c r="K202" s="2"/>
      <c r="L202" s="2"/>
      <c r="M202" s="2"/>
    </row>
    <row r="203" spans="1:225" x14ac:dyDescent="0.35">
      <c r="A203" s="2"/>
      <c r="B203" s="2"/>
      <c r="C203" s="2"/>
      <c r="D203" s="2"/>
      <c r="E203" s="2"/>
      <c r="F203" s="2"/>
      <c r="G203" s="2"/>
      <c r="H203" s="2"/>
      <c r="I203" s="2"/>
      <c r="K203" s="2"/>
      <c r="L203" s="2"/>
      <c r="M203" s="2"/>
    </row>
    <row r="204" spans="1:225" x14ac:dyDescent="0.35">
      <c r="A204" s="2"/>
      <c r="B204" s="2"/>
      <c r="C204" s="2"/>
      <c r="D204" s="2"/>
      <c r="E204" s="2"/>
      <c r="F204" s="2"/>
      <c r="G204" s="2"/>
      <c r="H204" s="2"/>
      <c r="I204" s="2"/>
      <c r="K204" s="2"/>
      <c r="L204" s="2"/>
      <c r="M204" s="2"/>
    </row>
    <row r="205" spans="1:225" x14ac:dyDescent="0.35">
      <c r="A205" s="2"/>
      <c r="B205" s="2"/>
      <c r="C205" s="2"/>
      <c r="D205" s="2"/>
      <c r="E205" s="2"/>
      <c r="F205" s="2"/>
      <c r="G205" s="2"/>
      <c r="H205" s="2"/>
      <c r="I205" s="2"/>
      <c r="K205" s="2"/>
      <c r="L205" s="2"/>
      <c r="M205" s="2"/>
    </row>
    <row r="206" spans="1:225" x14ac:dyDescent="0.35">
      <c r="A206" s="2"/>
      <c r="B206" s="2"/>
      <c r="C206" s="2"/>
      <c r="D206" s="2"/>
      <c r="E206" s="2"/>
      <c r="F206" s="2"/>
      <c r="G206" s="2"/>
      <c r="H206" s="2"/>
      <c r="I206" s="2"/>
      <c r="K206" s="2"/>
      <c r="L206" s="2"/>
      <c r="M206" s="2"/>
    </row>
    <row r="207" spans="1:225" x14ac:dyDescent="0.35">
      <c r="A207" s="2"/>
      <c r="B207" s="2"/>
      <c r="C207" s="2"/>
      <c r="D207" s="2"/>
      <c r="E207" s="2"/>
      <c r="F207" s="2"/>
      <c r="G207" s="2"/>
      <c r="H207" s="2"/>
      <c r="I207" s="2"/>
      <c r="K207" s="2"/>
      <c r="L207" s="2"/>
      <c r="M207" s="2"/>
    </row>
    <row r="208" spans="1:225" x14ac:dyDescent="0.35">
      <c r="A208" s="2"/>
      <c r="B208" s="2"/>
      <c r="C208" s="2"/>
      <c r="D208" s="2"/>
      <c r="E208" s="2"/>
      <c r="F208" s="2"/>
      <c r="G208" s="2"/>
      <c r="H208" s="2"/>
      <c r="I208" s="2"/>
      <c r="K208" s="2"/>
      <c r="L208" s="2"/>
      <c r="M208" s="2"/>
    </row>
    <row r="209" spans="1:13" x14ac:dyDescent="0.35">
      <c r="A209" s="2"/>
      <c r="B209" s="2"/>
      <c r="C209" s="2"/>
      <c r="D209" s="2"/>
      <c r="E209" s="2"/>
      <c r="F209" s="2"/>
      <c r="G209" s="2"/>
      <c r="H209" s="2"/>
      <c r="I209" s="2"/>
      <c r="K209" s="2"/>
      <c r="L209" s="2"/>
      <c r="M209" s="2"/>
    </row>
    <row r="210" spans="1:13" x14ac:dyDescent="0.35">
      <c r="A210" s="2"/>
      <c r="B210" s="2"/>
      <c r="C210" s="2"/>
      <c r="D210" s="2"/>
      <c r="E210" s="2"/>
      <c r="F210" s="2"/>
      <c r="G210" s="2"/>
      <c r="H210" s="2"/>
      <c r="I210" s="2"/>
      <c r="K210" s="2"/>
      <c r="L210" s="2"/>
      <c r="M210" s="2"/>
    </row>
    <row r="211" spans="1:13" x14ac:dyDescent="0.35">
      <c r="A211" s="2"/>
      <c r="B211" s="2"/>
      <c r="C211" s="2"/>
      <c r="D211" s="2"/>
      <c r="E211" s="2"/>
      <c r="F211" s="2"/>
      <c r="G211" s="2"/>
      <c r="H211" s="2"/>
      <c r="I211" s="2"/>
      <c r="K211" s="2"/>
      <c r="L211" s="2"/>
      <c r="M211" s="2"/>
    </row>
    <row r="212" spans="1:13" x14ac:dyDescent="0.35">
      <c r="A212" s="2"/>
      <c r="B212" s="2"/>
      <c r="C212" s="2"/>
      <c r="D212" s="2"/>
      <c r="E212" s="2"/>
      <c r="F212" s="2"/>
      <c r="G212" s="2"/>
      <c r="H212" s="2"/>
      <c r="I212" s="2"/>
      <c r="K212" s="2"/>
      <c r="L212" s="2"/>
      <c r="M212" s="2"/>
    </row>
    <row r="213" spans="1:13" x14ac:dyDescent="0.35">
      <c r="A213" s="2"/>
      <c r="B213" s="2"/>
      <c r="C213" s="2"/>
      <c r="D213" s="2"/>
      <c r="E213" s="2"/>
      <c r="F213" s="2"/>
      <c r="G213" s="2"/>
      <c r="H213" s="2"/>
      <c r="I213" s="2"/>
      <c r="K213" s="2"/>
      <c r="L213" s="2"/>
      <c r="M213" s="2"/>
    </row>
    <row r="214" spans="1:13" x14ac:dyDescent="0.35">
      <c r="A214" s="2"/>
      <c r="B214" s="2"/>
      <c r="C214" s="2"/>
      <c r="D214" s="2"/>
      <c r="E214" s="2"/>
      <c r="F214" s="2"/>
      <c r="G214" s="2"/>
      <c r="H214" s="2"/>
      <c r="I214" s="2"/>
      <c r="K214" s="2"/>
      <c r="L214" s="2"/>
      <c r="M214" s="2"/>
    </row>
    <row r="215" spans="1:13" x14ac:dyDescent="0.35">
      <c r="A215" s="2"/>
      <c r="B215" s="2"/>
      <c r="C215" s="2"/>
      <c r="D215" s="2"/>
      <c r="E215" s="2"/>
      <c r="F215" s="2"/>
      <c r="G215" s="2"/>
      <c r="H215" s="2"/>
      <c r="I215" s="2"/>
      <c r="K215" s="2"/>
      <c r="L215" s="2"/>
      <c r="M215" s="2"/>
    </row>
    <row r="216" spans="1:13" x14ac:dyDescent="0.35">
      <c r="A216" s="2"/>
      <c r="B216" s="2"/>
      <c r="C216" s="2"/>
      <c r="D216" s="2"/>
      <c r="E216" s="2"/>
      <c r="F216" s="2"/>
      <c r="G216" s="2"/>
      <c r="H216" s="2"/>
      <c r="I216" s="2"/>
      <c r="K216" s="2"/>
      <c r="L216" s="2"/>
      <c r="M216" s="2"/>
    </row>
    <row r="217" spans="1:13" x14ac:dyDescent="0.35">
      <c r="A217" s="2"/>
      <c r="B217" s="2"/>
      <c r="C217" s="2"/>
      <c r="D217" s="2"/>
      <c r="E217" s="2"/>
      <c r="F217" s="2"/>
      <c r="G217" s="2"/>
      <c r="H217" s="2"/>
      <c r="I217" s="2"/>
      <c r="K217" s="2"/>
      <c r="L217" s="2"/>
      <c r="M217" s="2"/>
    </row>
    <row r="218" spans="1:13" x14ac:dyDescent="0.35">
      <c r="A218" s="2"/>
      <c r="B218" s="2"/>
      <c r="C218" s="2"/>
      <c r="D218" s="2"/>
      <c r="E218" s="2"/>
      <c r="F218" s="2"/>
      <c r="G218" s="2"/>
      <c r="H218" s="2"/>
      <c r="I218" s="2"/>
      <c r="K218" s="2"/>
      <c r="L218" s="2"/>
      <c r="M218" s="2"/>
    </row>
    <row r="219" spans="1:13" x14ac:dyDescent="0.35">
      <c r="A219" s="2"/>
      <c r="B219" s="2"/>
      <c r="C219" s="2"/>
      <c r="D219" s="2"/>
      <c r="E219" s="2"/>
      <c r="F219" s="2"/>
      <c r="G219" s="2"/>
      <c r="H219" s="2"/>
      <c r="I219" s="2"/>
      <c r="K219" s="2"/>
      <c r="L219" s="2"/>
      <c r="M219" s="2"/>
    </row>
    <row r="220" spans="1:13" x14ac:dyDescent="0.35">
      <c r="A220" s="2"/>
      <c r="B220" s="2"/>
      <c r="C220" s="2"/>
      <c r="D220" s="2"/>
      <c r="E220" s="2"/>
      <c r="F220" s="2"/>
      <c r="G220" s="2"/>
      <c r="H220" s="2"/>
      <c r="I220" s="2"/>
      <c r="K220" s="2"/>
      <c r="L220" s="2"/>
      <c r="M220" s="2"/>
    </row>
    <row r="221" spans="1:13" x14ac:dyDescent="0.35">
      <c r="A221" s="2"/>
      <c r="B221" s="2"/>
      <c r="C221" s="2"/>
      <c r="D221" s="2"/>
      <c r="E221" s="2"/>
      <c r="F221" s="2"/>
      <c r="G221" s="2"/>
      <c r="H221" s="2"/>
      <c r="I221" s="2"/>
      <c r="K221" s="2"/>
      <c r="L221" s="2"/>
      <c r="M221" s="2"/>
    </row>
    <row r="222" spans="1:13" x14ac:dyDescent="0.35">
      <c r="A222" s="2"/>
      <c r="B222" s="2"/>
      <c r="C222" s="2"/>
      <c r="D222" s="2"/>
      <c r="E222" s="2"/>
      <c r="F222" s="2"/>
      <c r="G222" s="2"/>
      <c r="H222" s="2"/>
      <c r="I222" s="2"/>
      <c r="K222" s="2"/>
      <c r="L222" s="2"/>
      <c r="M222" s="2"/>
    </row>
    <row r="223" spans="1:13" x14ac:dyDescent="0.35">
      <c r="A223" s="2"/>
      <c r="B223" s="2"/>
      <c r="C223" s="2"/>
      <c r="D223" s="2"/>
      <c r="E223" s="2"/>
      <c r="F223" s="2"/>
      <c r="G223" s="2"/>
      <c r="H223" s="2"/>
      <c r="I223" s="2"/>
      <c r="K223" s="2"/>
      <c r="L223" s="2"/>
      <c r="M223" s="2"/>
    </row>
    <row r="224" spans="1:13" x14ac:dyDescent="0.35">
      <c r="A224" s="2"/>
      <c r="B224" s="2"/>
      <c r="C224" s="2"/>
      <c r="D224" s="2"/>
      <c r="E224" s="2"/>
      <c r="F224" s="2"/>
      <c r="G224" s="2"/>
      <c r="H224" s="2"/>
      <c r="I224" s="2"/>
      <c r="K224" s="2"/>
      <c r="L224" s="2"/>
      <c r="M224" s="2"/>
    </row>
    <row r="225" spans="1:13" x14ac:dyDescent="0.35">
      <c r="A225" s="2"/>
      <c r="B225" s="2"/>
      <c r="C225" s="2"/>
      <c r="D225" s="2"/>
      <c r="E225" s="2"/>
      <c r="F225" s="2"/>
      <c r="G225" s="2"/>
      <c r="H225" s="2"/>
      <c r="I225" s="2"/>
      <c r="K225" s="2"/>
      <c r="L225" s="2"/>
      <c r="M225" s="2"/>
    </row>
    <row r="226" spans="1:13" x14ac:dyDescent="0.35">
      <c r="A226" s="2"/>
      <c r="B226" s="2"/>
      <c r="C226" s="2"/>
      <c r="D226" s="2"/>
      <c r="E226" s="2"/>
      <c r="F226" s="2"/>
      <c r="G226" s="2"/>
      <c r="H226" s="2"/>
      <c r="I226" s="2"/>
      <c r="K226" s="2"/>
      <c r="L226" s="2"/>
      <c r="M226" s="2"/>
    </row>
    <row r="227" spans="1:13" x14ac:dyDescent="0.35">
      <c r="A227" s="2"/>
      <c r="B227" s="2"/>
      <c r="C227" s="2"/>
      <c r="D227" s="2"/>
      <c r="E227" s="2"/>
      <c r="F227" s="2"/>
      <c r="G227" s="2"/>
      <c r="H227" s="2"/>
      <c r="I227" s="2"/>
      <c r="K227" s="2"/>
      <c r="L227" s="2"/>
      <c r="M227" s="2"/>
    </row>
    <row r="228" spans="1:13" x14ac:dyDescent="0.35">
      <c r="A228" s="2"/>
      <c r="B228" s="2"/>
      <c r="C228" s="2"/>
      <c r="D228" s="2"/>
      <c r="E228" s="2"/>
      <c r="F228" s="2"/>
      <c r="G228" s="2"/>
      <c r="H228" s="2"/>
      <c r="I228" s="2"/>
      <c r="K228" s="2"/>
      <c r="L228" s="2"/>
      <c r="M228" s="2"/>
    </row>
    <row r="229" spans="1:13" x14ac:dyDescent="0.35">
      <c r="A229" s="2"/>
      <c r="B229" s="2"/>
      <c r="C229" s="2"/>
      <c r="D229" s="2"/>
      <c r="E229" s="2"/>
      <c r="F229" s="2"/>
      <c r="G229" s="2"/>
      <c r="H229" s="2"/>
      <c r="I229" s="2"/>
      <c r="K229" s="2"/>
      <c r="L229" s="2"/>
      <c r="M229" s="2"/>
    </row>
    <row r="230" spans="1:13" x14ac:dyDescent="0.35">
      <c r="A230" s="2"/>
      <c r="B230" s="2"/>
      <c r="C230" s="2"/>
      <c r="D230" s="2"/>
      <c r="E230" s="2"/>
      <c r="F230" s="2"/>
      <c r="G230" s="2"/>
      <c r="H230" s="2"/>
      <c r="I230" s="2"/>
      <c r="K230" s="2"/>
      <c r="L230" s="2"/>
      <c r="M230" s="2"/>
    </row>
    <row r="231" spans="1:13" x14ac:dyDescent="0.35">
      <c r="A231" s="2"/>
      <c r="B231" s="2"/>
      <c r="C231" s="2"/>
      <c r="D231" s="2"/>
      <c r="E231" s="2"/>
      <c r="F231" s="2"/>
      <c r="G231" s="2"/>
      <c r="H231" s="2"/>
      <c r="I231" s="2"/>
      <c r="K231" s="2"/>
      <c r="L231" s="2"/>
      <c r="M231" s="2"/>
    </row>
    <row r="232" spans="1:13" x14ac:dyDescent="0.35">
      <c r="A232" s="2"/>
      <c r="B232" s="2"/>
      <c r="C232" s="2"/>
      <c r="D232" s="2"/>
      <c r="E232" s="2"/>
      <c r="F232" s="2"/>
      <c r="G232" s="2"/>
      <c r="H232" s="2"/>
      <c r="I232" s="2"/>
      <c r="K232" s="2"/>
      <c r="L232" s="2"/>
      <c r="M232" s="2"/>
    </row>
    <row r="233" spans="1:13" x14ac:dyDescent="0.35">
      <c r="A233" s="2"/>
      <c r="B233" s="2"/>
      <c r="C233" s="2"/>
      <c r="D233" s="2"/>
      <c r="E233" s="2"/>
      <c r="F233" s="2"/>
      <c r="G233" s="2"/>
      <c r="H233" s="2"/>
      <c r="I233" s="2"/>
      <c r="K233" s="2"/>
      <c r="L233" s="2"/>
      <c r="M233" s="2"/>
    </row>
    <row r="234" spans="1:13" x14ac:dyDescent="0.35">
      <c r="A234" s="2"/>
      <c r="B234" s="2"/>
      <c r="C234" s="2"/>
      <c r="D234" s="2"/>
      <c r="E234" s="2"/>
      <c r="F234" s="2"/>
      <c r="G234" s="2"/>
      <c r="H234" s="2"/>
      <c r="I234" s="2"/>
      <c r="K234" s="2"/>
      <c r="L234" s="2"/>
      <c r="M234" s="2"/>
    </row>
    <row r="235" spans="1:13" x14ac:dyDescent="0.35">
      <c r="A235" s="2"/>
      <c r="B235" s="2"/>
      <c r="C235" s="2"/>
      <c r="D235" s="2"/>
      <c r="E235" s="2"/>
      <c r="F235" s="2"/>
      <c r="G235" s="2"/>
      <c r="H235" s="2"/>
      <c r="I235" s="2"/>
      <c r="K235" s="2"/>
      <c r="L235" s="2"/>
      <c r="M235" s="2"/>
    </row>
    <row r="236" spans="1:13" x14ac:dyDescent="0.35">
      <c r="A236" s="2"/>
      <c r="B236" s="2"/>
      <c r="C236" s="2"/>
      <c r="D236" s="2"/>
      <c r="E236" s="2"/>
      <c r="F236" s="2"/>
      <c r="G236" s="2"/>
      <c r="H236" s="2"/>
      <c r="I236" s="2"/>
      <c r="K236" s="2"/>
      <c r="L236" s="2"/>
      <c r="M236" s="2"/>
    </row>
    <row r="237" spans="1:13" x14ac:dyDescent="0.35">
      <c r="A237" s="2"/>
      <c r="B237" s="2"/>
      <c r="C237" s="2"/>
      <c r="D237" s="2"/>
      <c r="E237" s="2"/>
      <c r="F237" s="2"/>
      <c r="G237" s="2"/>
      <c r="H237" s="2"/>
      <c r="I237" s="2"/>
      <c r="K237" s="2"/>
      <c r="L237" s="2"/>
      <c r="M237" s="2"/>
    </row>
    <row r="238" spans="1:13" x14ac:dyDescent="0.35">
      <c r="A238" s="2"/>
      <c r="B238" s="2"/>
      <c r="C238" s="2"/>
      <c r="D238" s="2"/>
      <c r="E238" s="2"/>
      <c r="F238" s="2"/>
      <c r="G238" s="2"/>
      <c r="H238" s="2"/>
      <c r="I238" s="2"/>
      <c r="K238" s="2"/>
      <c r="L238" s="2"/>
      <c r="M238" s="2"/>
    </row>
    <row r="239" spans="1:13" x14ac:dyDescent="0.35">
      <c r="A239" s="2"/>
      <c r="B239" s="2"/>
      <c r="C239" s="2"/>
      <c r="D239" s="2"/>
      <c r="E239" s="2"/>
      <c r="F239" s="2"/>
      <c r="G239" s="2"/>
      <c r="H239" s="2"/>
      <c r="I239" s="2"/>
      <c r="K239" s="2"/>
      <c r="L239" s="2"/>
      <c r="M239" s="2"/>
    </row>
    <row r="240" spans="1:13" x14ac:dyDescent="0.35">
      <c r="A240" s="2"/>
      <c r="B240" s="2"/>
      <c r="C240" s="2"/>
      <c r="D240" s="2"/>
      <c r="E240" s="2"/>
      <c r="F240" s="2"/>
      <c r="G240" s="2"/>
      <c r="H240" s="2"/>
      <c r="I240" s="2"/>
      <c r="K240" s="2"/>
      <c r="L240" s="2"/>
      <c r="M240" s="2"/>
    </row>
    <row r="241" spans="1:13" x14ac:dyDescent="0.35">
      <c r="A241" s="2"/>
      <c r="B241" s="2"/>
      <c r="C241" s="2"/>
      <c r="D241" s="2"/>
      <c r="E241" s="2"/>
      <c r="F241" s="2"/>
      <c r="G241" s="2"/>
      <c r="H241" s="2"/>
      <c r="I241" s="2"/>
      <c r="K241" s="2"/>
      <c r="L241" s="2"/>
      <c r="M241" s="2"/>
    </row>
    <row r="242" spans="1:13" x14ac:dyDescent="0.35">
      <c r="A242" s="2"/>
      <c r="B242" s="2"/>
      <c r="C242" s="2"/>
      <c r="D242" s="2"/>
      <c r="E242" s="2"/>
      <c r="F242" s="2"/>
      <c r="G242" s="2"/>
      <c r="H242" s="2"/>
      <c r="I242" s="2"/>
      <c r="K242" s="2"/>
      <c r="L242" s="2"/>
      <c r="M242" s="2"/>
    </row>
    <row r="243" spans="1:13" x14ac:dyDescent="0.35">
      <c r="A243" s="2"/>
      <c r="B243" s="2"/>
      <c r="C243" s="2"/>
      <c r="D243" s="2"/>
      <c r="E243" s="2"/>
      <c r="F243" s="2"/>
      <c r="G243" s="2"/>
      <c r="H243" s="2"/>
      <c r="I243" s="2"/>
      <c r="K243" s="2"/>
      <c r="L243" s="2"/>
      <c r="M243" s="2"/>
    </row>
    <row r="244" spans="1:13" x14ac:dyDescent="0.35">
      <c r="A244" s="2"/>
      <c r="B244" s="2"/>
      <c r="C244" s="2"/>
      <c r="D244" s="2"/>
      <c r="E244" s="2"/>
      <c r="F244" s="2"/>
      <c r="G244" s="2"/>
      <c r="H244" s="2"/>
      <c r="I244" s="2"/>
      <c r="K244" s="2"/>
      <c r="L244" s="2"/>
      <c r="M244" s="2"/>
    </row>
    <row r="245" spans="1:13" x14ac:dyDescent="0.35">
      <c r="A245" s="2"/>
      <c r="B245" s="2"/>
      <c r="C245" s="2"/>
      <c r="D245" s="2"/>
      <c r="E245" s="2"/>
      <c r="F245" s="2"/>
      <c r="G245" s="2"/>
      <c r="H245" s="2"/>
      <c r="I245" s="2"/>
      <c r="K245" s="2"/>
      <c r="L245" s="2"/>
      <c r="M245" s="2"/>
    </row>
    <row r="246" spans="1:13" x14ac:dyDescent="0.35">
      <c r="A246" s="2"/>
      <c r="B246" s="2"/>
      <c r="C246" s="2"/>
      <c r="D246" s="2"/>
      <c r="E246" s="2"/>
      <c r="F246" s="2"/>
      <c r="G246" s="2"/>
      <c r="H246" s="2"/>
      <c r="I246" s="2"/>
      <c r="K246" s="2"/>
      <c r="L246" s="2"/>
      <c r="M246" s="2"/>
    </row>
    <row r="247" spans="1:13" x14ac:dyDescent="0.35">
      <c r="A247" s="2"/>
      <c r="B247" s="2"/>
      <c r="C247" s="2"/>
      <c r="D247" s="2"/>
      <c r="E247" s="2"/>
      <c r="F247" s="2"/>
      <c r="G247" s="2"/>
      <c r="H247" s="2"/>
      <c r="I247" s="2"/>
      <c r="K247" s="2"/>
      <c r="L247" s="2"/>
      <c r="M247" s="2"/>
    </row>
    <row r="248" spans="1:13" x14ac:dyDescent="0.35">
      <c r="A248" s="2"/>
      <c r="B248" s="2"/>
      <c r="C248" s="2"/>
      <c r="D248" s="2"/>
      <c r="E248" s="2"/>
      <c r="F248" s="2"/>
      <c r="G248" s="2"/>
      <c r="H248" s="2"/>
      <c r="I248" s="2"/>
      <c r="K248" s="2"/>
      <c r="L248" s="2"/>
      <c r="M248" s="2"/>
    </row>
    <row r="249" spans="1:13" x14ac:dyDescent="0.35">
      <c r="A249" s="2"/>
      <c r="B249" s="2"/>
      <c r="C249" s="2"/>
      <c r="D249" s="2"/>
      <c r="E249" s="2"/>
      <c r="F249" s="2"/>
      <c r="G249" s="2"/>
      <c r="H249" s="2"/>
      <c r="I249" s="2"/>
      <c r="K249" s="2"/>
      <c r="L249" s="2"/>
      <c r="M249" s="2"/>
    </row>
    <row r="250" spans="1:13" x14ac:dyDescent="0.35">
      <c r="A250" s="2"/>
      <c r="B250" s="2"/>
      <c r="C250" s="2"/>
      <c r="D250" s="2"/>
      <c r="E250" s="2"/>
      <c r="F250" s="2"/>
      <c r="G250" s="2"/>
      <c r="H250" s="2"/>
      <c r="I250" s="2"/>
      <c r="K250" s="2"/>
      <c r="L250" s="2"/>
      <c r="M250" s="2"/>
    </row>
    <row r="251" spans="1:13" x14ac:dyDescent="0.35">
      <c r="A251" s="2"/>
      <c r="B251" s="2"/>
      <c r="C251" s="2"/>
      <c r="D251" s="2"/>
      <c r="E251" s="2"/>
      <c r="F251" s="2"/>
      <c r="G251" s="2"/>
      <c r="H251" s="2"/>
      <c r="I251" s="2"/>
      <c r="K251" s="2"/>
      <c r="L251" s="2"/>
      <c r="M251" s="2"/>
    </row>
    <row r="252" spans="1:13" x14ac:dyDescent="0.35">
      <c r="A252" s="2"/>
      <c r="B252" s="2"/>
      <c r="C252" s="2"/>
      <c r="D252" s="2"/>
      <c r="E252" s="2"/>
      <c r="F252" s="2"/>
      <c r="G252" s="2"/>
      <c r="H252" s="2"/>
      <c r="I252" s="2"/>
      <c r="K252" s="2"/>
      <c r="L252" s="2"/>
      <c r="M252" s="2"/>
    </row>
    <row r="253" spans="1:13" x14ac:dyDescent="0.35">
      <c r="A253" s="2"/>
      <c r="B253" s="2"/>
      <c r="C253" s="2"/>
      <c r="D253" s="2"/>
      <c r="E253" s="2"/>
      <c r="F253" s="2"/>
      <c r="G253" s="2"/>
      <c r="H253" s="2"/>
      <c r="I253" s="2"/>
      <c r="K253" s="2"/>
      <c r="L253" s="2"/>
      <c r="M253" s="2"/>
    </row>
    <row r="254" spans="1:13" x14ac:dyDescent="0.35">
      <c r="A254" s="2"/>
      <c r="B254" s="2"/>
      <c r="C254" s="2"/>
      <c r="D254" s="2"/>
      <c r="E254" s="2"/>
      <c r="F254" s="2"/>
      <c r="G254" s="2"/>
      <c r="H254" s="2"/>
      <c r="I254" s="2"/>
      <c r="K254" s="2"/>
      <c r="L254" s="2"/>
      <c r="M254" s="2"/>
    </row>
    <row r="255" spans="1:13" x14ac:dyDescent="0.35">
      <c r="A255" s="2"/>
      <c r="B255" s="2"/>
      <c r="C255" s="2"/>
      <c r="D255" s="2"/>
      <c r="E255" s="2"/>
      <c r="F255" s="2"/>
      <c r="G255" s="2"/>
      <c r="H255" s="2"/>
      <c r="I255" s="2"/>
      <c r="K255" s="2"/>
      <c r="L255" s="2"/>
      <c r="M255" s="2"/>
    </row>
    <row r="256" spans="1:13" x14ac:dyDescent="0.35">
      <c r="A256" s="2"/>
      <c r="B256" s="2"/>
      <c r="C256" s="2"/>
      <c r="D256" s="2"/>
      <c r="E256" s="2"/>
      <c r="F256" s="2"/>
      <c r="G256" s="2"/>
      <c r="H256" s="2"/>
      <c r="I256" s="2"/>
      <c r="K256" s="2"/>
      <c r="L256" s="2"/>
      <c r="M256" s="2"/>
    </row>
    <row r="257" spans="1:13" x14ac:dyDescent="0.35">
      <c r="A257" s="2"/>
      <c r="B257" s="2"/>
      <c r="C257" s="2"/>
      <c r="D257" s="2"/>
      <c r="E257" s="2"/>
      <c r="F257" s="2"/>
      <c r="G257" s="2"/>
      <c r="H257" s="2"/>
      <c r="I257" s="2"/>
      <c r="K257" s="2"/>
      <c r="L257" s="2"/>
      <c r="M257" s="2"/>
    </row>
    <row r="258" spans="1:13" x14ac:dyDescent="0.35">
      <c r="A258" s="2"/>
      <c r="B258" s="2"/>
      <c r="C258" s="2"/>
      <c r="D258" s="2"/>
      <c r="E258" s="2"/>
      <c r="F258" s="2"/>
      <c r="G258" s="2"/>
      <c r="H258" s="2"/>
      <c r="I258" s="2"/>
      <c r="K258" s="2"/>
      <c r="L258" s="2"/>
      <c r="M258" s="2"/>
    </row>
    <row r="259" spans="1:13" x14ac:dyDescent="0.35">
      <c r="A259" s="2"/>
      <c r="B259" s="2"/>
      <c r="C259" s="2"/>
      <c r="D259" s="2"/>
      <c r="E259" s="2"/>
      <c r="F259" s="2"/>
      <c r="G259" s="2"/>
      <c r="H259" s="2"/>
      <c r="I259" s="2"/>
      <c r="K259" s="2"/>
      <c r="L259" s="2"/>
      <c r="M259" s="2"/>
    </row>
    <row r="260" spans="1:13" x14ac:dyDescent="0.35">
      <c r="A260" s="2"/>
      <c r="B260" s="2"/>
      <c r="C260" s="2"/>
      <c r="D260" s="2"/>
      <c r="E260" s="2"/>
      <c r="F260" s="2"/>
      <c r="G260" s="2"/>
      <c r="H260" s="2"/>
      <c r="I260" s="2"/>
      <c r="K260" s="2"/>
      <c r="L260" s="2"/>
      <c r="M260" s="2"/>
    </row>
    <row r="261" spans="1:13" x14ac:dyDescent="0.35">
      <c r="A261" s="2"/>
      <c r="B261" s="2"/>
      <c r="C261" s="2"/>
      <c r="D261" s="2"/>
      <c r="E261" s="2"/>
      <c r="F261" s="2"/>
      <c r="G261" s="2"/>
      <c r="H261" s="2"/>
      <c r="I261" s="2"/>
      <c r="K261" s="2"/>
      <c r="L261" s="2"/>
      <c r="M261" s="2"/>
    </row>
    <row r="262" spans="1:13" x14ac:dyDescent="0.35">
      <c r="A262" s="2"/>
      <c r="B262" s="2"/>
      <c r="C262" s="2"/>
      <c r="D262" s="2"/>
      <c r="E262" s="2"/>
      <c r="F262" s="2"/>
      <c r="G262" s="2"/>
      <c r="H262" s="2"/>
      <c r="I262" s="2"/>
      <c r="K262" s="2"/>
      <c r="L262" s="2"/>
      <c r="M262" s="2"/>
    </row>
    <row r="263" spans="1:13" x14ac:dyDescent="0.35">
      <c r="A263" s="2"/>
      <c r="B263" s="2"/>
      <c r="C263" s="2"/>
      <c r="D263" s="2"/>
      <c r="E263" s="2"/>
      <c r="F263" s="2"/>
      <c r="G263" s="2"/>
      <c r="H263" s="2"/>
      <c r="I263" s="2"/>
      <c r="K263" s="2"/>
      <c r="L263" s="2"/>
      <c r="M263" s="2"/>
    </row>
    <row r="264" spans="1:13" x14ac:dyDescent="0.35">
      <c r="A264" s="2"/>
      <c r="B264" s="2"/>
      <c r="C264" s="2"/>
      <c r="D264" s="2"/>
      <c r="E264" s="2"/>
      <c r="F264" s="2"/>
      <c r="G264" s="2"/>
      <c r="H264" s="2"/>
      <c r="I264" s="2"/>
      <c r="K264" s="2"/>
      <c r="L264" s="2"/>
      <c r="M264" s="2"/>
    </row>
    <row r="265" spans="1:13" x14ac:dyDescent="0.35">
      <c r="A265" s="2"/>
      <c r="B265" s="2"/>
      <c r="C265" s="2"/>
      <c r="D265" s="2"/>
      <c r="E265" s="2"/>
      <c r="F265" s="2"/>
      <c r="G265" s="2"/>
      <c r="H265" s="2"/>
      <c r="I265" s="2"/>
      <c r="K265" s="2"/>
      <c r="L265" s="2"/>
      <c r="M265" s="2"/>
    </row>
    <row r="266" spans="1:13" x14ac:dyDescent="0.35">
      <c r="A266" s="2"/>
      <c r="B266" s="2"/>
      <c r="C266" s="2"/>
      <c r="D266" s="2"/>
      <c r="E266" s="2"/>
      <c r="F266" s="2"/>
      <c r="G266" s="2"/>
      <c r="H266" s="2"/>
      <c r="I266" s="2"/>
      <c r="K266" s="2"/>
      <c r="L266" s="2"/>
      <c r="M266" s="2"/>
    </row>
    <row r="267" spans="1:13" x14ac:dyDescent="0.35">
      <c r="A267" s="2"/>
      <c r="B267" s="2"/>
      <c r="C267" s="2"/>
      <c r="D267" s="2"/>
      <c r="E267" s="2"/>
      <c r="F267" s="2"/>
      <c r="G267" s="2"/>
      <c r="H267" s="2"/>
      <c r="I267" s="2"/>
      <c r="K267" s="2"/>
      <c r="L267" s="2"/>
      <c r="M267" s="2"/>
    </row>
    <row r="268" spans="1:13" x14ac:dyDescent="0.35">
      <c r="A268" s="2"/>
      <c r="B268" s="2"/>
      <c r="C268" s="2"/>
      <c r="D268" s="2"/>
      <c r="E268" s="2"/>
      <c r="F268" s="2"/>
      <c r="G268" s="2"/>
      <c r="H268" s="2"/>
      <c r="I268" s="2"/>
      <c r="K268" s="2"/>
      <c r="L268" s="2"/>
      <c r="M268" s="2"/>
    </row>
    <row r="269" spans="1:13" x14ac:dyDescent="0.35">
      <c r="A269" s="2"/>
      <c r="B269" s="2"/>
      <c r="C269" s="2"/>
      <c r="D269" s="2"/>
      <c r="E269" s="2"/>
      <c r="F269" s="2"/>
      <c r="G269" s="2"/>
      <c r="H269" s="2"/>
      <c r="I269" s="2"/>
      <c r="K269" s="2"/>
      <c r="L269" s="2"/>
      <c r="M269" s="2"/>
    </row>
    <row r="270" spans="1:13" x14ac:dyDescent="0.35">
      <c r="A270" s="2"/>
      <c r="B270" s="2"/>
      <c r="C270" s="2"/>
      <c r="D270" s="2"/>
      <c r="E270" s="2"/>
      <c r="F270" s="2"/>
      <c r="G270" s="2"/>
      <c r="H270" s="2"/>
      <c r="I270" s="2"/>
      <c r="K270" s="2"/>
      <c r="L270" s="2"/>
      <c r="M270" s="2"/>
    </row>
    <row r="271" spans="1:13" x14ac:dyDescent="0.35">
      <c r="A271" s="2"/>
      <c r="B271" s="2"/>
      <c r="C271" s="2"/>
      <c r="D271" s="2"/>
      <c r="E271" s="2"/>
      <c r="F271" s="2"/>
      <c r="G271" s="2"/>
      <c r="H271" s="2"/>
      <c r="I271" s="2"/>
      <c r="K271" s="2"/>
      <c r="L271" s="2"/>
      <c r="M271" s="2"/>
    </row>
    <row r="272" spans="1:13" x14ac:dyDescent="0.35">
      <c r="A272" s="2"/>
      <c r="B272" s="2"/>
      <c r="C272" s="2"/>
      <c r="D272" s="2"/>
      <c r="E272" s="2"/>
      <c r="F272" s="2"/>
      <c r="G272" s="2"/>
      <c r="H272" s="2"/>
      <c r="I272" s="2"/>
      <c r="K272" s="2"/>
      <c r="L272" s="2"/>
      <c r="M272" s="2"/>
    </row>
    <row r="273" spans="1:13" x14ac:dyDescent="0.35">
      <c r="A273" s="2"/>
      <c r="B273" s="2"/>
      <c r="C273" s="2"/>
      <c r="D273" s="2"/>
      <c r="E273" s="2"/>
      <c r="F273" s="2"/>
      <c r="G273" s="2"/>
      <c r="H273" s="2"/>
      <c r="I273" s="2"/>
      <c r="K273" s="2"/>
      <c r="L273" s="2"/>
      <c r="M273" s="2"/>
    </row>
    <row r="274" spans="1:13" x14ac:dyDescent="0.35">
      <c r="A274" s="2"/>
      <c r="B274" s="2"/>
      <c r="C274" s="2"/>
      <c r="D274" s="2"/>
      <c r="E274" s="2"/>
      <c r="F274" s="2"/>
      <c r="G274" s="2"/>
      <c r="H274" s="2"/>
      <c r="I274" s="2"/>
      <c r="K274" s="2"/>
      <c r="L274" s="2"/>
      <c r="M274" s="2"/>
    </row>
    <row r="275" spans="1:13" x14ac:dyDescent="0.35">
      <c r="A275" s="2"/>
      <c r="B275" s="2"/>
      <c r="C275" s="2"/>
      <c r="D275" s="2"/>
      <c r="E275" s="2"/>
      <c r="F275" s="2"/>
      <c r="G275" s="2"/>
      <c r="H275" s="2"/>
      <c r="I275" s="2"/>
      <c r="K275" s="2"/>
      <c r="L275" s="2"/>
      <c r="M275" s="2"/>
    </row>
    <row r="276" spans="1:13" x14ac:dyDescent="0.35">
      <c r="A276" s="2"/>
      <c r="B276" s="2"/>
      <c r="C276" s="2"/>
      <c r="D276" s="2"/>
      <c r="E276" s="2"/>
      <c r="F276" s="2"/>
      <c r="G276" s="2"/>
      <c r="H276" s="2"/>
      <c r="I276" s="2"/>
      <c r="K276" s="2"/>
      <c r="L276" s="2"/>
      <c r="M276" s="2"/>
    </row>
  </sheetData>
  <printOptions horizontalCentered="1"/>
  <pageMargins left="0" right="0.15" top="0.63" bottom="0.36" header="0.22" footer="0.17"/>
  <pageSetup scale="64" orientation="landscape" horizontalDpi="4294967295" verticalDpi="4294967295" r:id="rId1"/>
  <headerFooter alignWithMargins="0">
    <oddHeader xml:space="preserve">&amp;L&amp;"Times New Roman,Bold"&amp;12REVISED AS OF &amp;D&amp;C&amp;"Times New Roman,Bold"UNIVERSITY of SOUTHERN CALIFORNIA
Statement of Activities
USC, Norris, REDC,  USC Care, AMI-USC, ICT Productions and APF
Restated for Publication &amp;R
</oddHeader>
    <oddFooter>&amp;Cpage &amp;P+1&amp;R&amp;Z&amp;F\&amp;A : &amp;D</oddFooter>
  </headerFooter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232"/>
  <sheetViews>
    <sheetView tabSelected="1" topLeftCell="A27" zoomScale="40" zoomScaleNormal="40" workbookViewId="0">
      <selection activeCell="V54" sqref="V54"/>
    </sheetView>
  </sheetViews>
  <sheetFormatPr defaultRowHeight="14.35" x14ac:dyDescent="0.5"/>
  <cols>
    <col min="1" max="1" width="24.41015625" customWidth="1"/>
    <col min="2" max="2" width="17.5859375" customWidth="1"/>
    <col min="3" max="3" width="20.703125" customWidth="1"/>
    <col min="4" max="4" width="18.1171875" customWidth="1"/>
    <col min="5" max="5" width="18.41015625" bestFit="1" customWidth="1"/>
    <col min="6" max="6" width="20" bestFit="1" customWidth="1"/>
    <col min="7" max="7" width="17.5859375" bestFit="1" customWidth="1"/>
    <col min="8" max="9" width="17.87890625" bestFit="1" customWidth="1"/>
    <col min="10" max="11" width="17.5859375" bestFit="1" customWidth="1"/>
    <col min="12" max="12" width="17.87890625" bestFit="1" customWidth="1"/>
    <col min="13" max="21" width="15.703125" customWidth="1"/>
    <col min="22" max="22" width="18.5859375" customWidth="1"/>
    <col min="23" max="23" width="15.29296875" customWidth="1"/>
    <col min="24" max="24" width="16.41015625" customWidth="1"/>
    <col min="25" max="25" width="15.703125" customWidth="1"/>
  </cols>
  <sheetData>
    <row r="3" spans="1:17" s="137" customFormat="1" ht="27.35" x14ac:dyDescent="0.4">
      <c r="B3" s="141" t="s">
        <v>134</v>
      </c>
      <c r="C3" s="141" t="s">
        <v>135</v>
      </c>
      <c r="D3" s="141" t="s">
        <v>136</v>
      </c>
      <c r="E3" s="141" t="s">
        <v>137</v>
      </c>
      <c r="F3" s="141" t="s">
        <v>138</v>
      </c>
      <c r="G3" s="141" t="s">
        <v>139</v>
      </c>
      <c r="H3" s="141" t="s">
        <v>140</v>
      </c>
      <c r="I3" s="141" t="s">
        <v>141</v>
      </c>
      <c r="J3" s="141" t="s">
        <v>142</v>
      </c>
      <c r="K3" s="141" t="s">
        <v>143</v>
      </c>
      <c r="L3" s="141" t="s">
        <v>144</v>
      </c>
      <c r="M3" s="143"/>
      <c r="N3" s="141" t="s">
        <v>125</v>
      </c>
      <c r="O3" s="141" t="s">
        <v>126</v>
      </c>
      <c r="P3" s="141" t="s">
        <v>127</v>
      </c>
      <c r="Q3" s="141" t="s">
        <v>128</v>
      </c>
    </row>
    <row r="4" spans="1:17" s="137" customFormat="1" ht="13.7" x14ac:dyDescent="0.4">
      <c r="A4" s="136" t="s">
        <v>130</v>
      </c>
      <c r="B4" s="138">
        <v>2523525000</v>
      </c>
      <c r="C4" s="138">
        <v>1902376000</v>
      </c>
      <c r="D4" s="138">
        <v>1321283000</v>
      </c>
      <c r="E4" s="138">
        <v>3129147119.5239997</v>
      </c>
      <c r="F4" s="138">
        <v>3922665000</v>
      </c>
      <c r="G4" s="138">
        <v>3233714000</v>
      </c>
      <c r="H4" s="138">
        <v>3861467000</v>
      </c>
      <c r="I4" s="138">
        <v>4760460000</v>
      </c>
      <c r="J4" s="138">
        <v>4242714000</v>
      </c>
      <c r="K4" s="138">
        <v>4336854000</v>
      </c>
      <c r="L4" s="138">
        <v>5268465000</v>
      </c>
      <c r="M4" s="144"/>
    </row>
    <row r="5" spans="1:17" s="137" customFormat="1" ht="13.7" x14ac:dyDescent="0.4">
      <c r="A5" s="136" t="s">
        <v>129</v>
      </c>
      <c r="B5" s="138">
        <v>1849344000</v>
      </c>
      <c r="C5" s="138">
        <v>1933529000</v>
      </c>
      <c r="D5" s="138">
        <v>2191669000</v>
      </c>
      <c r="E5" s="138">
        <v>2698272178</v>
      </c>
      <c r="F5" s="138">
        <v>2930739000</v>
      </c>
      <c r="G5" s="138">
        <v>3165396000</v>
      </c>
      <c r="H5" s="138">
        <v>3273784000</v>
      </c>
      <c r="I5" s="138">
        <v>3682731000</v>
      </c>
      <c r="J5" s="138">
        <v>3980355000</v>
      </c>
      <c r="K5" s="138">
        <v>4179379000</v>
      </c>
      <c r="L5" s="138">
        <v>4370669000</v>
      </c>
      <c r="M5" s="145"/>
    </row>
    <row r="6" spans="1:17" s="137" customFormat="1" ht="13.7" x14ac:dyDescent="0.4">
      <c r="A6" s="136" t="s">
        <v>205</v>
      </c>
      <c r="B6" s="138">
        <f t="shared" ref="B6:L6" si="0">B4-B5</f>
        <v>674181000</v>
      </c>
      <c r="C6" s="138">
        <f t="shared" si="0"/>
        <v>-31153000</v>
      </c>
      <c r="D6" s="138">
        <f t="shared" si="0"/>
        <v>-870386000</v>
      </c>
      <c r="E6" s="138">
        <f t="shared" si="0"/>
        <v>430874941.52399969</v>
      </c>
      <c r="F6" s="138">
        <f t="shared" si="0"/>
        <v>991926000</v>
      </c>
      <c r="G6" s="138">
        <f t="shared" si="0"/>
        <v>68318000</v>
      </c>
      <c r="H6" s="138">
        <f t="shared" si="0"/>
        <v>587683000</v>
      </c>
      <c r="I6" s="138">
        <f t="shared" si="0"/>
        <v>1077729000</v>
      </c>
      <c r="J6" s="138">
        <f t="shared" si="0"/>
        <v>262359000</v>
      </c>
      <c r="K6" s="138">
        <f t="shared" si="0"/>
        <v>157475000</v>
      </c>
      <c r="L6" s="138">
        <f t="shared" si="0"/>
        <v>897796000</v>
      </c>
      <c r="M6" s="142"/>
    </row>
    <row r="72" spans="1:22" x14ac:dyDescent="0.5">
      <c r="A72" s="142"/>
      <c r="B72" s="210"/>
      <c r="C72" s="210"/>
      <c r="D72" s="210"/>
      <c r="E72" s="210"/>
      <c r="F72" s="210"/>
      <c r="G72" s="210"/>
      <c r="H72" s="210"/>
      <c r="I72" s="210"/>
      <c r="J72" s="210"/>
      <c r="K72" s="210"/>
      <c r="L72" s="210"/>
      <c r="M72" s="137"/>
      <c r="N72" s="190"/>
      <c r="O72" s="190"/>
      <c r="P72" s="190"/>
      <c r="Q72" s="190"/>
      <c r="R72" s="190"/>
    </row>
    <row r="73" spans="1:22" x14ac:dyDescent="0.5">
      <c r="A73" s="209"/>
      <c r="B73" s="208"/>
      <c r="C73" s="208"/>
      <c r="D73" s="208"/>
      <c r="E73" s="208"/>
      <c r="F73" s="208"/>
      <c r="G73" s="208"/>
      <c r="H73" s="208"/>
      <c r="I73" s="208"/>
      <c r="J73" s="208"/>
      <c r="K73" s="208"/>
      <c r="L73" s="208"/>
      <c r="M73" s="137"/>
      <c r="N73" s="207"/>
      <c r="O73" s="207"/>
      <c r="P73" s="207"/>
      <c r="Q73" s="207"/>
      <c r="R73" s="207"/>
    </row>
    <row r="74" spans="1:22" x14ac:dyDescent="0.5">
      <c r="A74" s="209"/>
      <c r="B74" s="208"/>
      <c r="C74" s="208"/>
      <c r="D74" s="208"/>
      <c r="E74" s="208"/>
      <c r="F74" s="208"/>
      <c r="G74" s="208"/>
      <c r="H74" s="208"/>
      <c r="I74" s="208"/>
      <c r="J74" s="208"/>
      <c r="K74" s="208"/>
      <c r="L74" s="208"/>
      <c r="M74" s="137"/>
      <c r="N74" s="207"/>
      <c r="O74" s="207"/>
      <c r="P74" s="207"/>
      <c r="Q74" s="207"/>
      <c r="R74" s="207"/>
    </row>
    <row r="75" spans="1:22" s="202" customFormat="1" ht="14.7" thickBot="1" x14ac:dyDescent="0.55000000000000004">
      <c r="A75" s="206" t="s">
        <v>201</v>
      </c>
      <c r="B75" s="205"/>
      <c r="C75" s="205"/>
      <c r="D75" s="205"/>
      <c r="E75" s="205"/>
      <c r="F75" s="205"/>
      <c r="G75" s="205"/>
      <c r="H75" s="205"/>
      <c r="I75" s="205"/>
      <c r="J75" s="205"/>
      <c r="K75" s="205"/>
      <c r="L75" s="205"/>
      <c r="M75" s="204"/>
      <c r="N75" s="203"/>
      <c r="O75" s="203"/>
      <c r="P75" s="203"/>
      <c r="Q75" s="203"/>
      <c r="R75" s="203"/>
    </row>
    <row r="77" spans="1:22" x14ac:dyDescent="0.5">
      <c r="B77" s="190" t="s">
        <v>200</v>
      </c>
      <c r="C77" s="190" t="s">
        <v>130</v>
      </c>
      <c r="D77" s="190" t="s">
        <v>186</v>
      </c>
      <c r="E77" s="190" t="s">
        <v>206</v>
      </c>
      <c r="F77" s="137"/>
      <c r="G77" s="201">
        <v>2007</v>
      </c>
      <c r="H77" s="201">
        <v>2008</v>
      </c>
      <c r="I77" s="201">
        <v>2009</v>
      </c>
      <c r="J77" s="201">
        <v>2010</v>
      </c>
      <c r="K77" s="201">
        <v>2011</v>
      </c>
      <c r="L77" s="201">
        <v>2012</v>
      </c>
      <c r="M77" s="201">
        <v>2013</v>
      </c>
      <c r="N77" s="201">
        <v>2014</v>
      </c>
      <c r="O77" s="201">
        <v>2015</v>
      </c>
      <c r="P77" s="201">
        <v>2016</v>
      </c>
      <c r="Q77" s="201">
        <v>2017</v>
      </c>
      <c r="R77" s="200">
        <v>2018</v>
      </c>
      <c r="S77" s="200">
        <v>2019</v>
      </c>
      <c r="T77" s="200">
        <v>2020</v>
      </c>
      <c r="U77" s="200">
        <v>2021</v>
      </c>
      <c r="V77" s="200">
        <v>2022</v>
      </c>
    </row>
    <row r="78" spans="1:22" x14ac:dyDescent="0.5">
      <c r="B78" s="199">
        <v>2007</v>
      </c>
      <c r="C78" s="138">
        <v>2523525000</v>
      </c>
      <c r="D78" s="138">
        <v>1849344000</v>
      </c>
      <c r="E78" s="138">
        <f t="shared" ref="E78:E88" si="1">C78-D78</f>
        <v>674181000</v>
      </c>
      <c r="F78" s="190" t="s">
        <v>130</v>
      </c>
      <c r="G78" s="137">
        <v>2523525000</v>
      </c>
      <c r="H78" s="137">
        <v>1902376000</v>
      </c>
      <c r="I78" s="137">
        <v>1321283000</v>
      </c>
      <c r="J78" s="137">
        <v>3129147119.5239997</v>
      </c>
      <c r="K78" s="137">
        <v>3922665000</v>
      </c>
      <c r="L78" s="137">
        <v>3233714000</v>
      </c>
      <c r="M78" s="137">
        <v>3861467000</v>
      </c>
      <c r="N78" s="137">
        <v>4760460000</v>
      </c>
      <c r="O78" s="137">
        <v>4242714000</v>
      </c>
      <c r="P78" s="137">
        <v>4336854000</v>
      </c>
      <c r="Q78" s="137">
        <v>5268465000</v>
      </c>
      <c r="R78" s="189">
        <v>5432697252.3723145</v>
      </c>
      <c r="S78" s="189">
        <v>5754773004.7445068</v>
      </c>
      <c r="T78" s="189">
        <v>6076848757.1169434</v>
      </c>
      <c r="U78" s="189">
        <v>6398924509.4892578</v>
      </c>
      <c r="V78" s="189">
        <v>6721000261.8614502</v>
      </c>
    </row>
    <row r="79" spans="1:22" x14ac:dyDescent="0.5">
      <c r="B79" s="199">
        <v>2008</v>
      </c>
      <c r="C79" s="138">
        <v>1902376000</v>
      </c>
      <c r="D79" s="138">
        <v>1933529000</v>
      </c>
      <c r="E79" s="138">
        <f t="shared" si="1"/>
        <v>-31153000</v>
      </c>
      <c r="F79" s="190" t="s">
        <v>186</v>
      </c>
      <c r="G79" s="137">
        <v>1849344000</v>
      </c>
      <c r="H79" s="137">
        <v>1933529000</v>
      </c>
      <c r="I79" s="137">
        <v>2191669000</v>
      </c>
      <c r="J79" s="137">
        <v>2698272178</v>
      </c>
      <c r="K79" s="137">
        <v>2930739000</v>
      </c>
      <c r="L79" s="137">
        <v>3165396000</v>
      </c>
      <c r="M79" s="137">
        <v>3273784000</v>
      </c>
      <c r="N79" s="137">
        <v>3682731000</v>
      </c>
      <c r="O79" s="137">
        <v>3980355000</v>
      </c>
      <c r="P79" s="137">
        <v>4179379000</v>
      </c>
      <c r="Q79" s="137">
        <v>4370669000</v>
      </c>
      <c r="R79" s="189">
        <v>4710608596.7636108</v>
      </c>
      <c r="S79" s="189">
        <v>4976681738.9818115</v>
      </c>
      <c r="T79" s="189">
        <v>5242754881.2000122</v>
      </c>
      <c r="U79" s="189">
        <v>5508828023.4181519</v>
      </c>
      <c r="V79" s="189">
        <v>5774901165.6363525</v>
      </c>
    </row>
    <row r="80" spans="1:22" x14ac:dyDescent="0.5">
      <c r="B80" s="199">
        <v>2009</v>
      </c>
      <c r="C80" s="138">
        <v>1321283000</v>
      </c>
      <c r="D80" s="138">
        <v>2191669000</v>
      </c>
      <c r="E80" s="138">
        <f t="shared" si="1"/>
        <v>-870386000</v>
      </c>
      <c r="F80" s="190" t="s">
        <v>206</v>
      </c>
      <c r="G80" s="137">
        <v>674181000</v>
      </c>
      <c r="H80" s="137">
        <v>-31153000</v>
      </c>
      <c r="I80" s="137">
        <v>-870386000</v>
      </c>
      <c r="J80" s="137">
        <v>430874941.52399969</v>
      </c>
      <c r="K80" s="137">
        <v>991926000</v>
      </c>
      <c r="L80" s="137">
        <v>68318000</v>
      </c>
      <c r="M80" s="137">
        <v>587683000</v>
      </c>
      <c r="N80" s="137">
        <v>1077729000</v>
      </c>
      <c r="O80" s="137">
        <v>262359000</v>
      </c>
      <c r="P80" s="137">
        <v>157475000</v>
      </c>
      <c r="Q80" s="137">
        <v>897796000</v>
      </c>
      <c r="R80" s="189">
        <v>722088655.60865784</v>
      </c>
      <c r="S80" s="189">
        <v>778091265.76275635</v>
      </c>
      <c r="T80" s="189">
        <v>834093875.91687012</v>
      </c>
      <c r="U80" s="189">
        <v>890096486.07098389</v>
      </c>
      <c r="V80" s="189">
        <v>946099096.2250824</v>
      </c>
    </row>
    <row r="81" spans="1:6" x14ac:dyDescent="0.5">
      <c r="B81" s="199">
        <v>2010</v>
      </c>
      <c r="C81" s="138">
        <v>3129147119.5239997</v>
      </c>
      <c r="D81" s="138">
        <v>2698272178</v>
      </c>
      <c r="E81" s="138">
        <f t="shared" si="1"/>
        <v>430874941.52399969</v>
      </c>
    </row>
    <row r="82" spans="1:6" x14ac:dyDescent="0.5">
      <c r="B82" s="199">
        <v>2011</v>
      </c>
      <c r="C82" s="138">
        <v>3922665000</v>
      </c>
      <c r="D82" s="138">
        <v>2930739000</v>
      </c>
      <c r="E82" s="138">
        <f t="shared" si="1"/>
        <v>991926000</v>
      </c>
    </row>
    <row r="83" spans="1:6" x14ac:dyDescent="0.5">
      <c r="B83" s="199">
        <v>2012</v>
      </c>
      <c r="C83" s="138">
        <v>3233714000</v>
      </c>
      <c r="D83" s="138">
        <v>3165396000</v>
      </c>
      <c r="E83" s="138">
        <f t="shared" si="1"/>
        <v>68318000</v>
      </c>
    </row>
    <row r="84" spans="1:6" x14ac:dyDescent="0.5">
      <c r="B84" s="199">
        <v>2013</v>
      </c>
      <c r="C84" s="138">
        <v>3861467000</v>
      </c>
      <c r="D84" s="138">
        <v>3273784000</v>
      </c>
      <c r="E84" s="138">
        <f t="shared" si="1"/>
        <v>587683000</v>
      </c>
    </row>
    <row r="85" spans="1:6" x14ac:dyDescent="0.5">
      <c r="B85" s="199">
        <v>2014</v>
      </c>
      <c r="C85" s="138">
        <v>4760460000</v>
      </c>
      <c r="D85" s="138">
        <v>3682731000</v>
      </c>
      <c r="E85" s="138">
        <f t="shared" si="1"/>
        <v>1077729000</v>
      </c>
    </row>
    <row r="86" spans="1:6" x14ac:dyDescent="0.5">
      <c r="B86" s="199">
        <v>2015</v>
      </c>
      <c r="C86" s="138">
        <v>4242714000</v>
      </c>
      <c r="D86" s="138">
        <v>3980355000</v>
      </c>
      <c r="E86" s="138">
        <f t="shared" si="1"/>
        <v>262359000</v>
      </c>
    </row>
    <row r="87" spans="1:6" x14ac:dyDescent="0.5">
      <c r="B87" s="199">
        <v>2016</v>
      </c>
      <c r="C87" s="138">
        <v>4336854000</v>
      </c>
      <c r="D87" s="138">
        <v>4179379000</v>
      </c>
      <c r="E87" s="138">
        <f t="shared" si="1"/>
        <v>157475000</v>
      </c>
    </row>
    <row r="88" spans="1:6" x14ac:dyDescent="0.5">
      <c r="B88" s="199">
        <v>2017</v>
      </c>
      <c r="C88" s="138">
        <v>5268465000</v>
      </c>
      <c r="D88" s="138">
        <v>4370669000</v>
      </c>
      <c r="E88" s="138">
        <f t="shared" si="1"/>
        <v>897796000</v>
      </c>
    </row>
    <row r="89" spans="1:6" x14ac:dyDescent="0.5">
      <c r="A89" s="196" t="s">
        <v>199</v>
      </c>
      <c r="B89" s="198">
        <v>2018</v>
      </c>
      <c r="C89" s="197">
        <f>FORECAST($B$89,C78:C88,$B78:$B88)</f>
        <v>5432697252.3723145</v>
      </c>
      <c r="D89" s="197">
        <f>FORECAST($B$89,D78:D88,$B78:$B88)</f>
        <v>4710608596.7636108</v>
      </c>
      <c r="E89" s="197">
        <f>FORECAST($B$89,E78:E88,$B78:$B88)</f>
        <v>722088655.60865784</v>
      </c>
      <c r="F89" s="193"/>
    </row>
    <row r="90" spans="1:6" x14ac:dyDescent="0.5">
      <c r="A90" s="196" t="s">
        <v>198</v>
      </c>
      <c r="B90" s="198">
        <v>2019</v>
      </c>
      <c r="C90" s="196">
        <f>FORECAST($B90,C78:C89,$B78:$B89)</f>
        <v>5754773004.7445068</v>
      </c>
      <c r="D90" s="196">
        <f>FORECAST($B90,D78:D89,$B78:$B89)</f>
        <v>4976681738.9818115</v>
      </c>
      <c r="E90" s="197">
        <f>FORECAST($B90,E78:E89,$B78:$B89)</f>
        <v>778091265.76275635</v>
      </c>
      <c r="F90" s="193"/>
    </row>
    <row r="91" spans="1:6" x14ac:dyDescent="0.5">
      <c r="A91" s="196" t="s">
        <v>197</v>
      </c>
      <c r="B91" s="198">
        <v>2020</v>
      </c>
      <c r="C91" s="196">
        <f>FORECAST($B91,C78:C90,$B78:$B90)</f>
        <v>6076848757.1169434</v>
      </c>
      <c r="D91" s="196">
        <f>FORECAST($B91,D78:D90,$B78:$B90)</f>
        <v>5242754881.2000122</v>
      </c>
      <c r="E91" s="197">
        <f>FORECAST($B91,E78:E90,$B78:$B90)</f>
        <v>834093875.91687012</v>
      </c>
      <c r="F91" s="193"/>
    </row>
    <row r="92" spans="1:6" x14ac:dyDescent="0.5">
      <c r="A92" s="196" t="s">
        <v>196</v>
      </c>
      <c r="B92" s="198">
        <v>2021</v>
      </c>
      <c r="C92" s="196">
        <f>FORECAST($B92,C78:C91,$B78:$B91)</f>
        <v>6398924509.4892578</v>
      </c>
      <c r="D92" s="196">
        <f>FORECAST($B92,D78:D91,$B78:$B91)</f>
        <v>5508828023.4181519</v>
      </c>
      <c r="E92" s="197">
        <f>FORECAST($B92,E78:E91,$B78:$B91)</f>
        <v>890096486.07098389</v>
      </c>
      <c r="F92" s="193"/>
    </row>
    <row r="93" spans="1:6" x14ac:dyDescent="0.5">
      <c r="A93" s="196" t="s">
        <v>195</v>
      </c>
      <c r="B93" s="198">
        <v>2022</v>
      </c>
      <c r="C93" s="196">
        <f>FORECAST($B93,C78:C92,$B78:$B92)</f>
        <v>6721000261.8614502</v>
      </c>
      <c r="D93" s="196">
        <f>FORECAST($B93,D78:D92,$B78:$B92)</f>
        <v>5774901165.6363525</v>
      </c>
      <c r="E93" s="197">
        <f>FORECAST($B93,E78:E92,$B78:$B92)</f>
        <v>946099096.2250824</v>
      </c>
      <c r="F93" s="193"/>
    </row>
    <row r="94" spans="1:6" x14ac:dyDescent="0.5">
      <c r="A94" s="196" t="s">
        <v>194</v>
      </c>
      <c r="B94" s="198">
        <v>2023</v>
      </c>
      <c r="C94" s="197">
        <f>FORECAST($B94,C78:C93,$B78:$B93)</f>
        <v>7043076014.2337646</v>
      </c>
      <c r="D94" s="197">
        <f>FORECAST($B94,D78:D93,$B78:$B93)</f>
        <v>6040974307.8545532</v>
      </c>
      <c r="E94" s="197">
        <f>C94-D94</f>
        <v>1002101706.3792114</v>
      </c>
    </row>
    <row r="95" spans="1:6" x14ac:dyDescent="0.5">
      <c r="A95" s="196" t="s">
        <v>193</v>
      </c>
      <c r="B95" s="198">
        <v>2024</v>
      </c>
      <c r="C95" s="197">
        <f>FORECAST($B95,C78:C94,$B78:$B94)</f>
        <v>7365151766.605957</v>
      </c>
      <c r="D95" s="197">
        <f>FORECAST($B95,D78:D94,$B78:$B94)</f>
        <v>6307047450.0726929</v>
      </c>
      <c r="E95" s="197">
        <f>C95-D95</f>
        <v>1058104316.5332642</v>
      </c>
    </row>
    <row r="96" spans="1:6" x14ac:dyDescent="0.5">
      <c r="A96" s="196" t="s">
        <v>192</v>
      </c>
      <c r="B96" s="198">
        <v>2025</v>
      </c>
      <c r="C96" s="197">
        <f>FORECAST($B96,C78:C95,$B78:$B95)</f>
        <v>7687227518.9782715</v>
      </c>
      <c r="D96" s="197">
        <f>FORECAST($B96,D78:D95,$B78:$B95)</f>
        <v>6573120592.2909546</v>
      </c>
      <c r="E96" s="197">
        <f>C96-D96</f>
        <v>1114106926.6873169</v>
      </c>
    </row>
    <row r="97" spans="1:5" x14ac:dyDescent="0.5">
      <c r="A97" s="196" t="s">
        <v>191</v>
      </c>
      <c r="B97" s="198">
        <v>2026</v>
      </c>
      <c r="C97" s="197">
        <f>FORECAST($B97,C78:C96,$B78:$B96)</f>
        <v>8009303271.3505859</v>
      </c>
      <c r="D97" s="197">
        <f>FORECAST($B97,D78:D96,$B78:$B96)</f>
        <v>6839193734.5090942</v>
      </c>
      <c r="E97" s="197">
        <f>C97-D97</f>
        <v>1170109536.8414917</v>
      </c>
    </row>
    <row r="98" spans="1:5" x14ac:dyDescent="0.5">
      <c r="A98" s="196" t="s">
        <v>190</v>
      </c>
      <c r="B98" s="198">
        <v>2027</v>
      </c>
      <c r="C98" s="197">
        <f>FORECAST($B98,C78:C97,$B78:$B97)</f>
        <v>8331379023.7229004</v>
      </c>
      <c r="D98" s="197">
        <f>FORECAST($B98,D78:D97,$B78:$B97)</f>
        <v>7105266876.7272339</v>
      </c>
      <c r="E98" s="197">
        <f>C98-D98</f>
        <v>1226112146.9956665</v>
      </c>
    </row>
    <row r="99" spans="1:5" x14ac:dyDescent="0.5">
      <c r="A99" s="196" t="s">
        <v>189</v>
      </c>
      <c r="B99" s="194"/>
      <c r="C99" s="194"/>
      <c r="D99" s="194"/>
      <c r="E99" s="194"/>
    </row>
    <row r="100" spans="1:5" x14ac:dyDescent="0.5">
      <c r="A100" s="196" t="s">
        <v>188</v>
      </c>
      <c r="B100" s="194"/>
      <c r="C100" s="195"/>
      <c r="D100" s="194"/>
      <c r="E100" s="194"/>
    </row>
    <row r="101" spans="1:5" x14ac:dyDescent="0.5">
      <c r="C101" s="193"/>
      <c r="D101" s="193"/>
    </row>
    <row r="102" spans="1:5" x14ac:dyDescent="0.5">
      <c r="B102" s="190" t="s">
        <v>200</v>
      </c>
      <c r="C102" s="226" t="s">
        <v>208</v>
      </c>
      <c r="D102" s="226" t="s">
        <v>186</v>
      </c>
    </row>
    <row r="103" spans="1:5" x14ac:dyDescent="0.5">
      <c r="B103" s="199">
        <v>2007</v>
      </c>
      <c r="C103" s="217">
        <f>Trends!C19</f>
        <v>2010146</v>
      </c>
      <c r="D103" s="217">
        <f>1849344000/1000</f>
        <v>1849344</v>
      </c>
    </row>
    <row r="104" spans="1:5" x14ac:dyDescent="0.5">
      <c r="B104" s="199">
        <v>2008</v>
      </c>
      <c r="C104" s="217">
        <f>Trends!D19</f>
        <v>2061831</v>
      </c>
      <c r="D104" s="217">
        <f>1933529000/1000</f>
        <v>1933529</v>
      </c>
    </row>
    <row r="105" spans="1:5" x14ac:dyDescent="0.5">
      <c r="B105" s="199">
        <v>2009</v>
      </c>
      <c r="C105" s="217">
        <f>Trends!F19</f>
        <v>2224372</v>
      </c>
      <c r="D105" s="217">
        <f>2191669000/1000</f>
        <v>2191669</v>
      </c>
    </row>
    <row r="106" spans="1:5" x14ac:dyDescent="0.5">
      <c r="B106" s="199">
        <v>2010</v>
      </c>
      <c r="C106" s="217">
        <f>Trends!H19</f>
        <v>2832691.6705239997</v>
      </c>
      <c r="D106" s="217">
        <f>2698272178/1000</f>
        <v>2698272.1779999998</v>
      </c>
    </row>
    <row r="107" spans="1:5" x14ac:dyDescent="0.5">
      <c r="B107" s="199">
        <v>2011</v>
      </c>
      <c r="C107" s="217">
        <f>Trends!J19</f>
        <v>3297707</v>
      </c>
      <c r="D107" s="217">
        <f>2930739000/1000</f>
        <v>2930739</v>
      </c>
    </row>
    <row r="108" spans="1:5" x14ac:dyDescent="0.5">
      <c r="B108" s="199">
        <v>2012</v>
      </c>
      <c r="C108" s="217">
        <f>Trends!K19</f>
        <v>3294110</v>
      </c>
      <c r="D108" s="217">
        <f>3165396000/1000</f>
        <v>3165396</v>
      </c>
    </row>
    <row r="109" spans="1:5" x14ac:dyDescent="0.5">
      <c r="B109" s="199">
        <v>2013</v>
      </c>
      <c r="C109" s="217">
        <f>Trends!L19</f>
        <v>3510906</v>
      </c>
      <c r="D109" s="217">
        <f>3273784000/1000</f>
        <v>3273784</v>
      </c>
    </row>
    <row r="110" spans="1:5" x14ac:dyDescent="0.5">
      <c r="B110" s="199">
        <v>2014</v>
      </c>
      <c r="C110" s="217">
        <f>Trends!M19</f>
        <v>4021123</v>
      </c>
      <c r="D110" s="217">
        <f>3682731000/1000</f>
        <v>3682731</v>
      </c>
    </row>
    <row r="111" spans="1:5" x14ac:dyDescent="0.5">
      <c r="B111" s="199">
        <v>2015</v>
      </c>
      <c r="C111" s="217">
        <f>Trends!O19</f>
        <v>4138273</v>
      </c>
      <c r="D111" s="217">
        <f>3980355000/1000</f>
        <v>3980355</v>
      </c>
    </row>
    <row r="112" spans="1:5" x14ac:dyDescent="0.5">
      <c r="B112" s="199">
        <v>2016</v>
      </c>
      <c r="C112" s="217">
        <f>Trends!P19</f>
        <v>4461594</v>
      </c>
      <c r="D112" s="217">
        <f>4179379000/1000</f>
        <v>4179379</v>
      </c>
    </row>
    <row r="113" spans="1:21" x14ac:dyDescent="0.5">
      <c r="B113" s="199">
        <v>2017</v>
      </c>
      <c r="C113" s="217">
        <f>Trends!Q19</f>
        <v>4687556</v>
      </c>
      <c r="D113" s="217">
        <f>4370669000/1000</f>
        <v>4370669</v>
      </c>
    </row>
    <row r="114" spans="1:21" x14ac:dyDescent="0.5">
      <c r="B114" s="198">
        <v>2018</v>
      </c>
      <c r="C114" s="225">
        <f>FORECAST($B$89,C103:C113,$B103:$B113)</f>
        <v>5030093.6059905291</v>
      </c>
      <c r="D114" s="225">
        <f>FORECAST($B$89,D103:D113,$B103:$B113)</f>
        <v>4710608.59676373</v>
      </c>
    </row>
    <row r="115" spans="1:21" x14ac:dyDescent="0.5">
      <c r="B115" s="198">
        <v>2019</v>
      </c>
      <c r="C115" s="225">
        <f>FORECAST($B115,C103:C114,$B103:$B114)</f>
        <v>5314801.4847083092</v>
      </c>
      <c r="D115" s="225">
        <f>FORECAST($B115,D103:D114,$B103:$B114)</f>
        <v>4976681.7389817834</v>
      </c>
    </row>
    <row r="116" spans="1:21" x14ac:dyDescent="0.5">
      <c r="B116" s="198">
        <v>2020</v>
      </c>
      <c r="C116" s="225">
        <f>FORECAST($B116,C103:C115,$B103:$B115)</f>
        <v>5599509.3634259701</v>
      </c>
      <c r="D116" s="225">
        <f>FORECAST($B116,D103:D115,$B103:$B115)</f>
        <v>5242754.8811999559</v>
      </c>
    </row>
    <row r="117" spans="1:21" x14ac:dyDescent="0.5">
      <c r="B117" s="198">
        <v>2021</v>
      </c>
      <c r="C117" s="225">
        <f>FORECAST($B117,C103:C116,$B103:$B116)</f>
        <v>5884217.242143631</v>
      </c>
      <c r="D117" s="225">
        <f>FORECAST($B117,D103:D116,$B103:$B116)</f>
        <v>5508828.0234181285</v>
      </c>
    </row>
    <row r="118" spans="1:21" x14ac:dyDescent="0.5">
      <c r="B118" s="198">
        <v>2022</v>
      </c>
      <c r="C118" s="225">
        <f>FORECAST($B118,C103:C117,$B103:$B117)</f>
        <v>6168925.1208614111</v>
      </c>
      <c r="D118" s="225">
        <f>FORECAST($B118,D103:D117,$B103:$B117)</f>
        <v>5774901.165636301</v>
      </c>
    </row>
    <row r="119" spans="1:21" x14ac:dyDescent="0.5">
      <c r="B119" s="198">
        <v>2023</v>
      </c>
      <c r="C119" s="225">
        <f>FORECAST($B119,C103:C118,$B103:$B118)</f>
        <v>6453632.9995791912</v>
      </c>
      <c r="D119" s="225">
        <f>FORECAST($B119,D103:D118,$B103:$B118)</f>
        <v>6040974.3078544736</v>
      </c>
    </row>
    <row r="120" spans="1:21" x14ac:dyDescent="0.5">
      <c r="B120" s="198">
        <v>2024</v>
      </c>
      <c r="C120" s="225">
        <f>FORECAST($B120,C103:C119,$B103:$B119)</f>
        <v>6738340.8782968521</v>
      </c>
      <c r="D120" s="225">
        <f>FORECAST($B120,D103:D119,$B103:$B119)</f>
        <v>6307047.4500727057</v>
      </c>
    </row>
    <row r="121" spans="1:21" x14ac:dyDescent="0.5">
      <c r="B121" s="198">
        <v>2025</v>
      </c>
      <c r="C121" s="225">
        <f>FORECAST($B121,C103:C120,$B103:$B120)</f>
        <v>7023048.7570146322</v>
      </c>
      <c r="D121" s="225">
        <f>FORECAST($B121,D103:D120,$B103:$B120)</f>
        <v>6573120.5922908187</v>
      </c>
    </row>
    <row r="122" spans="1:21" x14ac:dyDescent="0.5">
      <c r="B122" s="198">
        <v>2026</v>
      </c>
      <c r="C122" s="225">
        <f>FORECAST($B122,C103:C121,$B103:$B121)</f>
        <v>7307756.6357324123</v>
      </c>
      <c r="D122" s="225">
        <f>FORECAST($B122,D103:D121,$B103:$B121)</f>
        <v>6839193.7345090508</v>
      </c>
    </row>
    <row r="123" spans="1:21" x14ac:dyDescent="0.5">
      <c r="A123" s="136" t="s">
        <v>187</v>
      </c>
      <c r="B123" s="198">
        <v>2027</v>
      </c>
      <c r="C123" s="225">
        <f>FORECAST($B123,C103:C122,$B103:$B122)</f>
        <v>7592464.5144501925</v>
      </c>
      <c r="D123" s="225">
        <f>FORECAST($B123,D103:D122,$B103:$B122)</f>
        <v>7105266.8767272234</v>
      </c>
    </row>
    <row r="125" spans="1:21" x14ac:dyDescent="0.5">
      <c r="B125" s="192">
        <v>2018</v>
      </c>
      <c r="C125" s="192">
        <v>2019</v>
      </c>
      <c r="D125" s="192">
        <v>2020</v>
      </c>
      <c r="E125" s="192">
        <v>2021</v>
      </c>
      <c r="F125" s="192">
        <v>2022</v>
      </c>
      <c r="G125" s="192">
        <v>2023</v>
      </c>
      <c r="H125" s="192">
        <v>2024</v>
      </c>
      <c r="I125" s="192">
        <v>2025</v>
      </c>
      <c r="J125" s="192">
        <v>2026</v>
      </c>
      <c r="K125" s="192">
        <v>2027</v>
      </c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</row>
    <row r="126" spans="1:21" x14ac:dyDescent="0.5">
      <c r="A126" s="190" t="s">
        <v>130</v>
      </c>
      <c r="B126" s="191">
        <v>5432697252.3723145</v>
      </c>
      <c r="C126" s="191">
        <v>5754773004.7445068</v>
      </c>
      <c r="D126" s="191">
        <v>6076848757.1169434</v>
      </c>
      <c r="E126" s="191">
        <v>6398924509.4892578</v>
      </c>
      <c r="F126" s="191">
        <v>6721000261.8614502</v>
      </c>
      <c r="G126" s="191">
        <v>7043076014.2337646</v>
      </c>
      <c r="H126" s="191">
        <v>7365151766.605957</v>
      </c>
      <c r="I126" s="191">
        <v>7687227518.9782715</v>
      </c>
      <c r="J126" s="191">
        <v>8009303271.3505859</v>
      </c>
      <c r="K126" s="191">
        <v>8331379023.7229004</v>
      </c>
      <c r="L126" s="137"/>
      <c r="M126" s="137"/>
      <c r="N126" s="137"/>
      <c r="O126" s="137"/>
      <c r="P126" s="137"/>
      <c r="Q126" s="137"/>
      <c r="R126" s="137"/>
      <c r="S126" s="137"/>
      <c r="T126" s="137"/>
      <c r="U126" s="137"/>
    </row>
    <row r="127" spans="1:21" x14ac:dyDescent="0.5">
      <c r="A127" s="190" t="s">
        <v>186</v>
      </c>
      <c r="B127" s="191">
        <v>4710608596.7636108</v>
      </c>
      <c r="C127" s="191">
        <v>4976681738.9818115</v>
      </c>
      <c r="D127" s="191">
        <v>5242754881.2000122</v>
      </c>
      <c r="E127" s="191">
        <v>5508828023.4181519</v>
      </c>
      <c r="F127" s="191">
        <v>5774901165.6363525</v>
      </c>
      <c r="G127" s="191">
        <v>6040974307.8545532</v>
      </c>
      <c r="H127" s="191">
        <v>6307047450.0726929</v>
      </c>
      <c r="I127" s="191">
        <v>6573120592.2909546</v>
      </c>
      <c r="J127" s="191">
        <v>6839193734.5090942</v>
      </c>
      <c r="K127" s="191">
        <v>7105266876.7272339</v>
      </c>
      <c r="L127" s="137"/>
      <c r="M127" s="137"/>
      <c r="N127" s="137"/>
      <c r="O127" s="137"/>
      <c r="P127" s="137"/>
      <c r="Q127" s="137"/>
      <c r="R127" s="137"/>
      <c r="S127" s="137"/>
      <c r="T127" s="137"/>
      <c r="U127" s="137"/>
    </row>
    <row r="128" spans="1:21" x14ac:dyDescent="0.5">
      <c r="A128" s="190" t="s">
        <v>206</v>
      </c>
      <c r="B128" s="189">
        <v>722088655.60865784</v>
      </c>
      <c r="C128" s="189">
        <v>778091265.76275635</v>
      </c>
      <c r="D128" s="189">
        <v>834093875.91687012</v>
      </c>
      <c r="E128" s="189">
        <v>890096486.07098389</v>
      </c>
      <c r="F128" s="189">
        <v>946099096.2250824</v>
      </c>
      <c r="G128" s="189">
        <v>1002101706.3792114</v>
      </c>
      <c r="H128" s="189">
        <v>1058104316.5332642</v>
      </c>
      <c r="I128" s="189">
        <v>1114106926.6873169</v>
      </c>
      <c r="J128" s="189">
        <v>1170109536.8414917</v>
      </c>
      <c r="K128" s="189">
        <v>1226112146.9956665</v>
      </c>
      <c r="L128" s="137"/>
      <c r="M128" s="137"/>
      <c r="N128" s="137"/>
      <c r="O128" s="137"/>
      <c r="P128" s="137"/>
      <c r="Q128" s="137"/>
      <c r="R128" s="137"/>
      <c r="S128" s="137"/>
      <c r="T128" s="137"/>
      <c r="U128" s="137"/>
    </row>
    <row r="153" spans="1:23" ht="15.35" x14ac:dyDescent="0.5">
      <c r="A153" s="188" t="s">
        <v>185</v>
      </c>
    </row>
    <row r="154" spans="1:23" ht="15.35" x14ac:dyDescent="0.5">
      <c r="A154" s="187"/>
      <c r="B154" s="186">
        <v>2007</v>
      </c>
      <c r="C154" s="186">
        <v>2008</v>
      </c>
      <c r="D154" s="186">
        <v>2009</v>
      </c>
      <c r="E154" s="186">
        <v>2010</v>
      </c>
      <c r="F154" s="186">
        <v>2011</v>
      </c>
      <c r="G154" s="186">
        <v>2012</v>
      </c>
      <c r="H154" s="186">
        <v>2013</v>
      </c>
      <c r="I154" s="186">
        <v>2014</v>
      </c>
      <c r="J154" s="186">
        <v>2015</v>
      </c>
      <c r="K154" s="186">
        <v>2016</v>
      </c>
      <c r="L154" s="186">
        <v>2017</v>
      </c>
      <c r="M154" s="186">
        <v>2018</v>
      </c>
      <c r="N154" s="186">
        <v>2019</v>
      </c>
      <c r="O154" s="186">
        <v>2020</v>
      </c>
      <c r="P154" s="186">
        <v>2021</v>
      </c>
      <c r="W154" s="183"/>
    </row>
    <row r="155" spans="1:23" ht="15.35" x14ac:dyDescent="0.5">
      <c r="A155" s="136" t="s">
        <v>130</v>
      </c>
      <c r="B155" s="185">
        <v>2523525</v>
      </c>
      <c r="C155" s="185">
        <v>1902376</v>
      </c>
      <c r="D155" s="185">
        <v>1321283</v>
      </c>
      <c r="E155" s="185">
        <v>3129147.1195239997</v>
      </c>
      <c r="F155" s="185">
        <v>3922665</v>
      </c>
      <c r="G155" s="185">
        <v>3233714</v>
      </c>
      <c r="H155" s="185">
        <v>3861467</v>
      </c>
      <c r="I155" s="185">
        <v>4760460</v>
      </c>
      <c r="J155" s="185">
        <v>4242714</v>
      </c>
      <c r="K155" s="185">
        <v>4336854</v>
      </c>
      <c r="L155" s="185">
        <v>5268465</v>
      </c>
      <c r="M155" s="184">
        <v>5452861.2750000004</v>
      </c>
      <c r="N155" s="184">
        <v>5643711.4196250001</v>
      </c>
      <c r="O155" s="184">
        <v>5841241.3193118749</v>
      </c>
      <c r="P155" s="184">
        <v>6045684.7654877901</v>
      </c>
      <c r="W155" s="183"/>
    </row>
    <row r="156" spans="1:23" ht="15.35" x14ac:dyDescent="0.5">
      <c r="A156" s="137" t="s">
        <v>152</v>
      </c>
      <c r="B156" s="183"/>
      <c r="C156" s="182">
        <v>-0.24614339069357347</v>
      </c>
      <c r="D156" s="182">
        <v>-0.30545643973641384</v>
      </c>
      <c r="E156" s="182">
        <v>1.3682641186816147</v>
      </c>
      <c r="F156" s="182">
        <v>0.25358918905567751</v>
      </c>
      <c r="G156" s="182">
        <v>-0.17563340229155433</v>
      </c>
      <c r="H156" s="182">
        <v>0.19412755735355694</v>
      </c>
      <c r="I156" s="182">
        <v>0.23281126059085835</v>
      </c>
      <c r="J156" s="182">
        <v>-0.10875965768014015</v>
      </c>
      <c r="K156" s="182">
        <v>2.2188627373893221E-2</v>
      </c>
      <c r="L156" s="182">
        <v>0.21481262684886326</v>
      </c>
      <c r="M156" s="182">
        <v>3.5000000000000073E-2</v>
      </c>
      <c r="N156" s="182">
        <v>3.4999999999999948E-2</v>
      </c>
      <c r="O156" s="182">
        <v>3.4999999999999969E-2</v>
      </c>
      <c r="P156" s="182">
        <v>3.4999999999999927E-2</v>
      </c>
      <c r="R156" s="182"/>
      <c r="W156" s="183"/>
    </row>
    <row r="157" spans="1:23" ht="15.35" x14ac:dyDescent="0.5">
      <c r="A157" s="136" t="s">
        <v>129</v>
      </c>
      <c r="B157" s="185">
        <v>1849344</v>
      </c>
      <c r="C157" s="185">
        <v>1933529</v>
      </c>
      <c r="D157" s="185">
        <v>2191669</v>
      </c>
      <c r="E157" s="185">
        <v>2698272.1779999998</v>
      </c>
      <c r="F157" s="185">
        <v>2930739</v>
      </c>
      <c r="G157" s="185">
        <v>3165396</v>
      </c>
      <c r="H157" s="185">
        <v>3273784</v>
      </c>
      <c r="I157" s="185">
        <v>3682731</v>
      </c>
      <c r="J157" s="185">
        <v>3980355</v>
      </c>
      <c r="K157" s="185">
        <v>4179379</v>
      </c>
      <c r="L157" s="185">
        <v>4370669</v>
      </c>
      <c r="M157" s="184">
        <v>4491495.76</v>
      </c>
      <c r="N157" s="184">
        <v>4617155.5904000001</v>
      </c>
      <c r="O157" s="184">
        <v>4747841.8140160004</v>
      </c>
      <c r="P157" s="184">
        <v>4937755.48657664</v>
      </c>
      <c r="W157" s="183"/>
    </row>
    <row r="158" spans="1:23" ht="15.35" x14ac:dyDescent="0.5">
      <c r="A158" s="137" t="s">
        <v>153</v>
      </c>
      <c r="B158" s="183"/>
      <c r="C158" s="182">
        <v>4.5521547099944631E-2</v>
      </c>
      <c r="D158" s="182">
        <v>0.13350717780803908</v>
      </c>
      <c r="E158" s="182">
        <v>0.23114949292069187</v>
      </c>
      <c r="F158" s="182">
        <v>8.6153955814905259E-2</v>
      </c>
      <c r="G158" s="182">
        <v>8.0067518806690052E-2</v>
      </c>
      <c r="H158" s="182">
        <v>3.4241529337877476E-2</v>
      </c>
      <c r="I158" s="182">
        <v>0.12491569388817345</v>
      </c>
      <c r="J158" s="182">
        <v>8.0816111738815574E-2</v>
      </c>
      <c r="K158" s="182">
        <v>5.000157021170222E-2</v>
      </c>
      <c r="L158" s="182">
        <v>4.5769957689886467E-2</v>
      </c>
      <c r="M158" s="182">
        <v>2.7644912026053625E-2</v>
      </c>
      <c r="N158" s="182">
        <v>2.7977279087980332E-2</v>
      </c>
      <c r="O158" s="182">
        <v>2.8304487699683186E-2</v>
      </c>
      <c r="P158" s="182">
        <v>3.9999999999999931E-2</v>
      </c>
      <c r="R158" s="183"/>
      <c r="W158" s="183"/>
    </row>
    <row r="159" spans="1:23" ht="15.35" x14ac:dyDescent="0.5">
      <c r="A159" s="183"/>
      <c r="B159" s="183"/>
      <c r="C159" s="183"/>
      <c r="D159" s="183"/>
      <c r="E159" s="183"/>
      <c r="F159" s="183"/>
      <c r="G159" s="183"/>
      <c r="H159" s="183"/>
      <c r="I159" s="183"/>
      <c r="J159" s="183"/>
      <c r="M159" s="183"/>
      <c r="R159" s="183"/>
      <c r="S159" s="183"/>
      <c r="T159" s="183"/>
      <c r="U159" s="183"/>
      <c r="V159" s="183"/>
      <c r="W159" s="183"/>
    </row>
    <row r="226" spans="1:25" ht="17.350000000000001" x14ac:dyDescent="0.7">
      <c r="A226" s="183" t="s">
        <v>145</v>
      </c>
      <c r="B226" s="137" t="s">
        <v>184</v>
      </c>
      <c r="C226" s="183" t="s">
        <v>154</v>
      </c>
      <c r="D226" s="137" t="s">
        <v>183</v>
      </c>
      <c r="I226" s="286"/>
      <c r="J226" s="287">
        <v>2008</v>
      </c>
      <c r="K226" s="287">
        <v>2009</v>
      </c>
      <c r="L226" s="287">
        <v>2010</v>
      </c>
      <c r="M226" s="287">
        <v>2011</v>
      </c>
      <c r="N226" s="287">
        <v>2012</v>
      </c>
      <c r="O226" s="287">
        <v>2013</v>
      </c>
      <c r="P226" s="287">
        <v>2014</v>
      </c>
      <c r="Q226" s="287">
        <v>2015</v>
      </c>
      <c r="R226" s="287">
        <v>2016</v>
      </c>
      <c r="S226" s="287">
        <v>2017</v>
      </c>
      <c r="T226" s="287">
        <v>2018</v>
      </c>
      <c r="U226" s="287">
        <v>2019</v>
      </c>
      <c r="V226" s="287">
        <v>2020</v>
      </c>
      <c r="W226" s="287">
        <v>2021</v>
      </c>
      <c r="Y226" s="289"/>
    </row>
    <row r="227" spans="1:25" ht="17.350000000000001" x14ac:dyDescent="0.7">
      <c r="A227" s="182">
        <v>7.6385029150537243E-2</v>
      </c>
      <c r="B227" s="181">
        <v>0.03</v>
      </c>
      <c r="C227" s="182">
        <v>8.9815603143889255E-2</v>
      </c>
      <c r="D227" s="181">
        <v>0.04</v>
      </c>
      <c r="I227" s="288" t="s">
        <v>130</v>
      </c>
      <c r="J227" s="291">
        <v>1902376</v>
      </c>
      <c r="K227" s="291">
        <v>1321283</v>
      </c>
      <c r="L227" s="291">
        <v>3129147.1195239997</v>
      </c>
      <c r="M227" s="291">
        <v>3922665</v>
      </c>
      <c r="N227" s="291">
        <v>3233714</v>
      </c>
      <c r="O227" s="291">
        <v>3861467</v>
      </c>
      <c r="P227" s="291">
        <v>4760460</v>
      </c>
      <c r="Q227" s="291">
        <v>4242714</v>
      </c>
      <c r="R227" s="291">
        <v>4336854</v>
      </c>
      <c r="S227" s="291">
        <v>5268465</v>
      </c>
      <c r="T227" s="291">
        <v>5452861.2750000004</v>
      </c>
      <c r="U227" s="291">
        <v>5643711.4196250001</v>
      </c>
      <c r="V227" s="291">
        <v>5841241.3193118749</v>
      </c>
      <c r="W227" s="291">
        <v>6045684.7654877901</v>
      </c>
      <c r="Y227" s="286"/>
    </row>
    <row r="228" spans="1:25" ht="34.700000000000003" x14ac:dyDescent="0.7">
      <c r="I228" s="288" t="s">
        <v>152</v>
      </c>
      <c r="J228" s="290">
        <v>-0.24614339069357347</v>
      </c>
      <c r="K228" s="290">
        <v>-0.30545643973641384</v>
      </c>
      <c r="L228" s="290">
        <v>1.3682641186816147</v>
      </c>
      <c r="M228" s="290">
        <v>0.25358918905567751</v>
      </c>
      <c r="N228" s="290">
        <v>-0.17563340229155433</v>
      </c>
      <c r="O228" s="290">
        <v>0.19412755735355694</v>
      </c>
      <c r="P228" s="290">
        <v>0.23281126059085835</v>
      </c>
      <c r="Q228" s="290">
        <v>-0.10875965768014015</v>
      </c>
      <c r="R228" s="290">
        <v>2.2188627373893221E-2</v>
      </c>
      <c r="S228" s="290">
        <v>0.21481262684886326</v>
      </c>
      <c r="T228" s="290">
        <v>3.5000000000000073E-2</v>
      </c>
      <c r="U228" s="290">
        <v>3.4999999999999948E-2</v>
      </c>
      <c r="V228" s="290">
        <v>3.4999999999999969E-2</v>
      </c>
      <c r="W228" s="290">
        <v>3.4999999999999927E-2</v>
      </c>
      <c r="Y228" s="286"/>
    </row>
    <row r="229" spans="1:25" ht="17.350000000000001" x14ac:dyDescent="0.7">
      <c r="I229" s="292" t="s">
        <v>234</v>
      </c>
      <c r="J229" s="290">
        <v>7.5999999999999998E-2</v>
      </c>
      <c r="K229" s="290">
        <v>7.5999999999999998E-2</v>
      </c>
      <c r="L229" s="290">
        <v>7.5999999999999998E-2</v>
      </c>
      <c r="M229" s="290">
        <v>7.5999999999999998E-2</v>
      </c>
      <c r="N229" s="290">
        <v>7.5999999999999998E-2</v>
      </c>
      <c r="O229" s="290">
        <v>7.5999999999999998E-2</v>
      </c>
      <c r="P229" s="290">
        <v>7.5999999999999998E-2</v>
      </c>
      <c r="Q229" s="290">
        <v>7.5999999999999998E-2</v>
      </c>
      <c r="R229" s="290">
        <v>7.5999999999999998E-2</v>
      </c>
      <c r="S229" s="290">
        <v>7.5999999999999998E-2</v>
      </c>
      <c r="T229" s="290">
        <v>7.5999999999999998E-2</v>
      </c>
      <c r="U229" s="290">
        <v>7.5999999999999998E-2</v>
      </c>
      <c r="V229" s="290">
        <v>7.5999999999999998E-2</v>
      </c>
      <c r="W229" s="290">
        <v>7.5999999999999998E-2</v>
      </c>
      <c r="Y229" s="286"/>
    </row>
    <row r="230" spans="1:25" ht="17.350000000000001" x14ac:dyDescent="0.7">
      <c r="I230" s="288" t="s">
        <v>129</v>
      </c>
      <c r="J230" s="291">
        <v>1933529</v>
      </c>
      <c r="K230" s="291">
        <v>2191669</v>
      </c>
      <c r="L230" s="291">
        <v>2698272.1779999998</v>
      </c>
      <c r="M230" s="291">
        <v>2930739</v>
      </c>
      <c r="N230" s="291">
        <v>3165396</v>
      </c>
      <c r="O230" s="291">
        <v>3273784</v>
      </c>
      <c r="P230" s="291">
        <v>3682731</v>
      </c>
      <c r="Q230" s="291">
        <v>3980355</v>
      </c>
      <c r="R230" s="291">
        <v>4179379</v>
      </c>
      <c r="S230" s="291">
        <v>4370669</v>
      </c>
      <c r="T230" s="291">
        <v>4491495.76</v>
      </c>
      <c r="U230" s="291">
        <v>4617155.5904000001</v>
      </c>
      <c r="V230" s="291">
        <v>4747841.8140160004</v>
      </c>
      <c r="W230" s="291">
        <v>4937755.48657664</v>
      </c>
      <c r="Y230" s="286"/>
    </row>
    <row r="231" spans="1:25" ht="34.700000000000003" x14ac:dyDescent="0.7">
      <c r="I231" s="288" t="s">
        <v>153</v>
      </c>
      <c r="J231" s="290">
        <v>4.5521547099944631E-2</v>
      </c>
      <c r="K231" s="290">
        <v>0.13350717780803908</v>
      </c>
      <c r="L231" s="290">
        <v>0.23114949292069187</v>
      </c>
      <c r="M231" s="290">
        <v>8.6153955814905259E-2</v>
      </c>
      <c r="N231" s="290">
        <v>8.0067518806690052E-2</v>
      </c>
      <c r="O231" s="290">
        <v>3.4241529337877476E-2</v>
      </c>
      <c r="P231" s="290">
        <v>0.12491569388817345</v>
      </c>
      <c r="Q231" s="290">
        <v>8.0816111738815574E-2</v>
      </c>
      <c r="R231" s="290">
        <v>5.000157021170222E-2</v>
      </c>
      <c r="S231" s="290">
        <v>4.5769957689886467E-2</v>
      </c>
      <c r="T231" s="290">
        <v>2.7644912026053625E-2</v>
      </c>
      <c r="U231" s="290">
        <v>2.7977279087980332E-2</v>
      </c>
      <c r="V231" s="290">
        <v>2.8304487699683186E-2</v>
      </c>
      <c r="W231" s="290">
        <v>3.9999999999999931E-2</v>
      </c>
      <c r="Y231" s="286"/>
    </row>
    <row r="232" spans="1:25" ht="17.350000000000001" x14ac:dyDescent="0.7">
      <c r="I232" s="292" t="s">
        <v>234</v>
      </c>
      <c r="J232" s="290">
        <v>0.09</v>
      </c>
      <c r="K232" s="290">
        <v>0.09</v>
      </c>
      <c r="L232" s="290">
        <v>0.09</v>
      </c>
      <c r="M232" s="290">
        <v>0.09</v>
      </c>
      <c r="N232" s="290">
        <v>0.09</v>
      </c>
      <c r="O232" s="290">
        <v>0.09</v>
      </c>
      <c r="P232" s="290">
        <v>0.09</v>
      </c>
      <c r="Q232" s="290">
        <v>0.09</v>
      </c>
      <c r="R232" s="290">
        <v>0.09</v>
      </c>
      <c r="S232" s="290">
        <v>0.09</v>
      </c>
      <c r="T232" s="290">
        <v>0.09</v>
      </c>
      <c r="U232" s="290">
        <v>0.09</v>
      </c>
      <c r="V232" s="290">
        <v>0.09</v>
      </c>
      <c r="W232" s="290">
        <v>0.09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zoomScaleNormal="100" workbookViewId="0">
      <selection activeCell="C41" sqref="C41"/>
    </sheetView>
  </sheetViews>
  <sheetFormatPr defaultColWidth="9.1171875" defaultRowHeight="11.7" x14ac:dyDescent="0.4"/>
  <cols>
    <col min="1" max="1" width="35.87890625" style="157" customWidth="1"/>
    <col min="2" max="12" width="13.703125" style="157" bestFit="1" customWidth="1"/>
    <col min="13" max="16384" width="9.1171875" style="159"/>
  </cols>
  <sheetData>
    <row r="1" spans="1:12" x14ac:dyDescent="0.4">
      <c r="B1" s="158">
        <v>2007</v>
      </c>
      <c r="C1" s="158">
        <v>2008</v>
      </c>
      <c r="D1" s="158">
        <v>2009</v>
      </c>
      <c r="E1" s="158">
        <v>2010</v>
      </c>
      <c r="F1" s="158">
        <v>2011</v>
      </c>
      <c r="G1" s="158">
        <v>2012</v>
      </c>
      <c r="H1" s="158">
        <v>2013</v>
      </c>
      <c r="I1" s="158">
        <v>2014</v>
      </c>
      <c r="J1" s="158">
        <v>2015</v>
      </c>
      <c r="K1" s="158">
        <v>2016</v>
      </c>
      <c r="L1" s="158">
        <v>2017</v>
      </c>
    </row>
    <row r="2" spans="1:12" x14ac:dyDescent="0.4">
      <c r="A2" s="161" t="s">
        <v>60</v>
      </c>
      <c r="B2" s="162"/>
      <c r="C2" s="162"/>
      <c r="D2" s="162"/>
      <c r="E2" s="163"/>
      <c r="F2" s="162"/>
      <c r="G2" s="162"/>
      <c r="H2" s="162"/>
      <c r="I2" s="162"/>
      <c r="J2" s="162"/>
      <c r="K2" s="162"/>
      <c r="L2" s="162"/>
    </row>
    <row r="3" spans="1:12" x14ac:dyDescent="0.4">
      <c r="A3" s="167" t="s">
        <v>57</v>
      </c>
      <c r="B3" s="168">
        <v>672865000</v>
      </c>
      <c r="C3" s="168">
        <v>705981000</v>
      </c>
      <c r="D3" s="169">
        <v>745181000</v>
      </c>
      <c r="E3" s="170">
        <v>827013147.90999985</v>
      </c>
      <c r="F3" s="169">
        <v>910686000</v>
      </c>
      <c r="G3" s="169">
        <v>977160000</v>
      </c>
      <c r="H3" s="169">
        <v>1074811000</v>
      </c>
      <c r="I3" s="169">
        <v>1162317000</v>
      </c>
      <c r="J3" s="169">
        <v>1249949000</v>
      </c>
      <c r="K3" s="169">
        <v>1310151000</v>
      </c>
      <c r="L3" s="169">
        <v>1389034000</v>
      </c>
    </row>
    <row r="4" spans="1:12" x14ac:dyDescent="0.4">
      <c r="A4" s="164" t="s">
        <v>162</v>
      </c>
      <c r="B4" s="166">
        <v>0</v>
      </c>
      <c r="C4" s="166">
        <v>0</v>
      </c>
      <c r="D4" s="166">
        <v>101559000</v>
      </c>
      <c r="E4" s="166">
        <v>592668760</v>
      </c>
      <c r="F4" s="166">
        <v>684978000</v>
      </c>
      <c r="G4" s="166">
        <v>750120000</v>
      </c>
      <c r="H4" s="166">
        <v>823834000</v>
      </c>
      <c r="I4" s="166">
        <v>1027459000</v>
      </c>
      <c r="J4" s="166">
        <v>1167317000</v>
      </c>
      <c r="K4" s="166">
        <v>1322537000</v>
      </c>
      <c r="L4" s="166">
        <v>1407150000</v>
      </c>
    </row>
    <row r="5" spans="1:12" x14ac:dyDescent="0.4">
      <c r="A5" s="164" t="s">
        <v>163</v>
      </c>
      <c r="B5" s="166">
        <f>88011000+79773000</f>
        <v>167784000</v>
      </c>
      <c r="C5" s="166">
        <f>75251000+81201000</f>
        <v>156452000</v>
      </c>
      <c r="D5" s="166">
        <f>80427000+102983000</f>
        <v>183410000</v>
      </c>
      <c r="E5" s="166">
        <f>11996771+108624998</f>
        <v>120621769</v>
      </c>
      <c r="F5" s="166">
        <f>12721000+113839000</f>
        <v>126560000</v>
      </c>
      <c r="G5" s="166">
        <f>12512000+119501000</f>
        <v>132013000</v>
      </c>
      <c r="H5" s="166">
        <f>9646000+128136000</f>
        <v>137782000</v>
      </c>
      <c r="I5" s="166">
        <f>4770000+135116000</f>
        <v>139886000</v>
      </c>
      <c r="J5" s="166">
        <f>5043000+138522000</f>
        <v>143565000</v>
      </c>
      <c r="K5" s="166">
        <f>3891000+140908000</f>
        <v>144799000</v>
      </c>
      <c r="L5" s="166">
        <f>3478000+141602000</f>
        <v>145080000</v>
      </c>
    </row>
    <row r="6" spans="1:12" ht="12.75" customHeight="1" x14ac:dyDescent="0.4">
      <c r="A6" s="212" t="s">
        <v>54</v>
      </c>
      <c r="B6" s="214">
        <v>513379000</v>
      </c>
      <c r="C6" s="214">
        <v>-159455000</v>
      </c>
      <c r="D6" s="214">
        <v>-903089000</v>
      </c>
      <c r="E6" s="214">
        <v>296455449</v>
      </c>
      <c r="F6" s="214">
        <v>624958000</v>
      </c>
      <c r="G6" s="214">
        <v>-60396000</v>
      </c>
      <c r="H6" s="214">
        <v>350561000</v>
      </c>
      <c r="I6" s="214">
        <v>739337000</v>
      </c>
      <c r="J6" s="214">
        <v>104441000</v>
      </c>
      <c r="K6" s="214">
        <v>-124740000</v>
      </c>
      <c r="L6" s="215">
        <v>580909000</v>
      </c>
    </row>
    <row r="7" spans="1:12" x14ac:dyDescent="0.4">
      <c r="A7" s="164" t="s">
        <v>160</v>
      </c>
      <c r="B7" s="166">
        <f>39899000+68825000</f>
        <v>108724000</v>
      </c>
      <c r="C7" s="166">
        <f>25251000+72973000</f>
        <v>98224000</v>
      </c>
      <c r="D7" s="166">
        <f>7714000+62397000</f>
        <v>70111000</v>
      </c>
      <c r="E7" s="166">
        <f>10885819.47+50093806.584</f>
        <v>60979626.053999998</v>
      </c>
      <c r="F7" s="166">
        <f>4689000+53200000</f>
        <v>57889000</v>
      </c>
      <c r="G7" s="166">
        <f>12030000+56582000</f>
        <v>68612000</v>
      </c>
      <c r="H7" s="166">
        <f>11927000+66247000</f>
        <v>78174000</v>
      </c>
      <c r="I7" s="166">
        <f>11014000+50959000</f>
        <v>61973000</v>
      </c>
      <c r="J7" s="166">
        <f>14565000+45959000</f>
        <v>60524000</v>
      </c>
      <c r="K7" s="166">
        <f>35192000+29138000</f>
        <v>64330000</v>
      </c>
      <c r="L7" s="166">
        <f>49618000+34465000</f>
        <v>84083000</v>
      </c>
    </row>
    <row r="8" spans="1:12" s="213" customFormat="1" x14ac:dyDescent="0.4">
      <c r="A8" s="212" t="s">
        <v>165</v>
      </c>
      <c r="B8" s="214">
        <v>363599000</v>
      </c>
      <c r="C8" s="214">
        <v>410105000</v>
      </c>
      <c r="D8" s="214">
        <v>392898000</v>
      </c>
      <c r="E8" s="214">
        <v>491308397.21000004</v>
      </c>
      <c r="F8" s="214">
        <v>681267000</v>
      </c>
      <c r="G8" s="214">
        <v>527910000</v>
      </c>
      <c r="H8" s="214">
        <v>550151000</v>
      </c>
      <c r="I8" s="214">
        <v>716275000</v>
      </c>
      <c r="J8" s="214">
        <v>537765000</v>
      </c>
      <c r="K8" s="214">
        <v>604946000</v>
      </c>
      <c r="L8" s="214">
        <v>610009000</v>
      </c>
    </row>
    <row r="9" spans="1:12" x14ac:dyDescent="0.4">
      <c r="A9" s="164" t="s">
        <v>49</v>
      </c>
      <c r="B9" s="166">
        <v>213469000</v>
      </c>
      <c r="C9" s="166">
        <v>223125000</v>
      </c>
      <c r="D9" s="166">
        <v>226972000</v>
      </c>
      <c r="E9" s="166">
        <v>225363222.13999999</v>
      </c>
      <c r="F9" s="166">
        <v>243011000</v>
      </c>
      <c r="G9" s="166">
        <v>254857000</v>
      </c>
      <c r="H9" s="166">
        <v>273224000</v>
      </c>
      <c r="I9" s="166">
        <v>296335000</v>
      </c>
      <c r="J9" s="166">
        <v>308515000</v>
      </c>
      <c r="K9" s="166">
        <v>318525000</v>
      </c>
      <c r="L9" s="166">
        <v>346401000</v>
      </c>
    </row>
    <row r="10" spans="1:12" x14ac:dyDescent="0.4">
      <c r="A10" s="164" t="s">
        <v>164</v>
      </c>
      <c r="B10" s="166">
        <v>245463000</v>
      </c>
      <c r="C10" s="166">
        <v>240061000</v>
      </c>
      <c r="D10" s="166">
        <v>255864000</v>
      </c>
      <c r="E10" s="166">
        <v>285570952</v>
      </c>
      <c r="F10" s="166">
        <v>350827000</v>
      </c>
      <c r="G10" s="166">
        <v>323789000</v>
      </c>
      <c r="H10" s="166">
        <v>313725000</v>
      </c>
      <c r="I10" s="166">
        <v>316269000</v>
      </c>
      <c r="J10" s="166">
        <v>313568000</v>
      </c>
      <c r="K10" s="166">
        <v>295872000</v>
      </c>
      <c r="L10" s="166">
        <v>327406000</v>
      </c>
    </row>
    <row r="11" spans="1:12" x14ac:dyDescent="0.4">
      <c r="A11" s="164" t="s">
        <v>52</v>
      </c>
      <c r="B11" s="166">
        <v>101981000</v>
      </c>
      <c r="C11" s="166">
        <v>103956000</v>
      </c>
      <c r="D11" s="166">
        <v>111588000</v>
      </c>
      <c r="E11" s="166">
        <v>118896253.76000001</v>
      </c>
      <c r="F11" s="166">
        <v>132254000</v>
      </c>
      <c r="G11" s="166">
        <v>132012000</v>
      </c>
      <c r="H11" s="166">
        <v>132920000</v>
      </c>
      <c r="I11" s="166">
        <v>136455000</v>
      </c>
      <c r="J11" s="166">
        <v>141609000</v>
      </c>
      <c r="K11" s="166">
        <v>138874000</v>
      </c>
      <c r="L11" s="166">
        <v>147779000</v>
      </c>
    </row>
    <row r="12" spans="1:12" x14ac:dyDescent="0.4">
      <c r="A12" s="164" t="s">
        <v>166</v>
      </c>
      <c r="B12" s="166">
        <v>31484000</v>
      </c>
      <c r="C12" s="166">
        <v>32057000</v>
      </c>
      <c r="D12" s="166">
        <v>32513000</v>
      </c>
      <c r="E12" s="166">
        <v>31220740.989999998</v>
      </c>
      <c r="F12" s="166">
        <v>31029000</v>
      </c>
      <c r="G12" s="166">
        <v>28902000</v>
      </c>
      <c r="H12" s="166">
        <v>28201000</v>
      </c>
      <c r="I12" s="166">
        <v>73786000</v>
      </c>
      <c r="J12" s="166">
        <v>121065000</v>
      </c>
      <c r="K12" s="166">
        <v>133901000</v>
      </c>
      <c r="L12" s="166">
        <v>158140000</v>
      </c>
    </row>
    <row r="13" spans="1:12" x14ac:dyDescent="0.4">
      <c r="A13" s="164" t="s">
        <v>45</v>
      </c>
      <c r="B13" s="166">
        <f>90354000-1473000+15896000</f>
        <v>104777000</v>
      </c>
      <c r="C13" s="166">
        <f>86487000+5348000+35000</f>
        <v>91870000</v>
      </c>
      <c r="D13" s="166">
        <f>87626000+23208000-6558000</f>
        <v>104276000</v>
      </c>
      <c r="E13" s="166">
        <f>89813649.46-10764848</f>
        <v>79048801.459999993</v>
      </c>
      <c r="F13" s="166">
        <f>95705000-16499000</f>
        <v>79206000</v>
      </c>
      <c r="G13" s="166">
        <f>101280000-2545000</f>
        <v>98735000</v>
      </c>
      <c r="H13" s="166">
        <f>105999000-7915000</f>
        <v>98084000</v>
      </c>
      <c r="I13" s="166">
        <f>97205000-6837000</f>
        <v>90368000</v>
      </c>
      <c r="J13" s="166">
        <f>96392000-1996000</f>
        <v>94396000</v>
      </c>
      <c r="K13" s="166">
        <f>119947000+9291000-1579000</f>
        <v>127659000</v>
      </c>
      <c r="L13" s="166">
        <f>82931000-3897000-6560000</f>
        <v>72474000</v>
      </c>
    </row>
    <row r="14" spans="1:12" x14ac:dyDescent="0.4">
      <c r="A14" s="171" t="s">
        <v>112</v>
      </c>
      <c r="B14" s="172">
        <v>2523525000</v>
      </c>
      <c r="C14" s="172">
        <v>1902376000</v>
      </c>
      <c r="D14" s="172">
        <v>1321283000</v>
      </c>
      <c r="E14" s="172">
        <v>3129147119.5239997</v>
      </c>
      <c r="F14" s="172">
        <v>3922665000</v>
      </c>
      <c r="G14" s="172">
        <v>3233714000</v>
      </c>
      <c r="H14" s="172">
        <v>3861467000</v>
      </c>
      <c r="I14" s="172">
        <v>4760460000</v>
      </c>
      <c r="J14" s="172">
        <v>4242714000</v>
      </c>
      <c r="K14" s="172">
        <v>4336854000</v>
      </c>
      <c r="L14" s="172">
        <v>5268465000</v>
      </c>
    </row>
    <row r="15" spans="1:12" x14ac:dyDescent="0.4">
      <c r="A15" s="173"/>
      <c r="B15" s="174"/>
      <c r="C15" s="174"/>
      <c r="D15" s="159"/>
      <c r="E15" s="159"/>
      <c r="F15" s="159"/>
      <c r="G15" s="159"/>
      <c r="H15" s="159"/>
      <c r="I15" s="159"/>
      <c r="J15" s="159"/>
      <c r="K15" s="159"/>
      <c r="L15" s="159"/>
    </row>
    <row r="16" spans="1:12" x14ac:dyDescent="0.4">
      <c r="A16" s="161" t="s">
        <v>41</v>
      </c>
      <c r="B16" s="166"/>
      <c r="C16" s="166"/>
      <c r="D16" s="174"/>
      <c r="E16" s="175"/>
      <c r="F16" s="174"/>
      <c r="G16" s="174"/>
      <c r="H16" s="174"/>
      <c r="I16" s="174"/>
      <c r="J16" s="174"/>
      <c r="K16" s="174"/>
      <c r="L16" s="174"/>
    </row>
    <row r="17" spans="1:12" x14ac:dyDescent="0.4">
      <c r="A17" s="164" t="s">
        <v>40</v>
      </c>
      <c r="B17" s="166">
        <v>1579127000</v>
      </c>
      <c r="C17" s="166">
        <v>1658013000</v>
      </c>
      <c r="D17" s="166">
        <v>1766739000</v>
      </c>
      <c r="E17" s="166">
        <v>1800353931</v>
      </c>
      <c r="F17" s="166">
        <v>1931735000</v>
      </c>
      <c r="G17" s="166">
        <v>2078848000</v>
      </c>
      <c r="H17" s="166">
        <v>2144565000</v>
      </c>
      <c r="I17" s="166">
        <v>2312932000</v>
      </c>
      <c r="J17" s="166">
        <v>2415602000</v>
      </c>
      <c r="K17" s="166">
        <v>2529214000</v>
      </c>
      <c r="L17" s="166">
        <v>2633698000</v>
      </c>
    </row>
    <row r="18" spans="1:12" x14ac:dyDescent="0.4">
      <c r="A18" s="160" t="s">
        <v>39</v>
      </c>
      <c r="B18" s="166">
        <v>154036000</v>
      </c>
      <c r="C18" s="166">
        <v>149402000</v>
      </c>
      <c r="D18" s="166">
        <v>273526000</v>
      </c>
      <c r="E18" s="166">
        <v>714605616</v>
      </c>
      <c r="F18" s="166">
        <v>799944000</v>
      </c>
      <c r="G18" s="166">
        <v>864536000</v>
      </c>
      <c r="H18" s="166">
        <v>904627000</v>
      </c>
      <c r="I18" s="166">
        <v>1122176000</v>
      </c>
      <c r="J18" s="166">
        <v>1300218000</v>
      </c>
      <c r="K18" s="166">
        <v>1368121000</v>
      </c>
      <c r="L18" s="166">
        <v>1423551000</v>
      </c>
    </row>
    <row r="19" spans="1:12" x14ac:dyDescent="0.4">
      <c r="A19" s="164" t="s">
        <v>38</v>
      </c>
      <c r="B19" s="166">
        <v>93695000</v>
      </c>
      <c r="C19" s="166">
        <v>103629000</v>
      </c>
      <c r="D19" s="166">
        <v>120044000</v>
      </c>
      <c r="E19" s="166">
        <v>142471013</v>
      </c>
      <c r="F19" s="166">
        <v>153647000</v>
      </c>
      <c r="G19" s="166">
        <v>159238000</v>
      </c>
      <c r="H19" s="166">
        <v>161285000</v>
      </c>
      <c r="I19" s="166">
        <v>180953000</v>
      </c>
      <c r="J19" s="166">
        <v>198357000</v>
      </c>
      <c r="K19" s="166">
        <v>208069000</v>
      </c>
      <c r="L19" s="166">
        <v>245411000</v>
      </c>
    </row>
    <row r="20" spans="1:12" x14ac:dyDescent="0.4">
      <c r="A20" s="164" t="s">
        <v>161</v>
      </c>
      <c r="B20" s="166">
        <f>19460000+3026000</f>
        <v>22486000</v>
      </c>
      <c r="C20" s="166">
        <v>22485000</v>
      </c>
      <c r="D20" s="166">
        <v>31360000</v>
      </c>
      <c r="E20" s="166">
        <v>40841618</v>
      </c>
      <c r="F20" s="166">
        <v>45413000</v>
      </c>
      <c r="G20" s="166">
        <v>62774000</v>
      </c>
      <c r="H20" s="166">
        <v>63307000</v>
      </c>
      <c r="I20" s="166">
        <v>66670000</v>
      </c>
      <c r="J20" s="166">
        <v>66178000</v>
      </c>
      <c r="K20" s="166">
        <v>73975000</v>
      </c>
      <c r="L20" s="166">
        <v>68009000</v>
      </c>
    </row>
    <row r="21" spans="1:12" x14ac:dyDescent="0.4">
      <c r="A21" s="171" t="s">
        <v>35</v>
      </c>
      <c r="B21" s="172">
        <v>1849344000</v>
      </c>
      <c r="C21" s="172">
        <v>1933529000</v>
      </c>
      <c r="D21" s="172">
        <v>2191669000</v>
      </c>
      <c r="E21" s="172">
        <v>2698272178</v>
      </c>
      <c r="F21" s="172">
        <v>2930739000</v>
      </c>
      <c r="G21" s="172">
        <v>3165396000</v>
      </c>
      <c r="H21" s="172">
        <v>3273784000</v>
      </c>
      <c r="I21" s="172">
        <v>3682731000</v>
      </c>
      <c r="J21" s="172">
        <v>3980355000</v>
      </c>
      <c r="K21" s="172">
        <v>4179379000</v>
      </c>
      <c r="L21" s="172">
        <v>4370669000</v>
      </c>
    </row>
    <row r="22" spans="1:12" x14ac:dyDescent="0.4">
      <c r="A22" s="176"/>
      <c r="B22" s="174"/>
      <c r="C22" s="174"/>
      <c r="D22" s="174"/>
      <c r="E22" s="175"/>
      <c r="F22" s="174"/>
      <c r="G22" s="174"/>
      <c r="H22" s="174"/>
      <c r="I22" s="174"/>
      <c r="J22" s="174"/>
      <c r="K22" s="174"/>
      <c r="L22" s="174"/>
    </row>
    <row r="24" spans="1:12" x14ac:dyDescent="0.4">
      <c r="A24" s="157" t="s">
        <v>158</v>
      </c>
    </row>
    <row r="25" spans="1:12" x14ac:dyDescent="0.4">
      <c r="A25" s="157" t="s">
        <v>159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showGridLines="0" topLeftCell="A55" zoomScale="110" zoomScaleNormal="110" workbookViewId="0">
      <selection activeCell="L81" sqref="L81"/>
    </sheetView>
  </sheetViews>
  <sheetFormatPr defaultColWidth="9.1171875" defaultRowHeight="14.7" x14ac:dyDescent="0.6"/>
  <cols>
    <col min="1" max="1" width="14" style="238" customWidth="1"/>
    <col min="2" max="2" width="8" style="238" customWidth="1"/>
    <col min="3" max="11" width="15.41015625" style="238" customWidth="1"/>
    <col min="12" max="12" width="11.29296875" style="238" customWidth="1"/>
    <col min="13" max="13" width="14.703125" style="238" customWidth="1"/>
    <col min="14" max="16384" width="9.1171875" style="238"/>
  </cols>
  <sheetData>
    <row r="1" spans="1:18" ht="66.75" customHeight="1" x14ac:dyDescent="0.6"/>
    <row r="2" spans="1:18" ht="22.7" x14ac:dyDescent="0.9">
      <c r="A2" s="295" t="s">
        <v>180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</row>
    <row r="5" spans="1:18" x14ac:dyDescent="0.6">
      <c r="C5" s="239"/>
      <c r="F5" s="239"/>
      <c r="G5" s="239"/>
    </row>
    <row r="38" spans="2:14" ht="53.25" customHeight="1" x14ac:dyDescent="0.6">
      <c r="B38" s="272" t="s">
        <v>175</v>
      </c>
      <c r="C38" s="272" t="s">
        <v>179</v>
      </c>
      <c r="D38" s="272" t="s">
        <v>171</v>
      </c>
      <c r="E38" s="272" t="s">
        <v>178</v>
      </c>
      <c r="F38" s="272" t="s">
        <v>177</v>
      </c>
      <c r="G38" s="272"/>
      <c r="H38" s="272" t="s">
        <v>35</v>
      </c>
      <c r="I38" s="241"/>
      <c r="J38" s="241"/>
      <c r="K38" s="241"/>
      <c r="L38" s="241"/>
      <c r="M38" s="241"/>
      <c r="N38" s="239"/>
    </row>
    <row r="39" spans="2:14" x14ac:dyDescent="0.6">
      <c r="B39" s="238">
        <v>2007</v>
      </c>
      <c r="C39" s="243">
        <f>'10 Years AFS'!B24/1000</f>
        <v>1579127</v>
      </c>
      <c r="D39" s="243">
        <f>'10 Years AFS'!B25/1000</f>
        <v>154036</v>
      </c>
      <c r="E39" s="243">
        <f>'10 Years AFS'!B26/1000</f>
        <v>93695</v>
      </c>
      <c r="F39" s="243">
        <f>'10 Years AFS'!B27/1000</f>
        <v>22486</v>
      </c>
      <c r="G39" s="241"/>
      <c r="H39" s="242">
        <f t="shared" ref="H39:H44" si="0">+C39+D39+E39+F39</f>
        <v>1849344</v>
      </c>
      <c r="I39" s="275">
        <v>1849344</v>
      </c>
      <c r="J39" s="241"/>
      <c r="K39" s="241"/>
      <c r="L39" s="241"/>
      <c r="M39" s="241"/>
      <c r="N39" s="239"/>
    </row>
    <row r="40" spans="2:14" x14ac:dyDescent="0.6">
      <c r="B40" s="238">
        <v>2008</v>
      </c>
      <c r="C40" s="243">
        <f>'10 Years AFS'!C24/1000</f>
        <v>1658013</v>
      </c>
      <c r="D40" s="243">
        <f>'10 Years AFS'!C25/1000</f>
        <v>149402</v>
      </c>
      <c r="E40" s="243">
        <f>'10 Years AFS'!C26/1000</f>
        <v>103629</v>
      </c>
      <c r="F40" s="243">
        <f>'10 Years AFS'!C27/1000</f>
        <v>22485</v>
      </c>
      <c r="G40" s="241"/>
      <c r="H40" s="242">
        <f t="shared" si="0"/>
        <v>1933529</v>
      </c>
      <c r="I40" s="275">
        <v>1933529</v>
      </c>
      <c r="K40" s="241"/>
      <c r="L40" s="241"/>
      <c r="M40" s="241"/>
      <c r="N40" s="239"/>
    </row>
    <row r="41" spans="2:14" x14ac:dyDescent="0.6">
      <c r="B41" s="238">
        <v>2009</v>
      </c>
      <c r="C41" s="243">
        <f>'10 Years AFS'!D24/1000</f>
        <v>1766739</v>
      </c>
      <c r="D41" s="243">
        <f>'10 Years AFS'!D25/1000</f>
        <v>273526</v>
      </c>
      <c r="E41" s="243">
        <f>'10 Years AFS'!D26/1000</f>
        <v>120044</v>
      </c>
      <c r="F41" s="243">
        <f>'10 Years AFS'!D27/1000</f>
        <v>31360</v>
      </c>
      <c r="G41" s="241"/>
      <c r="H41" s="242">
        <f t="shared" si="0"/>
        <v>2191669</v>
      </c>
      <c r="I41" s="275">
        <v>2191669</v>
      </c>
      <c r="K41" s="241"/>
      <c r="L41" s="241"/>
      <c r="M41" s="241"/>
      <c r="N41" s="239"/>
    </row>
    <row r="42" spans="2:14" x14ac:dyDescent="0.6">
      <c r="B42" s="238">
        <v>2010</v>
      </c>
      <c r="C42" s="243">
        <f>'10 Years AFS'!E24/1000</f>
        <v>1800353.9310000001</v>
      </c>
      <c r="D42" s="243">
        <f>'10 Years AFS'!E25/1000</f>
        <v>714605.61600000004</v>
      </c>
      <c r="E42" s="243">
        <f>'10 Years AFS'!E26/1000</f>
        <v>142471.01300000001</v>
      </c>
      <c r="F42" s="243">
        <f>'10 Years AFS'!E27/1000</f>
        <v>40841.618000000002</v>
      </c>
      <c r="G42" s="241"/>
      <c r="H42" s="242">
        <f t="shared" si="0"/>
        <v>2698272.1779999998</v>
      </c>
      <c r="I42" s="275">
        <v>2698272.1779999998</v>
      </c>
      <c r="K42" s="241"/>
      <c r="L42" s="241"/>
      <c r="M42" s="241"/>
      <c r="N42" s="239"/>
    </row>
    <row r="43" spans="2:14" x14ac:dyDescent="0.6">
      <c r="B43" s="238">
        <v>2011</v>
      </c>
      <c r="C43" s="243">
        <f>'10 Years AFS'!F24/1000</f>
        <v>1931735</v>
      </c>
      <c r="D43" s="243">
        <f>'10 Years AFS'!F25/1000</f>
        <v>799944</v>
      </c>
      <c r="E43" s="243">
        <f>'10 Years AFS'!F26/1000</f>
        <v>153647</v>
      </c>
      <c r="F43" s="243">
        <f>'10 Years AFS'!F27/1000</f>
        <v>45413</v>
      </c>
      <c r="G43" s="241"/>
      <c r="H43" s="242">
        <f t="shared" si="0"/>
        <v>2930739</v>
      </c>
      <c r="I43" s="275">
        <v>2930739</v>
      </c>
      <c r="K43" s="241"/>
      <c r="L43" s="241"/>
      <c r="M43" s="241"/>
      <c r="N43" s="239"/>
    </row>
    <row r="44" spans="2:14" x14ac:dyDescent="0.6">
      <c r="B44" s="238">
        <v>2012</v>
      </c>
      <c r="C44" s="243">
        <f>'10 Years AFS'!G24/1000</f>
        <v>2078848</v>
      </c>
      <c r="D44" s="243">
        <f>'10 Years AFS'!G25/1000</f>
        <v>864536</v>
      </c>
      <c r="E44" s="243">
        <f>'10 Years AFS'!G26/1000</f>
        <v>159238</v>
      </c>
      <c r="F44" s="243">
        <f>'10 Years AFS'!G27/1000</f>
        <v>62774</v>
      </c>
      <c r="G44" s="241"/>
      <c r="H44" s="242">
        <f t="shared" si="0"/>
        <v>3165396</v>
      </c>
      <c r="I44" s="275">
        <v>3165396</v>
      </c>
      <c r="K44" s="241"/>
      <c r="L44" s="241"/>
      <c r="M44" s="241"/>
      <c r="N44" s="239"/>
    </row>
    <row r="45" spans="2:14" x14ac:dyDescent="0.6">
      <c r="B45" s="238">
        <v>2013</v>
      </c>
      <c r="C45" s="242">
        <v>2144565</v>
      </c>
      <c r="D45" s="242">
        <v>904627</v>
      </c>
      <c r="E45" s="242">
        <v>161285</v>
      </c>
      <c r="F45" s="242">
        <v>63307</v>
      </c>
      <c r="G45" s="242"/>
      <c r="H45" s="242">
        <f>+C45+D45+E45+F45</f>
        <v>3273784</v>
      </c>
      <c r="I45" s="242">
        <v>3273784</v>
      </c>
      <c r="K45" s="242"/>
      <c r="L45" s="242"/>
      <c r="M45" s="242"/>
    </row>
    <row r="46" spans="2:14" x14ac:dyDescent="0.6">
      <c r="B46" s="238">
        <v>2014</v>
      </c>
      <c r="C46" s="242">
        <v>2312932</v>
      </c>
      <c r="D46" s="242">
        <v>1122176</v>
      </c>
      <c r="E46" s="242">
        <v>180953</v>
      </c>
      <c r="F46" s="242">
        <v>66670</v>
      </c>
      <c r="G46" s="242"/>
      <c r="H46" s="242">
        <f>+C46+D46+E46+F46</f>
        <v>3682731</v>
      </c>
      <c r="I46" s="242">
        <v>3682731</v>
      </c>
      <c r="K46" s="242"/>
      <c r="L46" s="242"/>
      <c r="M46" s="242"/>
    </row>
    <row r="47" spans="2:14" x14ac:dyDescent="0.6">
      <c r="B47" s="238">
        <v>2015</v>
      </c>
      <c r="C47" s="242">
        <v>2415602</v>
      </c>
      <c r="D47" s="242">
        <v>1300218</v>
      </c>
      <c r="E47" s="242">
        <v>198357</v>
      </c>
      <c r="F47" s="242">
        <v>66178</v>
      </c>
      <c r="G47" s="242"/>
      <c r="H47" s="242">
        <f>+C47+D47+E47+F47</f>
        <v>3980355</v>
      </c>
      <c r="I47" s="242">
        <v>3980355</v>
      </c>
      <c r="K47" s="242"/>
      <c r="L47" s="242"/>
      <c r="M47" s="242"/>
    </row>
    <row r="48" spans="2:14" x14ac:dyDescent="0.6">
      <c r="B48" s="238">
        <v>2016</v>
      </c>
      <c r="C48" s="242">
        <v>2529214</v>
      </c>
      <c r="D48" s="242">
        <v>1368121</v>
      </c>
      <c r="E48" s="242">
        <v>208069</v>
      </c>
      <c r="F48" s="242">
        <v>73975</v>
      </c>
      <c r="G48" s="242"/>
      <c r="H48" s="242">
        <f>+C48+D48+E48+F48</f>
        <v>4179379</v>
      </c>
      <c r="I48" s="242">
        <v>4179379</v>
      </c>
      <c r="K48" s="242"/>
      <c r="L48" s="242"/>
      <c r="M48" s="242"/>
    </row>
    <row r="49" spans="1:14" x14ac:dyDescent="0.6">
      <c r="B49" s="238">
        <v>2017</v>
      </c>
      <c r="C49" s="242">
        <v>2633697</v>
      </c>
      <c r="D49" s="242">
        <v>1423551</v>
      </c>
      <c r="E49" s="242">
        <v>245412</v>
      </c>
      <c r="F49" s="242">
        <v>68009</v>
      </c>
      <c r="G49" s="242"/>
      <c r="H49" s="242">
        <f>+C49+D49+E49+F49</f>
        <v>4370669</v>
      </c>
      <c r="I49" s="242">
        <v>4370669</v>
      </c>
      <c r="K49" s="242"/>
      <c r="L49" s="242"/>
      <c r="M49" s="242"/>
      <c r="N49" s="242"/>
    </row>
    <row r="50" spans="1:14" x14ac:dyDescent="0.6">
      <c r="H50" s="242"/>
    </row>
    <row r="51" spans="1:14" x14ac:dyDescent="0.6">
      <c r="M51" s="242"/>
    </row>
    <row r="53" spans="1:14" x14ac:dyDescent="0.6">
      <c r="B53" s="273">
        <v>2007</v>
      </c>
      <c r="C53" s="273">
        <v>2008</v>
      </c>
      <c r="D53" s="273">
        <v>2009</v>
      </c>
      <c r="E53" s="273">
        <v>2010</v>
      </c>
      <c r="F53" s="273">
        <v>2011</v>
      </c>
      <c r="G53" s="273">
        <v>2012</v>
      </c>
      <c r="H53" s="273">
        <v>2013</v>
      </c>
      <c r="I53" s="273">
        <v>2014</v>
      </c>
      <c r="J53" s="273">
        <v>2015</v>
      </c>
      <c r="K53" s="273">
        <v>2016</v>
      </c>
      <c r="L53" s="273">
        <v>2017</v>
      </c>
      <c r="M53" s="238" t="s">
        <v>232</v>
      </c>
    </row>
    <row r="54" spans="1:14" ht="44.35" thickBot="1" x14ac:dyDescent="0.65">
      <c r="A54" s="254" t="s">
        <v>179</v>
      </c>
      <c r="B54" s="274">
        <v>1579127</v>
      </c>
      <c r="C54" s="274">
        <v>1658013</v>
      </c>
      <c r="D54" s="274">
        <v>1766739</v>
      </c>
      <c r="E54" s="274">
        <v>1800353.9310000001</v>
      </c>
      <c r="F54" s="274">
        <v>1931735</v>
      </c>
      <c r="G54" s="274">
        <v>2078848</v>
      </c>
      <c r="H54" s="255">
        <v>2144565</v>
      </c>
      <c r="I54" s="255">
        <v>2312932</v>
      </c>
      <c r="J54" s="255">
        <v>2415602</v>
      </c>
      <c r="K54" s="255">
        <v>2529214</v>
      </c>
      <c r="L54" s="255">
        <v>2633697</v>
      </c>
      <c r="M54" s="284">
        <f>AVERAGE(B54:L54)/$M$59</f>
        <v>0.66706312855146133</v>
      </c>
    </row>
    <row r="55" spans="1:14" ht="29.7" thickBot="1" x14ac:dyDescent="0.65">
      <c r="A55" s="276" t="s">
        <v>171</v>
      </c>
      <c r="B55" s="277">
        <v>154036</v>
      </c>
      <c r="C55" s="277">
        <v>149402</v>
      </c>
      <c r="D55" s="277">
        <v>273526</v>
      </c>
      <c r="E55" s="277">
        <v>714605.61600000004</v>
      </c>
      <c r="F55" s="277">
        <v>799944</v>
      </c>
      <c r="G55" s="277">
        <v>864536</v>
      </c>
      <c r="H55" s="278">
        <v>904627</v>
      </c>
      <c r="I55" s="278">
        <v>1122176</v>
      </c>
      <c r="J55" s="278">
        <v>1300218</v>
      </c>
      <c r="K55" s="278">
        <v>1368121</v>
      </c>
      <c r="L55" s="278">
        <v>1423551</v>
      </c>
      <c r="M55" s="284">
        <f t="shared" ref="M55:M57" si="1">AVERAGE(B55:L55)/$M$59</f>
        <v>0.26491060841770292</v>
      </c>
    </row>
    <row r="56" spans="1:14" ht="44.35" thickBot="1" x14ac:dyDescent="0.65">
      <c r="A56" s="276" t="s">
        <v>178</v>
      </c>
      <c r="B56" s="277">
        <v>93695</v>
      </c>
      <c r="C56" s="277">
        <v>103629</v>
      </c>
      <c r="D56" s="277">
        <v>120044</v>
      </c>
      <c r="E56" s="277">
        <v>142471.01300000001</v>
      </c>
      <c r="F56" s="277">
        <v>153647</v>
      </c>
      <c r="G56" s="277">
        <v>159238</v>
      </c>
      <c r="H56" s="278">
        <v>161285</v>
      </c>
      <c r="I56" s="278">
        <v>180953</v>
      </c>
      <c r="J56" s="278">
        <v>198357</v>
      </c>
      <c r="K56" s="278">
        <v>208069</v>
      </c>
      <c r="L56" s="278">
        <v>245412</v>
      </c>
      <c r="M56" s="284">
        <f t="shared" si="1"/>
        <v>5.157656654316678E-2</v>
      </c>
    </row>
    <row r="57" spans="1:14" ht="29.7" thickBot="1" x14ac:dyDescent="0.65">
      <c r="A57" s="276" t="s">
        <v>177</v>
      </c>
      <c r="B57" s="277">
        <v>22486</v>
      </c>
      <c r="C57" s="277">
        <v>22485</v>
      </c>
      <c r="D57" s="277">
        <v>31360</v>
      </c>
      <c r="E57" s="277">
        <v>40841.618000000002</v>
      </c>
      <c r="F57" s="277">
        <v>45413</v>
      </c>
      <c r="G57" s="277">
        <v>62774</v>
      </c>
      <c r="H57" s="278">
        <v>63307</v>
      </c>
      <c r="I57" s="278">
        <v>66670</v>
      </c>
      <c r="J57" s="278">
        <v>66178</v>
      </c>
      <c r="K57" s="278">
        <v>73975</v>
      </c>
      <c r="L57" s="278">
        <v>68009</v>
      </c>
      <c r="M57" s="284">
        <f t="shared" si="1"/>
        <v>1.6449696487668929E-2</v>
      </c>
    </row>
    <row r="58" spans="1:14" x14ac:dyDescent="0.6">
      <c r="M58" s="283"/>
    </row>
    <row r="59" spans="1:14" x14ac:dyDescent="0.6">
      <c r="A59" s="279" t="s">
        <v>35</v>
      </c>
      <c r="B59" s="280">
        <v>1849344</v>
      </c>
      <c r="C59" s="280">
        <v>1933529</v>
      </c>
      <c r="D59" s="280">
        <v>2191669</v>
      </c>
      <c r="E59" s="280">
        <v>2698272.1779999998</v>
      </c>
      <c r="F59" s="280">
        <v>2930739</v>
      </c>
      <c r="G59" s="280">
        <v>3165396</v>
      </c>
      <c r="H59" s="281">
        <v>3273784</v>
      </c>
      <c r="I59" s="281">
        <v>3682731</v>
      </c>
      <c r="J59" s="281">
        <v>3980355</v>
      </c>
      <c r="K59" s="281">
        <v>4179379</v>
      </c>
      <c r="L59" s="282">
        <v>4370669</v>
      </c>
      <c r="M59" s="283">
        <f t="shared" ref="M59" si="2">AVERAGE(B59:L59)</f>
        <v>3114169.7434545457</v>
      </c>
      <c r="N59" s="283"/>
    </row>
  </sheetData>
  <mergeCells count="1">
    <mergeCell ref="A2:R2"/>
  </mergeCells>
  <printOptions horizontalCentered="1"/>
  <pageMargins left="0.4" right="0.35" top="0.35" bottom="0.35" header="0.3" footer="0.3"/>
  <pageSetup paperSize="5" scale="7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4"/>
  <sheetViews>
    <sheetView showGridLines="0" zoomScale="85" zoomScaleNormal="85" workbookViewId="0">
      <selection activeCell="H118" sqref="H118"/>
    </sheetView>
  </sheetViews>
  <sheetFormatPr defaultColWidth="9.1171875" defaultRowHeight="14.7" x14ac:dyDescent="0.6"/>
  <cols>
    <col min="1" max="1" width="9.1171875" style="238"/>
    <col min="2" max="2" width="14.87890625" style="238" customWidth="1"/>
    <col min="3" max="11" width="15.41015625" style="238" customWidth="1"/>
    <col min="12" max="12" width="13.5859375" style="238" bestFit="1" customWidth="1"/>
    <col min="13" max="13" width="14.703125" style="238" customWidth="1"/>
    <col min="14" max="14" width="9.1171875" style="238"/>
    <col min="15" max="15" width="14.41015625" style="238" bestFit="1" customWidth="1"/>
    <col min="16" max="16384" width="9.1171875" style="238"/>
  </cols>
  <sheetData>
    <row r="1" spans="1:18" ht="66.75" customHeight="1" x14ac:dyDescent="0.6"/>
    <row r="2" spans="1:18" ht="22.7" x14ac:dyDescent="0.9">
      <c r="A2" s="295" t="s">
        <v>176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</row>
    <row r="5" spans="1:18" x14ac:dyDescent="0.6">
      <c r="C5" s="239"/>
      <c r="F5" s="239"/>
      <c r="G5" s="239"/>
    </row>
    <row r="51" spans="1:17" ht="17.350000000000001" x14ac:dyDescent="0.65">
      <c r="A51" s="240" t="s">
        <v>230</v>
      </c>
    </row>
    <row r="52" spans="1:17" ht="17.350000000000001" x14ac:dyDescent="0.65">
      <c r="A52" s="240" t="s">
        <v>231</v>
      </c>
    </row>
    <row r="53" spans="1:17" ht="16" x14ac:dyDescent="0.65">
      <c r="B53" s="240"/>
    </row>
    <row r="56" spans="1:17" ht="53.25" customHeight="1" x14ac:dyDescent="0.6">
      <c r="A56" s="244"/>
      <c r="B56" s="249" t="s">
        <v>175</v>
      </c>
      <c r="C56" s="249" t="s">
        <v>174</v>
      </c>
      <c r="D56" s="249" t="s">
        <v>173</v>
      </c>
      <c r="E56" s="249" t="s">
        <v>172</v>
      </c>
      <c r="F56" s="249" t="s">
        <v>229</v>
      </c>
      <c r="G56" s="249" t="s">
        <v>170</v>
      </c>
      <c r="H56" s="249" t="s">
        <v>169</v>
      </c>
      <c r="I56" s="249" t="s">
        <v>168</v>
      </c>
      <c r="J56" s="249" t="s">
        <v>167</v>
      </c>
      <c r="K56" s="249" t="s">
        <v>209</v>
      </c>
      <c r="L56" s="249"/>
      <c r="M56" s="249" t="s">
        <v>54</v>
      </c>
      <c r="N56" s="250"/>
      <c r="O56" s="249" t="s">
        <v>112</v>
      </c>
      <c r="P56" s="244"/>
      <c r="Q56" s="244"/>
    </row>
    <row r="57" spans="1:17" x14ac:dyDescent="0.6">
      <c r="A57" s="244"/>
      <c r="B57" s="245"/>
      <c r="C57" s="245"/>
      <c r="D57" s="245"/>
      <c r="E57" s="245"/>
      <c r="F57" s="245"/>
      <c r="G57" s="245"/>
      <c r="H57" s="245"/>
      <c r="I57" s="245"/>
      <c r="J57" s="245"/>
      <c r="K57" s="245"/>
      <c r="L57" s="245"/>
      <c r="M57" s="245"/>
      <c r="N57" s="246"/>
      <c r="O57" s="245"/>
      <c r="P57" s="244"/>
      <c r="Q57" s="244"/>
    </row>
    <row r="58" spans="1:17" x14ac:dyDescent="0.6">
      <c r="A58" s="244"/>
      <c r="B58" s="244">
        <v>2007</v>
      </c>
      <c r="C58" s="247">
        <f>'10 Years AFS'!B3/1000</f>
        <v>950077</v>
      </c>
      <c r="D58" s="247">
        <f>-'10 Years AFS'!B4/1000</f>
        <v>277212</v>
      </c>
      <c r="E58" s="247">
        <f t="shared" ref="E58:E68" si="0">C58-D58</f>
        <v>672865</v>
      </c>
      <c r="F58" s="248">
        <f>'10 Years AFS'!B14</f>
        <v>0</v>
      </c>
      <c r="G58" s="248">
        <f>'10 Years AFS'!B9/1000</f>
        <v>245463</v>
      </c>
      <c r="H58" s="248">
        <f>'10 Years AFS'!B11/1000</f>
        <v>363599</v>
      </c>
      <c r="I58" s="248">
        <f>'10 Years AFS'!B13/1000</f>
        <v>213469</v>
      </c>
      <c r="J58" s="248">
        <f>('10 Years AFS'!B12+'10 Years AFS'!B18)/1000</f>
        <v>121838</v>
      </c>
      <c r="K58" s="248">
        <f>SUM('10 Years AFS'!B6:B7)/1000</f>
        <v>108724</v>
      </c>
      <c r="L58" s="245"/>
      <c r="M58" s="248">
        <f>'10 Years AFS'!B8/1000</f>
        <v>513379</v>
      </c>
      <c r="N58" s="246"/>
      <c r="O58" s="248">
        <f>'10 Years AFS'!B20/1000</f>
        <v>2523525</v>
      </c>
      <c r="P58" s="256">
        <v>2523525</v>
      </c>
      <c r="Q58" s="244"/>
    </row>
    <row r="59" spans="1:17" x14ac:dyDescent="0.6">
      <c r="A59" s="244"/>
      <c r="B59" s="244">
        <v>2008</v>
      </c>
      <c r="C59" s="247">
        <f>'10 Years AFS'!C3/1000</f>
        <v>1000289</v>
      </c>
      <c r="D59" s="247">
        <f>-'10 Years AFS'!C4/1000</f>
        <v>294308</v>
      </c>
      <c r="E59" s="247">
        <f t="shared" si="0"/>
        <v>705981</v>
      </c>
      <c r="F59" s="248">
        <f>'10 Years AFS'!C14</f>
        <v>0</v>
      </c>
      <c r="G59" s="248">
        <f>'10 Years AFS'!C9/1000</f>
        <v>240061</v>
      </c>
      <c r="H59" s="248">
        <f>'10 Years AFS'!C11/1000</f>
        <v>410105</v>
      </c>
      <c r="I59" s="248">
        <f>'10 Years AFS'!C13/1000</f>
        <v>223125</v>
      </c>
      <c r="J59" s="248">
        <f>('10 Years AFS'!C12+'10 Years AFS'!C18)/1000</f>
        <v>118544</v>
      </c>
      <c r="K59" s="248">
        <f>('10 Years AFS'!C6+'10 Years AFS'!C7)/1000</f>
        <v>98224</v>
      </c>
      <c r="L59" s="245"/>
      <c r="M59" s="248">
        <f>'10 Years AFS'!C8/1000</f>
        <v>-159455</v>
      </c>
      <c r="N59" s="246"/>
      <c r="O59" s="248">
        <f>'10 Years AFS'!C20/1000</f>
        <v>1902376</v>
      </c>
      <c r="P59" s="256">
        <v>1902376</v>
      </c>
      <c r="Q59" s="244"/>
    </row>
    <row r="60" spans="1:17" x14ac:dyDescent="0.6">
      <c r="A60" s="244"/>
      <c r="B60" s="244">
        <v>2009</v>
      </c>
      <c r="C60" s="247">
        <f>'10 Years AFS'!D3/1000</f>
        <v>1065342</v>
      </c>
      <c r="D60" s="247">
        <f>-'10 Years AFS'!D4/1000</f>
        <v>320161</v>
      </c>
      <c r="E60" s="247">
        <f t="shared" si="0"/>
        <v>745181</v>
      </c>
      <c r="F60" s="248">
        <f>'10 Years AFS'!D14/1000</f>
        <v>101559</v>
      </c>
      <c r="G60" s="248">
        <f>'10 Years AFS'!D9/1000</f>
        <v>255864</v>
      </c>
      <c r="H60" s="248">
        <f>'10 Years AFS'!D11/1000</f>
        <v>392898</v>
      </c>
      <c r="I60" s="248">
        <f>'10 Years AFS'!D13/1000</f>
        <v>226972</v>
      </c>
      <c r="J60" s="248">
        <f>('10 Years AFS'!D12+'10 Years AFS'!D18)/1000</f>
        <v>120139</v>
      </c>
      <c r="K60" s="248">
        <f>('10 Years AFS'!D6+'10 Years AFS'!D7)/1000</f>
        <v>70111</v>
      </c>
      <c r="L60" s="245"/>
      <c r="M60" s="248">
        <f>'10 Years AFS'!D8/1000</f>
        <v>-903089</v>
      </c>
      <c r="N60" s="246"/>
      <c r="O60" s="248">
        <f>'10 Years AFS'!D20/1000</f>
        <v>1321283</v>
      </c>
      <c r="P60" s="256">
        <v>1321283</v>
      </c>
      <c r="Q60" s="244"/>
    </row>
    <row r="61" spans="1:17" x14ac:dyDescent="0.6">
      <c r="A61" s="244"/>
      <c r="B61" s="244">
        <v>2010</v>
      </c>
      <c r="C61" s="247">
        <f>'10 Years AFS'!E3/1000</f>
        <v>1152480.2085899999</v>
      </c>
      <c r="D61" s="247">
        <f>-'10 Years AFS'!E4/1000</f>
        <v>325467.06068</v>
      </c>
      <c r="E61" s="247">
        <f t="shared" si="0"/>
        <v>827013.14790999994</v>
      </c>
      <c r="F61" s="248">
        <f>'10 Years AFS'!E14/1000</f>
        <v>592668.76</v>
      </c>
      <c r="G61" s="248">
        <f>'10 Years AFS'!E9/1000</f>
        <v>285570.95199999999</v>
      </c>
      <c r="H61" s="248">
        <f>'10 Years AFS'!E11/1000</f>
        <v>491308.39721000002</v>
      </c>
      <c r="I61" s="248">
        <f>'10 Years AFS'!E13/1000</f>
        <v>225363.22214</v>
      </c>
      <c r="J61" s="248">
        <f>('10 Years AFS'!E12+'10 Years AFS'!E18)/1000</f>
        <v>121034.39044999999</v>
      </c>
      <c r="K61" s="248">
        <f>('10 Years AFS'!E6+'10 Years AFS'!E7)/1000</f>
        <v>60979.626054</v>
      </c>
      <c r="L61" s="245"/>
      <c r="M61" s="248">
        <f>'10 Years AFS'!E8/1000</f>
        <v>296455.44900000002</v>
      </c>
      <c r="N61" s="246"/>
      <c r="O61" s="248">
        <f>'10 Years AFS'!E20/1000</f>
        <v>3129147.1195239997</v>
      </c>
      <c r="P61" s="256">
        <v>3129147.1195239997</v>
      </c>
      <c r="Q61" s="244"/>
    </row>
    <row r="62" spans="1:17" x14ac:dyDescent="0.6">
      <c r="A62" s="244"/>
      <c r="B62" s="244">
        <v>2011</v>
      </c>
      <c r="C62" s="247">
        <f>'10 Years AFS'!F3/1000</f>
        <v>1267545</v>
      </c>
      <c r="D62" s="247">
        <f>-'10 Years AFS'!F4/1000</f>
        <v>356859</v>
      </c>
      <c r="E62" s="247">
        <f t="shared" si="0"/>
        <v>910686</v>
      </c>
      <c r="F62" s="248">
        <f>'10 Years AFS'!F14/1000</f>
        <v>684978</v>
      </c>
      <c r="G62" s="248">
        <f>'10 Years AFS'!F9/1000</f>
        <v>350827</v>
      </c>
      <c r="H62" s="248">
        <f>'10 Years AFS'!F11/1000</f>
        <v>681267</v>
      </c>
      <c r="I62" s="248">
        <f>'10 Years AFS'!F13/1000</f>
        <v>243011</v>
      </c>
      <c r="J62" s="248">
        <f>('10 Years AFS'!F12+'10 Years AFS'!F18)/1000</f>
        <v>126734</v>
      </c>
      <c r="K62" s="248">
        <f>('10 Years AFS'!F6+'10 Years AFS'!F7)/1000</f>
        <v>57889</v>
      </c>
      <c r="L62" s="245"/>
      <c r="M62" s="248">
        <f>'10 Years AFS'!F8/1000</f>
        <v>624958</v>
      </c>
      <c r="N62" s="246"/>
      <c r="O62" s="248">
        <f>'10 Years AFS'!F20/1000</f>
        <v>3922665</v>
      </c>
      <c r="P62" s="256">
        <v>3922665</v>
      </c>
      <c r="Q62" s="244"/>
    </row>
    <row r="63" spans="1:17" x14ac:dyDescent="0.6">
      <c r="A63" s="244"/>
      <c r="B63" s="244">
        <v>2012</v>
      </c>
      <c r="C63" s="247">
        <f>'10 Years AFS'!G3/1000</f>
        <v>1365963</v>
      </c>
      <c r="D63" s="247">
        <f>-'10 Years AFS'!G4/1000</f>
        <v>388803</v>
      </c>
      <c r="E63" s="247">
        <f t="shared" si="0"/>
        <v>977160</v>
      </c>
      <c r="F63" s="248">
        <f>'10 Years AFS'!G14/1000</f>
        <v>750120</v>
      </c>
      <c r="G63" s="247">
        <f>'10 Years AFS'!G9/1000</f>
        <v>323789</v>
      </c>
      <c r="H63" s="247">
        <f>'10 Years AFS'!G11/1000</f>
        <v>527910</v>
      </c>
      <c r="I63" s="247">
        <f>'10 Years AFS'!G13/1000</f>
        <v>254857</v>
      </c>
      <c r="J63" s="247">
        <f>('10 Years AFS'!G12+'10 Years AFS'!G18)/1000</f>
        <v>130182</v>
      </c>
      <c r="K63" s="247">
        <f>('10 Years AFS'!G6+'10 Years AFS'!G7)/1000</f>
        <v>68612</v>
      </c>
      <c r="L63" s="247"/>
      <c r="M63" s="248">
        <f>'10 Years AFS'!G8/1000</f>
        <v>-60396</v>
      </c>
      <c r="N63" s="244"/>
      <c r="O63" s="247">
        <f>'10 Years AFS'!G20/1000</f>
        <v>3233714</v>
      </c>
      <c r="P63" s="256">
        <v>3233714</v>
      </c>
      <c r="Q63" s="244"/>
    </row>
    <row r="64" spans="1:17" x14ac:dyDescent="0.6">
      <c r="A64" s="244"/>
      <c r="B64" s="244">
        <v>2013</v>
      </c>
      <c r="C64" s="247">
        <v>1488276</v>
      </c>
      <c r="D64" s="247">
        <v>413465</v>
      </c>
      <c r="E64" s="247">
        <f t="shared" si="0"/>
        <v>1074811</v>
      </c>
      <c r="F64" s="247">
        <f>'10 Years AFS'!H14/1000</f>
        <v>823834</v>
      </c>
      <c r="G64" s="247">
        <v>446645</v>
      </c>
      <c r="H64" s="247">
        <f>332891+106660+110600</f>
        <v>550151</v>
      </c>
      <c r="I64" s="247">
        <v>273224</v>
      </c>
      <c r="J64" s="247">
        <v>134200</v>
      </c>
      <c r="K64" s="247">
        <f>('10 Years AFS'!H6+'10 Years AFS'!H7)/1000</f>
        <v>78174</v>
      </c>
      <c r="L64" s="247"/>
      <c r="M64" s="248">
        <f>'10 Years AFS'!H8/1000</f>
        <v>350561</v>
      </c>
      <c r="N64" s="244"/>
      <c r="O64" s="247">
        <f>'10 Years AFS'!H20/1000</f>
        <v>3861467</v>
      </c>
      <c r="P64" s="256">
        <v>3861467</v>
      </c>
      <c r="Q64" s="244"/>
    </row>
    <row r="65" spans="1:17" x14ac:dyDescent="0.6">
      <c r="A65" s="244"/>
      <c r="B65" s="244">
        <v>2014</v>
      </c>
      <c r="C65" s="247">
        <v>1602331</v>
      </c>
      <c r="D65" s="247">
        <v>440014</v>
      </c>
      <c r="E65" s="247">
        <f t="shared" si="0"/>
        <v>1162317</v>
      </c>
      <c r="F65" s="247">
        <f>'10 Years AFS'!I14/1000</f>
        <v>1027459</v>
      </c>
      <c r="G65" s="247">
        <v>452724</v>
      </c>
      <c r="H65" s="247">
        <f>406237+129298+180740</f>
        <v>716275</v>
      </c>
      <c r="I65" s="247">
        <v>296335</v>
      </c>
      <c r="J65" s="247">
        <v>170991</v>
      </c>
      <c r="K65" s="247">
        <f>('10 Years AFS'!I6+'10 Years AFS'!I7)/1000</f>
        <v>61973</v>
      </c>
      <c r="L65" s="247"/>
      <c r="M65" s="248">
        <f>'10 Years AFS'!I8/1000</f>
        <v>739337</v>
      </c>
      <c r="N65" s="244"/>
      <c r="O65" s="247">
        <f>'10 Years AFS'!I20/1000</f>
        <v>4760460</v>
      </c>
      <c r="P65" s="256">
        <v>4760460</v>
      </c>
      <c r="Q65" s="244"/>
    </row>
    <row r="66" spans="1:17" x14ac:dyDescent="0.6">
      <c r="A66" s="244"/>
      <c r="B66" s="244">
        <v>2015</v>
      </c>
      <c r="C66" s="247">
        <v>1710225</v>
      </c>
      <c r="D66" s="247">
        <v>460276</v>
      </c>
      <c r="E66" s="247">
        <f t="shared" si="0"/>
        <v>1249949</v>
      </c>
      <c r="F66" s="247">
        <f>'10 Years AFS'!J14/1000</f>
        <v>1167317</v>
      </c>
      <c r="G66" s="247">
        <v>455177</v>
      </c>
      <c r="H66" s="247">
        <f>248837+124011+164917</f>
        <v>537765</v>
      </c>
      <c r="I66" s="247">
        <v>308515</v>
      </c>
      <c r="J66" s="247">
        <v>217457</v>
      </c>
      <c r="K66" s="247">
        <f>('10 Years AFS'!J6+'10 Years AFS'!J7)/1000</f>
        <v>60524</v>
      </c>
      <c r="L66" s="247"/>
      <c r="M66" s="248">
        <f>'10 Years AFS'!J8/1000</f>
        <v>104441</v>
      </c>
      <c r="N66" s="244"/>
      <c r="O66" s="247">
        <f>'10 Years AFS'!J20/1000</f>
        <v>4242714</v>
      </c>
      <c r="P66" s="256">
        <v>4242714</v>
      </c>
      <c r="Q66" s="244"/>
    </row>
    <row r="67" spans="1:17" x14ac:dyDescent="0.6">
      <c r="A67" s="244"/>
      <c r="B67" s="244">
        <v>2016</v>
      </c>
      <c r="C67" s="247">
        <v>1793219</v>
      </c>
      <c r="D67" s="247">
        <v>483068</v>
      </c>
      <c r="E67" s="247">
        <f t="shared" si="0"/>
        <v>1310151</v>
      </c>
      <c r="F67" s="247">
        <f>'10 Years AFS'!K14/1000</f>
        <v>1322537</v>
      </c>
      <c r="G67" s="247">
        <v>434746</v>
      </c>
      <c r="H67" s="247">
        <f>329449+20263+255234</f>
        <v>604946</v>
      </c>
      <c r="I67" s="247">
        <v>318525</v>
      </c>
      <c r="J67" s="247">
        <f>133901+118368</f>
        <v>252269</v>
      </c>
      <c r="K67" s="247">
        <f>('10 Years AFS'!K6+'10 Years AFS'!K7)/1000</f>
        <v>64330</v>
      </c>
      <c r="L67" s="247"/>
      <c r="M67" s="248">
        <f>'10 Years AFS'!K8/1000</f>
        <v>-124740</v>
      </c>
      <c r="N67" s="244"/>
      <c r="O67" s="247">
        <f>'10 Years AFS'!K20/1000</f>
        <v>4336854</v>
      </c>
      <c r="P67" s="256">
        <v>4336854</v>
      </c>
      <c r="Q67" s="244"/>
    </row>
    <row r="68" spans="1:17" x14ac:dyDescent="0.6">
      <c r="A68" s="244"/>
      <c r="B68" s="244">
        <v>2017</v>
      </c>
      <c r="C68" s="247">
        <v>1899584</v>
      </c>
      <c r="D68" s="247">
        <v>510550</v>
      </c>
      <c r="E68" s="247">
        <f t="shared" si="0"/>
        <v>1389034</v>
      </c>
      <c r="F68" s="247">
        <f>'10 Years AFS'!L14/1000</f>
        <v>1407150</v>
      </c>
      <c r="G68" s="247">
        <v>475185</v>
      </c>
      <c r="H68" s="247">
        <f>281084+22547+306378</f>
        <v>610009</v>
      </c>
      <c r="I68" s="247">
        <v>346401</v>
      </c>
      <c r="J68" s="247">
        <f>158140+113652</f>
        <v>271792</v>
      </c>
      <c r="K68" s="247">
        <f>('10 Years AFS'!L6+'10 Years AFS'!L7)/1000</f>
        <v>84083</v>
      </c>
      <c r="L68" s="247"/>
      <c r="M68" s="248">
        <f>'10 Years AFS'!L8/1000</f>
        <v>580909</v>
      </c>
      <c r="N68" s="247"/>
      <c r="O68" s="247">
        <f>'10 Years AFS'!L20/1000</f>
        <v>5268465</v>
      </c>
      <c r="P68" s="256">
        <v>5268465</v>
      </c>
      <c r="Q68" s="244"/>
    </row>
    <row r="69" spans="1:17" x14ac:dyDescent="0.6">
      <c r="A69" s="244"/>
      <c r="B69" s="244"/>
      <c r="C69" s="244"/>
      <c r="D69" s="244"/>
      <c r="E69" s="244"/>
      <c r="F69" s="244"/>
      <c r="G69" s="244"/>
      <c r="H69" s="244"/>
      <c r="I69" s="244"/>
      <c r="J69" s="244"/>
      <c r="K69" s="244"/>
      <c r="L69" s="244"/>
      <c r="M69" s="244"/>
      <c r="N69" s="244"/>
      <c r="O69" s="244"/>
      <c r="P69" s="244"/>
      <c r="Q69" s="244"/>
    </row>
    <row r="70" spans="1:17" x14ac:dyDescent="0.6">
      <c r="A70" s="244"/>
      <c r="B70" s="244"/>
      <c r="C70" s="244"/>
      <c r="D70" s="244"/>
      <c r="E70" s="244"/>
      <c r="F70" s="244"/>
      <c r="G70" s="244"/>
      <c r="H70" s="244"/>
      <c r="I70" s="244"/>
      <c r="J70" s="244"/>
      <c r="K70" s="244"/>
      <c r="L70" s="244"/>
      <c r="M70" s="247"/>
      <c r="N70" s="244"/>
      <c r="O70" s="244"/>
      <c r="P70" s="244"/>
      <c r="Q70" s="244"/>
    </row>
    <row r="71" spans="1:17" x14ac:dyDescent="0.6">
      <c r="A71" s="244"/>
      <c r="B71" s="251"/>
      <c r="C71" s="253">
        <v>2007</v>
      </c>
      <c r="D71" s="253">
        <v>2008</v>
      </c>
      <c r="E71" s="253">
        <v>2009</v>
      </c>
      <c r="F71" s="253">
        <v>2010</v>
      </c>
      <c r="G71" s="253">
        <v>2011</v>
      </c>
      <c r="H71" s="253">
        <v>2012</v>
      </c>
      <c r="I71" s="253">
        <v>2013</v>
      </c>
      <c r="J71" s="253">
        <v>2014</v>
      </c>
      <c r="K71" s="253">
        <v>2015</v>
      </c>
      <c r="L71" s="253">
        <v>2016</v>
      </c>
      <c r="M71" s="253">
        <v>2017</v>
      </c>
      <c r="N71" s="252" t="s">
        <v>233</v>
      </c>
      <c r="O71" s="252"/>
      <c r="P71" s="244"/>
      <c r="Q71" s="244"/>
    </row>
    <row r="72" spans="1:17" ht="29.7" thickBot="1" x14ac:dyDescent="0.65">
      <c r="A72" s="244"/>
      <c r="B72" s="254" t="s">
        <v>174</v>
      </c>
      <c r="C72" s="262">
        <v>950077</v>
      </c>
      <c r="D72" s="263">
        <v>1000289</v>
      </c>
      <c r="E72" s="263">
        <v>1065342</v>
      </c>
      <c r="F72" s="263">
        <v>1152480</v>
      </c>
      <c r="G72" s="263">
        <v>1267545</v>
      </c>
      <c r="H72" s="263">
        <v>1365963</v>
      </c>
      <c r="I72" s="263">
        <v>1488276</v>
      </c>
      <c r="J72" s="263">
        <v>1602331</v>
      </c>
      <c r="K72" s="263">
        <v>1710225</v>
      </c>
      <c r="L72" s="263">
        <v>1793219</v>
      </c>
      <c r="M72" s="264">
        <v>1899584</v>
      </c>
      <c r="N72" s="285">
        <f>AVERAGE(C72:M72)/$N$83</f>
        <v>0.39725377363488401</v>
      </c>
      <c r="O72" s="244"/>
      <c r="P72" s="244"/>
      <c r="Q72" s="244"/>
    </row>
    <row r="73" spans="1:17" ht="15" thickBot="1" x14ac:dyDescent="0.65">
      <c r="A73" s="244"/>
      <c r="B73" s="254" t="s">
        <v>173</v>
      </c>
      <c r="C73" s="262">
        <v>277212</v>
      </c>
      <c r="D73" s="263">
        <v>294308</v>
      </c>
      <c r="E73" s="263">
        <v>320161</v>
      </c>
      <c r="F73" s="263">
        <v>325467</v>
      </c>
      <c r="G73" s="263">
        <v>356859</v>
      </c>
      <c r="H73" s="263">
        <v>388803</v>
      </c>
      <c r="I73" s="263">
        <v>413465</v>
      </c>
      <c r="J73" s="263">
        <v>440014</v>
      </c>
      <c r="K73" s="263">
        <v>460276</v>
      </c>
      <c r="L73" s="263">
        <v>483068</v>
      </c>
      <c r="M73" s="264">
        <v>510550</v>
      </c>
      <c r="N73" s="285">
        <f t="shared" ref="N73:N81" si="1">AVERAGE(C73:M73)/$N$83</f>
        <v>0.11090615239784805</v>
      </c>
      <c r="O73" s="244"/>
      <c r="P73" s="244"/>
      <c r="Q73" s="244"/>
    </row>
    <row r="74" spans="1:17" ht="29.7" thickBot="1" x14ac:dyDescent="0.65">
      <c r="A74" s="244"/>
      <c r="B74" s="254" t="s">
        <v>172</v>
      </c>
      <c r="C74" s="265">
        <v>672865</v>
      </c>
      <c r="D74" s="266">
        <v>705981</v>
      </c>
      <c r="E74" s="266">
        <v>745181</v>
      </c>
      <c r="F74" s="266">
        <v>827013.14790999994</v>
      </c>
      <c r="G74" s="266">
        <v>910686</v>
      </c>
      <c r="H74" s="266">
        <v>977160</v>
      </c>
      <c r="I74" s="266">
        <v>1074811</v>
      </c>
      <c r="J74" s="266">
        <v>1162317</v>
      </c>
      <c r="K74" s="266">
        <v>1249949</v>
      </c>
      <c r="L74" s="266">
        <v>1310151</v>
      </c>
      <c r="M74" s="267">
        <v>1389034</v>
      </c>
      <c r="N74" s="285">
        <f t="shared" si="1"/>
        <v>0.28634762507858769</v>
      </c>
      <c r="O74" s="247"/>
      <c r="P74" s="244"/>
      <c r="Q74" s="244"/>
    </row>
    <row r="75" spans="1:17" ht="15" thickBot="1" x14ac:dyDescent="0.65">
      <c r="A75" s="244"/>
      <c r="B75" s="254" t="s">
        <v>229</v>
      </c>
      <c r="C75" s="259">
        <v>0</v>
      </c>
      <c r="D75" s="260">
        <v>0</v>
      </c>
      <c r="E75" s="260">
        <v>101559</v>
      </c>
      <c r="F75" s="260">
        <v>592668.76</v>
      </c>
      <c r="G75" s="260">
        <v>684978</v>
      </c>
      <c r="H75" s="260">
        <v>750120</v>
      </c>
      <c r="I75" s="260">
        <v>823834</v>
      </c>
      <c r="J75" s="260">
        <v>1027459</v>
      </c>
      <c r="K75" s="260">
        <v>1167317</v>
      </c>
      <c r="L75" s="260">
        <v>1322537</v>
      </c>
      <c r="M75" s="261">
        <v>1407150</v>
      </c>
      <c r="N75" s="285">
        <f t="shared" si="1"/>
        <v>0.20459938844618986</v>
      </c>
      <c r="O75" s="247"/>
      <c r="P75" s="244"/>
      <c r="Q75" s="244"/>
    </row>
    <row r="76" spans="1:17" ht="29.7" thickBot="1" x14ac:dyDescent="0.65">
      <c r="A76" s="244"/>
      <c r="B76" s="254" t="s">
        <v>170</v>
      </c>
      <c r="C76" s="265">
        <v>245463</v>
      </c>
      <c r="D76" s="266">
        <v>240061</v>
      </c>
      <c r="E76" s="266">
        <v>255864</v>
      </c>
      <c r="F76" s="266">
        <v>285570.95199999999</v>
      </c>
      <c r="G76" s="266">
        <v>350827</v>
      </c>
      <c r="H76" s="266">
        <v>323789</v>
      </c>
      <c r="I76" s="266">
        <v>446645</v>
      </c>
      <c r="J76" s="266">
        <v>452724</v>
      </c>
      <c r="K76" s="266">
        <v>455177</v>
      </c>
      <c r="L76" s="266">
        <v>434746</v>
      </c>
      <c r="M76" s="267">
        <v>475185</v>
      </c>
      <c r="N76" s="285">
        <f t="shared" si="1"/>
        <v>0.10300719248011028</v>
      </c>
      <c r="O76" s="247"/>
      <c r="P76" s="244"/>
      <c r="Q76" s="244"/>
    </row>
    <row r="77" spans="1:17" ht="15" thickBot="1" x14ac:dyDescent="0.65">
      <c r="A77" s="244"/>
      <c r="B77" s="254" t="s">
        <v>169</v>
      </c>
      <c r="C77" s="268">
        <v>363599</v>
      </c>
      <c r="D77" s="269">
        <v>410105</v>
      </c>
      <c r="E77" s="269">
        <v>392898</v>
      </c>
      <c r="F77" s="269">
        <v>491308.39721000002</v>
      </c>
      <c r="G77" s="269">
        <v>681267</v>
      </c>
      <c r="H77" s="269">
        <v>527910</v>
      </c>
      <c r="I77" s="269">
        <v>550151</v>
      </c>
      <c r="J77" s="269">
        <v>716275</v>
      </c>
      <c r="K77" s="269">
        <v>537765</v>
      </c>
      <c r="L77" s="269">
        <v>604946</v>
      </c>
      <c r="M77" s="270">
        <v>610009</v>
      </c>
      <c r="N77" s="285">
        <f t="shared" si="1"/>
        <v>0.15287857644514888</v>
      </c>
      <c r="O77" s="247"/>
      <c r="P77" s="244"/>
      <c r="Q77" s="244"/>
    </row>
    <row r="78" spans="1:17" ht="29.7" thickBot="1" x14ac:dyDescent="0.65">
      <c r="A78" s="244"/>
      <c r="B78" s="254" t="s">
        <v>168</v>
      </c>
      <c r="C78" s="265">
        <v>213469</v>
      </c>
      <c r="D78" s="266">
        <v>223125</v>
      </c>
      <c r="E78" s="266">
        <v>226972</v>
      </c>
      <c r="F78" s="266">
        <v>225363.22214</v>
      </c>
      <c r="G78" s="266">
        <v>243011</v>
      </c>
      <c r="H78" s="266">
        <v>254857</v>
      </c>
      <c r="I78" s="266">
        <v>273224</v>
      </c>
      <c r="J78" s="266">
        <v>296335</v>
      </c>
      <c r="K78" s="266">
        <v>308515</v>
      </c>
      <c r="L78" s="266">
        <v>318525</v>
      </c>
      <c r="M78" s="267">
        <v>346401</v>
      </c>
      <c r="N78" s="285">
        <f t="shared" si="1"/>
        <v>7.6093351786902519E-2</v>
      </c>
      <c r="O78" s="247"/>
      <c r="P78" s="244"/>
      <c r="Q78" s="244"/>
    </row>
    <row r="79" spans="1:17" ht="29.7" thickBot="1" x14ac:dyDescent="0.65">
      <c r="A79" s="244"/>
      <c r="B79" s="254" t="s">
        <v>167</v>
      </c>
      <c r="C79" s="257">
        <v>121838</v>
      </c>
      <c r="D79" s="256">
        <v>118544</v>
      </c>
      <c r="E79" s="256">
        <v>120139</v>
      </c>
      <c r="F79" s="256">
        <v>121034.39044999999</v>
      </c>
      <c r="G79" s="256">
        <v>126734</v>
      </c>
      <c r="H79" s="256">
        <v>130182</v>
      </c>
      <c r="I79" s="256">
        <v>134200</v>
      </c>
      <c r="J79" s="256">
        <v>170991</v>
      </c>
      <c r="K79" s="256">
        <v>217457</v>
      </c>
      <c r="L79" s="256">
        <v>252269</v>
      </c>
      <c r="M79" s="258">
        <v>271792</v>
      </c>
      <c r="N79" s="285">
        <f t="shared" si="1"/>
        <v>4.6365106235704098E-2</v>
      </c>
      <c r="O79" s="247"/>
      <c r="P79" s="244"/>
      <c r="Q79" s="244"/>
    </row>
    <row r="80" spans="1:17" ht="44.35" thickBot="1" x14ac:dyDescent="0.65">
      <c r="A80" s="244"/>
      <c r="B80" s="254" t="s">
        <v>209</v>
      </c>
      <c r="C80" s="265">
        <v>108724</v>
      </c>
      <c r="D80" s="266">
        <v>98224</v>
      </c>
      <c r="E80" s="266">
        <v>70111</v>
      </c>
      <c r="F80" s="266">
        <v>60979.626054</v>
      </c>
      <c r="G80" s="266">
        <v>57889</v>
      </c>
      <c r="H80" s="266">
        <v>68612</v>
      </c>
      <c r="I80" s="266">
        <v>78174</v>
      </c>
      <c r="J80" s="266">
        <v>61973</v>
      </c>
      <c r="K80" s="266">
        <v>60524</v>
      </c>
      <c r="L80" s="266">
        <v>64330</v>
      </c>
      <c r="M80" s="267">
        <v>84083</v>
      </c>
      <c r="N80" s="285">
        <f t="shared" si="1"/>
        <v>2.113161563933786E-2</v>
      </c>
      <c r="O80" s="247"/>
      <c r="P80" s="244"/>
      <c r="Q80" s="244"/>
    </row>
    <row r="81" spans="1:17" ht="44.35" thickBot="1" x14ac:dyDescent="0.65">
      <c r="A81" s="244"/>
      <c r="B81" s="271" t="s">
        <v>54</v>
      </c>
      <c r="C81" s="265">
        <v>513379</v>
      </c>
      <c r="D81" s="266">
        <v>-159455</v>
      </c>
      <c r="E81" s="266">
        <v>-903089</v>
      </c>
      <c r="F81" s="266">
        <v>296455.44900000002</v>
      </c>
      <c r="G81" s="266">
        <v>624958</v>
      </c>
      <c r="H81" s="266">
        <v>-60396</v>
      </c>
      <c r="I81" s="266">
        <v>350561</v>
      </c>
      <c r="J81" s="266">
        <v>739337</v>
      </c>
      <c r="K81" s="266">
        <v>104441</v>
      </c>
      <c r="L81" s="266">
        <v>-124740</v>
      </c>
      <c r="M81" s="267">
        <v>580909</v>
      </c>
      <c r="N81" s="285">
        <f t="shared" si="1"/>
        <v>5.0966866529210474E-2</v>
      </c>
      <c r="O81" s="247"/>
      <c r="P81" s="244"/>
      <c r="Q81" s="244"/>
    </row>
    <row r="82" spans="1:17" ht="15" thickBot="1" x14ac:dyDescent="0.65">
      <c r="A82" s="244"/>
      <c r="B82" s="250"/>
      <c r="C82" s="244"/>
      <c r="D82" s="244"/>
      <c r="E82" s="244"/>
      <c r="F82" s="244"/>
      <c r="G82" s="244"/>
      <c r="H82" s="244"/>
      <c r="I82" s="244"/>
      <c r="J82" s="244"/>
      <c r="K82" s="244"/>
      <c r="L82" s="244"/>
      <c r="M82" s="244"/>
      <c r="N82" s="244"/>
      <c r="O82" s="247"/>
      <c r="P82" s="244"/>
      <c r="Q82" s="244"/>
    </row>
    <row r="83" spans="1:17" ht="15" thickBot="1" x14ac:dyDescent="0.65">
      <c r="A83" s="244"/>
      <c r="B83" s="293" t="s">
        <v>112</v>
      </c>
      <c r="C83" s="265">
        <v>2523525</v>
      </c>
      <c r="D83" s="266">
        <v>1902376</v>
      </c>
      <c r="E83" s="266">
        <v>1321283</v>
      </c>
      <c r="F83" s="266">
        <v>3129147.1195239997</v>
      </c>
      <c r="G83" s="266">
        <v>3922665</v>
      </c>
      <c r="H83" s="266">
        <v>3233714</v>
      </c>
      <c r="I83" s="266">
        <v>3861467</v>
      </c>
      <c r="J83" s="266">
        <v>4760460</v>
      </c>
      <c r="K83" s="266">
        <v>4242714</v>
      </c>
      <c r="L83" s="266">
        <v>4336854</v>
      </c>
      <c r="M83" s="267">
        <v>5268465</v>
      </c>
      <c r="N83" s="244">
        <f t="shared" ref="N83" si="2">AVERAGE(C83:M83)</f>
        <v>3500242.7381385458</v>
      </c>
      <c r="O83" s="247"/>
      <c r="P83" s="244"/>
      <c r="Q83" s="244"/>
    </row>
    <row r="84" spans="1:17" x14ac:dyDescent="0.6">
      <c r="A84" s="244"/>
      <c r="B84" s="244"/>
      <c r="C84" s="244"/>
      <c r="D84" s="244"/>
      <c r="E84" s="244"/>
      <c r="F84" s="244"/>
      <c r="G84" s="244"/>
      <c r="H84" s="244"/>
      <c r="I84" s="244"/>
      <c r="J84" s="244"/>
      <c r="K84" s="244"/>
      <c r="L84" s="244"/>
      <c r="M84" s="244"/>
      <c r="N84" s="244"/>
      <c r="O84" s="247"/>
      <c r="P84" s="244"/>
      <c r="Q84" s="244"/>
    </row>
    <row r="85" spans="1:17" x14ac:dyDescent="0.6">
      <c r="A85" s="244"/>
      <c r="B85" s="244"/>
      <c r="C85" s="244"/>
      <c r="D85" s="244"/>
      <c r="E85" s="244"/>
      <c r="F85" s="244"/>
      <c r="G85" s="244"/>
      <c r="H85" s="244"/>
      <c r="I85" s="244"/>
      <c r="J85" s="244"/>
      <c r="K85" s="244"/>
      <c r="L85" s="244"/>
      <c r="M85" s="244"/>
      <c r="N85" s="244"/>
      <c r="O85" s="247"/>
      <c r="P85" s="244"/>
      <c r="Q85" s="244"/>
    </row>
    <row r="86" spans="1:17" x14ac:dyDescent="0.6">
      <c r="A86" s="244"/>
      <c r="B86" s="244"/>
      <c r="C86" s="244"/>
      <c r="D86" s="244"/>
      <c r="E86" s="244"/>
      <c r="F86" s="244"/>
      <c r="G86" s="244"/>
      <c r="H86" s="244"/>
      <c r="I86" s="244"/>
      <c r="J86" s="244"/>
      <c r="K86" s="244"/>
      <c r="L86" s="244"/>
      <c r="M86" s="244"/>
      <c r="N86" s="244"/>
      <c r="O86" s="244"/>
      <c r="P86" s="244"/>
      <c r="Q86" s="244"/>
    </row>
    <row r="87" spans="1:17" x14ac:dyDescent="0.6">
      <c r="A87" s="244"/>
      <c r="B87" s="244"/>
      <c r="C87" s="244"/>
      <c r="D87" s="244"/>
      <c r="E87" s="244"/>
      <c r="F87" s="244"/>
      <c r="G87" s="244"/>
      <c r="H87" s="244"/>
      <c r="I87" s="244"/>
      <c r="J87" s="244"/>
      <c r="K87" s="244"/>
      <c r="L87" s="244"/>
      <c r="M87" s="244"/>
      <c r="N87" s="244"/>
      <c r="O87" s="244"/>
      <c r="P87" s="244"/>
      <c r="Q87" s="244"/>
    </row>
    <row r="88" spans="1:17" x14ac:dyDescent="0.6">
      <c r="A88" s="244"/>
      <c r="B88" s="244"/>
      <c r="C88" s="244"/>
      <c r="D88" s="244"/>
      <c r="E88" s="244"/>
      <c r="F88" s="244"/>
      <c r="G88" s="244"/>
      <c r="H88" s="244"/>
      <c r="I88" s="244"/>
      <c r="J88" s="244"/>
      <c r="K88" s="244"/>
      <c r="L88" s="244"/>
      <c r="M88" s="244"/>
      <c r="N88" s="244"/>
      <c r="O88" s="244"/>
      <c r="P88" s="244"/>
      <c r="Q88" s="244"/>
    </row>
    <row r="89" spans="1:17" x14ac:dyDescent="0.6">
      <c r="A89" s="244"/>
      <c r="B89" s="244"/>
      <c r="C89" s="244"/>
      <c r="D89" s="244"/>
      <c r="E89" s="244"/>
      <c r="F89" s="244"/>
      <c r="G89" s="244"/>
      <c r="H89" s="244"/>
      <c r="I89" s="244"/>
      <c r="J89" s="244"/>
      <c r="K89" s="244"/>
      <c r="L89" s="244"/>
      <c r="M89" s="244"/>
      <c r="N89" s="244"/>
      <c r="O89" s="244"/>
      <c r="P89" s="244"/>
      <c r="Q89" s="244"/>
    </row>
    <row r="90" spans="1:17" x14ac:dyDescent="0.6">
      <c r="A90" s="244"/>
      <c r="B90" s="244"/>
      <c r="C90" s="244"/>
      <c r="D90" s="244"/>
      <c r="E90" s="244"/>
      <c r="F90" s="244"/>
      <c r="G90" s="244"/>
      <c r="H90" s="244"/>
      <c r="I90" s="244"/>
      <c r="J90" s="244"/>
      <c r="K90" s="244"/>
      <c r="L90" s="244"/>
      <c r="M90" s="244"/>
      <c r="N90" s="244"/>
      <c r="O90" s="244"/>
      <c r="P90" s="244"/>
      <c r="Q90" s="244"/>
    </row>
    <row r="91" spans="1:17" x14ac:dyDescent="0.6">
      <c r="A91" s="244"/>
      <c r="B91" s="244"/>
      <c r="C91" s="244"/>
      <c r="D91" s="244"/>
      <c r="E91" s="244"/>
      <c r="F91" s="244"/>
      <c r="G91" s="244"/>
      <c r="H91" s="244"/>
      <c r="I91" s="244"/>
      <c r="J91" s="244"/>
      <c r="K91" s="244"/>
      <c r="L91" s="244"/>
      <c r="M91" s="244"/>
      <c r="N91" s="244"/>
      <c r="O91" s="244"/>
      <c r="P91" s="244"/>
      <c r="Q91" s="244"/>
    </row>
    <row r="92" spans="1:17" x14ac:dyDescent="0.6">
      <c r="A92" s="244"/>
      <c r="B92" s="244"/>
      <c r="C92" s="244"/>
      <c r="D92" s="244"/>
      <c r="E92" s="244"/>
      <c r="F92" s="244"/>
      <c r="G92" s="244"/>
      <c r="H92" s="244"/>
      <c r="I92" s="244"/>
      <c r="J92" s="244"/>
      <c r="K92" s="244"/>
      <c r="L92" s="244"/>
      <c r="M92" s="244"/>
      <c r="N92" s="244"/>
      <c r="O92" s="244"/>
      <c r="P92" s="244"/>
      <c r="Q92" s="244"/>
    </row>
    <row r="93" spans="1:17" x14ac:dyDescent="0.6">
      <c r="A93" s="244"/>
      <c r="B93" s="244"/>
      <c r="C93" s="244"/>
      <c r="D93" s="244"/>
      <c r="E93" s="244"/>
      <c r="F93" s="244"/>
      <c r="G93" s="244"/>
      <c r="H93" s="244"/>
      <c r="I93" s="244"/>
      <c r="J93" s="244"/>
      <c r="K93" s="244"/>
      <c r="L93" s="244"/>
      <c r="M93" s="244"/>
      <c r="N93" s="244"/>
      <c r="O93" s="244"/>
      <c r="P93" s="244"/>
      <c r="Q93" s="244"/>
    </row>
    <row r="94" spans="1:17" x14ac:dyDescent="0.6">
      <c r="A94" s="244"/>
      <c r="B94" s="244"/>
      <c r="C94" s="244"/>
      <c r="D94" s="244"/>
      <c r="E94" s="244"/>
      <c r="F94" s="244"/>
      <c r="G94" s="244"/>
      <c r="H94" s="244"/>
      <c r="I94" s="244"/>
      <c r="J94" s="244"/>
      <c r="K94" s="244"/>
      <c r="L94" s="244"/>
      <c r="M94" s="244"/>
      <c r="N94" s="244"/>
      <c r="O94" s="244"/>
      <c r="P94" s="244"/>
      <c r="Q94" s="244"/>
    </row>
  </sheetData>
  <mergeCells count="1">
    <mergeCell ref="A2:R2"/>
  </mergeCells>
  <printOptions horizontalCentered="1"/>
  <pageMargins left="0.4" right="0.35" top="0.35" bottom="0.35" header="0.3" footer="0.3"/>
  <pageSetup paperSize="5" scale="7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workbookViewId="0">
      <selection activeCell="A14" sqref="A14:L14"/>
    </sheetView>
  </sheetViews>
  <sheetFormatPr defaultColWidth="9.1171875" defaultRowHeight="11.7" x14ac:dyDescent="0.4"/>
  <cols>
    <col min="1" max="1" width="35.87890625" style="157" customWidth="1"/>
    <col min="2" max="12" width="16.1171875" style="157" customWidth="1"/>
    <col min="13" max="16384" width="9.1171875" style="159"/>
  </cols>
  <sheetData>
    <row r="1" spans="1:12" x14ac:dyDescent="0.4">
      <c r="B1" s="158">
        <v>2007</v>
      </c>
      <c r="C1" s="158">
        <v>2008</v>
      </c>
      <c r="D1" s="158">
        <v>2009</v>
      </c>
      <c r="E1" s="158">
        <v>2010</v>
      </c>
      <c r="F1" s="158">
        <v>2011</v>
      </c>
      <c r="G1" s="158">
        <v>2012</v>
      </c>
      <c r="H1" s="158">
        <v>2013</v>
      </c>
      <c r="I1" s="158">
        <v>2014</v>
      </c>
      <c r="J1" s="158">
        <v>2015</v>
      </c>
      <c r="K1" s="158">
        <v>2016</v>
      </c>
      <c r="L1" s="158">
        <v>2017</v>
      </c>
    </row>
    <row r="2" spans="1:12" x14ac:dyDescent="0.4">
      <c r="A2" s="161" t="s">
        <v>60</v>
      </c>
      <c r="B2" s="162"/>
      <c r="C2" s="162"/>
      <c r="D2" s="162"/>
      <c r="E2" s="163"/>
      <c r="F2" s="162"/>
      <c r="G2" s="162"/>
      <c r="H2" s="162"/>
      <c r="I2" s="162"/>
      <c r="J2" s="162"/>
      <c r="K2" s="162"/>
      <c r="L2" s="162"/>
    </row>
    <row r="3" spans="1:12" x14ac:dyDescent="0.4">
      <c r="A3" s="164" t="s">
        <v>59</v>
      </c>
      <c r="B3" s="165">
        <v>950077000</v>
      </c>
      <c r="C3" s="165">
        <v>1000289000</v>
      </c>
      <c r="D3" s="165">
        <v>1065342000</v>
      </c>
      <c r="E3" s="165">
        <v>1152480208.5899999</v>
      </c>
      <c r="F3" s="165">
        <v>1267545000</v>
      </c>
      <c r="G3" s="165">
        <v>1365963000</v>
      </c>
      <c r="H3" s="165">
        <v>1488276000</v>
      </c>
      <c r="I3" s="165">
        <v>1602331000</v>
      </c>
      <c r="J3" s="165">
        <v>1710225000</v>
      </c>
      <c r="K3" s="165">
        <v>1793219000</v>
      </c>
      <c r="L3" s="165">
        <v>1899584000</v>
      </c>
    </row>
    <row r="4" spans="1:12" x14ac:dyDescent="0.4">
      <c r="A4" s="164" t="s">
        <v>58</v>
      </c>
      <c r="B4" s="166">
        <v>-277212000</v>
      </c>
      <c r="C4" s="166">
        <v>-294308000</v>
      </c>
      <c r="D4" s="166">
        <v>-320161000</v>
      </c>
      <c r="E4" s="166">
        <v>-325467060.68000001</v>
      </c>
      <c r="F4" s="166">
        <v>-356859000</v>
      </c>
      <c r="G4" s="166">
        <v>-388803000</v>
      </c>
      <c r="H4" s="166">
        <v>-413465000</v>
      </c>
      <c r="I4" s="166">
        <v>-440014000</v>
      </c>
      <c r="J4" s="166">
        <v>-460276000</v>
      </c>
      <c r="K4" s="166">
        <v>-483068000</v>
      </c>
      <c r="L4" s="166">
        <v>-510551000</v>
      </c>
    </row>
    <row r="5" spans="1:12" x14ac:dyDescent="0.4">
      <c r="A5" s="167" t="s">
        <v>57</v>
      </c>
      <c r="B5" s="168">
        <v>672865000</v>
      </c>
      <c r="C5" s="168">
        <v>705981000</v>
      </c>
      <c r="D5" s="169">
        <v>745181000</v>
      </c>
      <c r="E5" s="170">
        <v>827013147.90999985</v>
      </c>
      <c r="F5" s="169">
        <v>910686000</v>
      </c>
      <c r="G5" s="169">
        <v>977160000</v>
      </c>
      <c r="H5" s="169">
        <v>1074811000</v>
      </c>
      <c r="I5" s="169">
        <v>1162317000</v>
      </c>
      <c r="J5" s="169">
        <v>1249949000</v>
      </c>
      <c r="K5" s="169">
        <v>1310151000</v>
      </c>
      <c r="L5" s="169">
        <v>1389034000</v>
      </c>
    </row>
    <row r="6" spans="1:12" x14ac:dyDescent="0.4">
      <c r="A6" s="164" t="s">
        <v>56</v>
      </c>
      <c r="B6" s="166">
        <v>68825000</v>
      </c>
      <c r="C6" s="166">
        <v>72973000</v>
      </c>
      <c r="D6" s="166">
        <v>62397000</v>
      </c>
      <c r="E6" s="166">
        <v>50093806.583999999</v>
      </c>
      <c r="F6" s="166">
        <v>53200000</v>
      </c>
      <c r="G6" s="166">
        <v>56582000</v>
      </c>
      <c r="H6" s="166">
        <v>66247000</v>
      </c>
      <c r="I6" s="166">
        <v>50959000</v>
      </c>
      <c r="J6" s="166">
        <v>45959000</v>
      </c>
      <c r="K6" s="166">
        <v>29138000</v>
      </c>
      <c r="L6" s="166">
        <v>34465000</v>
      </c>
    </row>
    <row r="7" spans="1:12" x14ac:dyDescent="0.4">
      <c r="A7" s="164" t="s">
        <v>55</v>
      </c>
      <c r="B7" s="166">
        <v>39899000</v>
      </c>
      <c r="C7" s="166">
        <v>25251000</v>
      </c>
      <c r="D7" s="166">
        <v>7714000</v>
      </c>
      <c r="E7" s="166">
        <v>10885819.469999999</v>
      </c>
      <c r="F7" s="166">
        <v>4689000</v>
      </c>
      <c r="G7" s="166">
        <v>12030000</v>
      </c>
      <c r="H7" s="166">
        <v>11927000</v>
      </c>
      <c r="I7" s="166">
        <v>11014000</v>
      </c>
      <c r="J7" s="166">
        <v>14565000</v>
      </c>
      <c r="K7" s="166">
        <v>35192000</v>
      </c>
      <c r="L7" s="229">
        <v>49618000</v>
      </c>
    </row>
    <row r="8" spans="1:12" x14ac:dyDescent="0.4">
      <c r="A8" s="164" t="s">
        <v>54</v>
      </c>
      <c r="B8" s="228">
        <v>513379000</v>
      </c>
      <c r="C8" s="228">
        <v>-159455000</v>
      </c>
      <c r="D8" s="228">
        <v>-903089000</v>
      </c>
      <c r="E8" s="228">
        <v>296455449</v>
      </c>
      <c r="F8" s="228">
        <v>624958000</v>
      </c>
      <c r="G8" s="228">
        <v>-60396000</v>
      </c>
      <c r="H8" s="228">
        <v>350561000</v>
      </c>
      <c r="I8" s="228">
        <v>739337000</v>
      </c>
      <c r="J8" s="228">
        <v>104441000</v>
      </c>
      <c r="K8" s="228">
        <v>-124740000</v>
      </c>
      <c r="L8" s="228">
        <v>580909000</v>
      </c>
    </row>
    <row r="9" spans="1:12" x14ac:dyDescent="0.4">
      <c r="A9" s="164" t="s">
        <v>53</v>
      </c>
      <c r="B9" s="166">
        <v>245463000</v>
      </c>
      <c r="C9" s="166">
        <v>240061000</v>
      </c>
      <c r="D9" s="166">
        <v>255864000</v>
      </c>
      <c r="E9" s="166">
        <v>285570952</v>
      </c>
      <c r="F9" s="166">
        <v>350827000</v>
      </c>
      <c r="G9" s="166">
        <v>323789000</v>
      </c>
      <c r="H9" s="166">
        <v>313725000</v>
      </c>
      <c r="I9" s="166">
        <v>316269000</v>
      </c>
      <c r="J9" s="166">
        <v>313568000</v>
      </c>
      <c r="K9" s="166">
        <v>295872000</v>
      </c>
      <c r="L9" s="166">
        <v>327406000</v>
      </c>
    </row>
    <row r="10" spans="1:12" x14ac:dyDescent="0.4">
      <c r="A10" s="164" t="s">
        <v>52</v>
      </c>
      <c r="B10" s="166">
        <v>101981000</v>
      </c>
      <c r="C10" s="166">
        <v>103956000</v>
      </c>
      <c r="D10" s="166">
        <v>111588000</v>
      </c>
      <c r="E10" s="166">
        <v>118896253.76000001</v>
      </c>
      <c r="F10" s="166">
        <v>132254000</v>
      </c>
      <c r="G10" s="166">
        <v>132012000</v>
      </c>
      <c r="H10" s="166">
        <v>132920000</v>
      </c>
      <c r="I10" s="166">
        <v>136455000</v>
      </c>
      <c r="J10" s="166">
        <v>141609000</v>
      </c>
      <c r="K10" s="166">
        <v>138874000</v>
      </c>
      <c r="L10" s="166">
        <v>147779000</v>
      </c>
    </row>
    <row r="11" spans="1:12" x14ac:dyDescent="0.4">
      <c r="A11" s="164" t="s">
        <v>51</v>
      </c>
      <c r="B11" s="166">
        <v>363599000</v>
      </c>
      <c r="C11" s="166">
        <v>410105000</v>
      </c>
      <c r="D11" s="166">
        <v>392898000</v>
      </c>
      <c r="E11" s="166">
        <v>491308397.21000004</v>
      </c>
      <c r="F11" s="166">
        <v>681267000</v>
      </c>
      <c r="G11" s="166">
        <v>527910000</v>
      </c>
      <c r="H11" s="166">
        <v>550151000</v>
      </c>
      <c r="I11" s="166">
        <v>716275000</v>
      </c>
      <c r="J11" s="166">
        <v>537765000</v>
      </c>
      <c r="K11" s="166">
        <v>604946000</v>
      </c>
      <c r="L11" s="166">
        <v>610009000</v>
      </c>
    </row>
    <row r="12" spans="1:12" x14ac:dyDescent="0.4">
      <c r="A12" s="164" t="s">
        <v>50</v>
      </c>
      <c r="B12" s="166">
        <v>31484000</v>
      </c>
      <c r="C12" s="166">
        <v>32057000</v>
      </c>
      <c r="D12" s="166">
        <v>32513000</v>
      </c>
      <c r="E12" s="166">
        <v>31220740.989999998</v>
      </c>
      <c r="F12" s="166">
        <v>31029000</v>
      </c>
      <c r="G12" s="166">
        <v>28902000</v>
      </c>
      <c r="H12" s="227">
        <v>28201000</v>
      </c>
      <c r="I12" s="166">
        <v>73786000</v>
      </c>
      <c r="J12" s="166">
        <v>121065000</v>
      </c>
      <c r="K12" s="166">
        <v>133901000</v>
      </c>
      <c r="L12" s="166">
        <v>158140000</v>
      </c>
    </row>
    <row r="13" spans="1:12" x14ac:dyDescent="0.4">
      <c r="A13" s="164" t="s">
        <v>49</v>
      </c>
      <c r="B13" s="166">
        <v>213469000</v>
      </c>
      <c r="C13" s="166">
        <v>223125000</v>
      </c>
      <c r="D13" s="166">
        <v>226972000</v>
      </c>
      <c r="E13" s="166">
        <v>225363222.13999999</v>
      </c>
      <c r="F13" s="166">
        <v>243011000</v>
      </c>
      <c r="G13" s="166">
        <v>254857000</v>
      </c>
      <c r="H13" s="166">
        <v>273224000</v>
      </c>
      <c r="I13" s="166">
        <v>296335000</v>
      </c>
      <c r="J13" s="166">
        <v>308515000</v>
      </c>
      <c r="K13" s="166">
        <v>318525000</v>
      </c>
      <c r="L13" s="166">
        <v>346401000</v>
      </c>
    </row>
    <row r="14" spans="1:12" x14ac:dyDescent="0.4">
      <c r="A14" s="236" t="s">
        <v>89</v>
      </c>
      <c r="B14" s="237">
        <v>0</v>
      </c>
      <c r="C14" s="237">
        <v>0</v>
      </c>
      <c r="D14" s="237">
        <v>101559000</v>
      </c>
      <c r="E14" s="237">
        <v>592668760</v>
      </c>
      <c r="F14" s="237">
        <v>684978000</v>
      </c>
      <c r="G14" s="237">
        <v>750120000</v>
      </c>
      <c r="H14" s="237">
        <v>823834000</v>
      </c>
      <c r="I14" s="237">
        <v>1027459000</v>
      </c>
      <c r="J14" s="237">
        <v>1167317000</v>
      </c>
      <c r="K14" s="237">
        <v>1322537000</v>
      </c>
      <c r="L14" s="237">
        <v>1407150000</v>
      </c>
    </row>
    <row r="15" spans="1:12" x14ac:dyDescent="0.4">
      <c r="A15" s="164" t="s">
        <v>48</v>
      </c>
      <c r="B15" s="166">
        <v>79773000</v>
      </c>
      <c r="C15" s="166">
        <v>81201000</v>
      </c>
      <c r="D15" s="166">
        <v>102983000</v>
      </c>
      <c r="E15" s="166">
        <v>108624998</v>
      </c>
      <c r="F15" s="166">
        <v>113839000</v>
      </c>
      <c r="G15" s="166">
        <v>119501000</v>
      </c>
      <c r="H15" s="166">
        <v>128136000</v>
      </c>
      <c r="I15" s="166">
        <v>135116000</v>
      </c>
      <c r="J15" s="166">
        <v>138522000</v>
      </c>
      <c r="K15" s="166">
        <v>140908000</v>
      </c>
      <c r="L15" s="166">
        <v>141602000</v>
      </c>
    </row>
    <row r="16" spans="1:12" x14ac:dyDescent="0.4">
      <c r="A16" s="164" t="s">
        <v>47</v>
      </c>
      <c r="B16" s="166">
        <v>88011000</v>
      </c>
      <c r="C16" s="166">
        <v>75251000</v>
      </c>
      <c r="D16" s="166">
        <v>80427000</v>
      </c>
      <c r="E16" s="166">
        <v>11996771</v>
      </c>
      <c r="F16" s="166">
        <v>12721000</v>
      </c>
      <c r="G16" s="166">
        <v>12512000</v>
      </c>
      <c r="H16" s="166">
        <v>9646000</v>
      </c>
      <c r="I16" s="166">
        <v>4770000</v>
      </c>
      <c r="J16" s="166">
        <v>5043000</v>
      </c>
      <c r="K16" s="166">
        <v>3891000</v>
      </c>
      <c r="L16" s="166">
        <v>3478000</v>
      </c>
    </row>
    <row r="17" spans="1:12" x14ac:dyDescent="0.4">
      <c r="A17" s="160" t="s">
        <v>46</v>
      </c>
      <c r="B17" s="166">
        <v>-1473000</v>
      </c>
      <c r="C17" s="166">
        <v>35000</v>
      </c>
      <c r="D17" s="166">
        <v>-6558000</v>
      </c>
      <c r="E17" s="166">
        <v>0</v>
      </c>
      <c r="F17" s="166">
        <v>0</v>
      </c>
      <c r="G17" s="166">
        <v>0</v>
      </c>
      <c r="H17" s="166">
        <v>0</v>
      </c>
      <c r="I17" s="166">
        <v>0</v>
      </c>
      <c r="J17" s="166">
        <v>0</v>
      </c>
      <c r="K17" s="166">
        <v>-1579000</v>
      </c>
      <c r="L17" s="166">
        <v>-6560000</v>
      </c>
    </row>
    <row r="18" spans="1:12" x14ac:dyDescent="0.4">
      <c r="A18" s="164" t="s">
        <v>45</v>
      </c>
      <c r="B18" s="166">
        <v>90354000</v>
      </c>
      <c r="C18" s="166">
        <v>86487000</v>
      </c>
      <c r="D18" s="166">
        <v>87626000</v>
      </c>
      <c r="E18" s="166">
        <v>89813649.459999993</v>
      </c>
      <c r="F18" s="166">
        <v>95705000</v>
      </c>
      <c r="G18" s="166">
        <v>101280000</v>
      </c>
      <c r="H18" s="227">
        <v>105999000</v>
      </c>
      <c r="I18" s="166">
        <v>97205000</v>
      </c>
      <c r="J18" s="166">
        <v>96392000</v>
      </c>
      <c r="K18" s="166">
        <v>119947000</v>
      </c>
      <c r="L18" s="166">
        <v>82931000</v>
      </c>
    </row>
    <row r="19" spans="1:12" x14ac:dyDescent="0.4">
      <c r="A19" s="164" t="s">
        <v>44</v>
      </c>
      <c r="B19" s="166">
        <v>15896000</v>
      </c>
      <c r="C19" s="166">
        <v>5348000</v>
      </c>
      <c r="D19" s="166">
        <v>23208000</v>
      </c>
      <c r="E19" s="166">
        <v>-10764848</v>
      </c>
      <c r="F19" s="166">
        <v>-16499000</v>
      </c>
      <c r="G19" s="166">
        <v>-2545000</v>
      </c>
      <c r="H19" s="166">
        <v>-7915000</v>
      </c>
      <c r="I19" s="166">
        <v>-6837000</v>
      </c>
      <c r="J19" s="166">
        <v>-1996000</v>
      </c>
      <c r="K19" s="166">
        <v>9291000</v>
      </c>
      <c r="L19" s="166">
        <v>-3897000</v>
      </c>
    </row>
    <row r="20" spans="1:12" x14ac:dyDescent="0.4">
      <c r="A20" s="171" t="s">
        <v>42</v>
      </c>
      <c r="B20" s="172">
        <v>2523525000</v>
      </c>
      <c r="C20" s="172">
        <v>1902376000</v>
      </c>
      <c r="D20" s="172">
        <v>1321283000</v>
      </c>
      <c r="E20" s="172">
        <v>3129147119.5239997</v>
      </c>
      <c r="F20" s="172">
        <v>3922665000</v>
      </c>
      <c r="G20" s="172">
        <v>3233714000</v>
      </c>
      <c r="H20" s="172">
        <v>3861467000</v>
      </c>
      <c r="I20" s="172">
        <v>4760460000</v>
      </c>
      <c r="J20" s="172">
        <v>4242714000</v>
      </c>
      <c r="K20" s="172">
        <v>4336854000</v>
      </c>
      <c r="L20" s="172">
        <v>5268465000</v>
      </c>
    </row>
    <row r="21" spans="1:12" x14ac:dyDescent="0.4">
      <c r="A21" s="173"/>
      <c r="B21" s="174"/>
      <c r="C21" s="174"/>
      <c r="D21" s="159"/>
      <c r="E21" s="159"/>
      <c r="F21" s="159"/>
      <c r="G21" s="159"/>
      <c r="H21" s="159"/>
      <c r="I21" s="159"/>
      <c r="J21" s="159"/>
      <c r="K21" s="159"/>
      <c r="L21" s="159"/>
    </row>
    <row r="22" spans="1:12" x14ac:dyDescent="0.4">
      <c r="A22" s="173"/>
      <c r="B22" s="174"/>
      <c r="C22" s="174"/>
      <c r="D22" s="159"/>
      <c r="E22" s="159"/>
      <c r="F22" s="159"/>
      <c r="G22" s="159"/>
      <c r="H22" s="159"/>
      <c r="I22" s="159"/>
      <c r="J22" s="159"/>
      <c r="K22" s="159"/>
      <c r="L22" s="159"/>
    </row>
    <row r="23" spans="1:12" x14ac:dyDescent="0.4">
      <c r="A23" s="161" t="s">
        <v>41</v>
      </c>
      <c r="B23" s="166"/>
      <c r="C23" s="166"/>
      <c r="D23" s="174"/>
      <c r="E23" s="175"/>
      <c r="F23" s="174"/>
      <c r="G23" s="174"/>
      <c r="H23" s="174"/>
      <c r="I23" s="174"/>
      <c r="J23" s="174"/>
      <c r="K23" s="174"/>
      <c r="L23" s="174"/>
    </row>
    <row r="24" spans="1:12" x14ac:dyDescent="0.4">
      <c r="A24" s="164" t="s">
        <v>40</v>
      </c>
      <c r="B24" s="166">
        <v>1579127000</v>
      </c>
      <c r="C24" s="166">
        <v>1658013000</v>
      </c>
      <c r="D24" s="166">
        <v>1766739000</v>
      </c>
      <c r="E24" s="166">
        <v>1800353931</v>
      </c>
      <c r="F24" s="166">
        <v>1931735000</v>
      </c>
      <c r="G24" s="166">
        <v>2078848000</v>
      </c>
      <c r="H24" s="166">
        <v>2144565000</v>
      </c>
      <c r="I24" s="166">
        <v>2312932000</v>
      </c>
      <c r="J24" s="166">
        <v>2415602000</v>
      </c>
      <c r="K24" s="166">
        <v>2529214000</v>
      </c>
      <c r="L24" s="166">
        <v>2633698000</v>
      </c>
    </row>
    <row r="25" spans="1:12" x14ac:dyDescent="0.4">
      <c r="A25" s="160" t="s">
        <v>39</v>
      </c>
      <c r="B25" s="166">
        <v>154036000</v>
      </c>
      <c r="C25" s="166">
        <v>149402000</v>
      </c>
      <c r="D25" s="166">
        <v>273526000</v>
      </c>
      <c r="E25" s="166">
        <v>714605616</v>
      </c>
      <c r="F25" s="166">
        <v>799944000</v>
      </c>
      <c r="G25" s="166">
        <v>864536000</v>
      </c>
      <c r="H25" s="166">
        <v>904627000</v>
      </c>
      <c r="I25" s="166">
        <v>1122176000</v>
      </c>
      <c r="J25" s="166">
        <v>1300218000</v>
      </c>
      <c r="K25" s="166">
        <v>1368121000</v>
      </c>
      <c r="L25" s="166">
        <v>1423551000</v>
      </c>
    </row>
    <row r="26" spans="1:12" x14ac:dyDescent="0.4">
      <c r="A26" s="164" t="s">
        <v>38</v>
      </c>
      <c r="B26" s="166">
        <v>93695000</v>
      </c>
      <c r="C26" s="166">
        <v>103629000</v>
      </c>
      <c r="D26" s="166">
        <v>120044000</v>
      </c>
      <c r="E26" s="166">
        <v>142471013</v>
      </c>
      <c r="F26" s="166">
        <v>153647000</v>
      </c>
      <c r="G26" s="166">
        <v>159238000</v>
      </c>
      <c r="H26" s="166">
        <v>161285000</v>
      </c>
      <c r="I26" s="166">
        <v>180953000</v>
      </c>
      <c r="J26" s="166">
        <v>198357000</v>
      </c>
      <c r="K26" s="166">
        <v>208069000</v>
      </c>
      <c r="L26" s="166">
        <v>245411000</v>
      </c>
    </row>
    <row r="27" spans="1:12" ht="18" customHeight="1" x14ac:dyDescent="0.4">
      <c r="A27" s="164" t="s">
        <v>37</v>
      </c>
      <c r="B27" s="166">
        <f>19460000+3026000</f>
        <v>22486000</v>
      </c>
      <c r="C27" s="166">
        <v>22485000</v>
      </c>
      <c r="D27" s="166">
        <v>31360000</v>
      </c>
      <c r="E27" s="166">
        <v>40841618</v>
      </c>
      <c r="F27" s="166">
        <v>45413000</v>
      </c>
      <c r="G27" s="166">
        <v>62774000</v>
      </c>
      <c r="H27" s="166">
        <v>63307000</v>
      </c>
      <c r="I27" s="166">
        <v>66670000</v>
      </c>
      <c r="J27" s="166">
        <v>66178000</v>
      </c>
      <c r="K27" s="166">
        <v>73975000</v>
      </c>
      <c r="L27" s="166">
        <v>68009000</v>
      </c>
    </row>
    <row r="28" spans="1:12" x14ac:dyDescent="0.4">
      <c r="A28" s="171" t="s">
        <v>35</v>
      </c>
      <c r="B28" s="172">
        <v>1849344000</v>
      </c>
      <c r="C28" s="172">
        <v>1933529000</v>
      </c>
      <c r="D28" s="172">
        <v>2191669000</v>
      </c>
      <c r="E28" s="172">
        <v>2698272178</v>
      </c>
      <c r="F28" s="172">
        <v>2930739000</v>
      </c>
      <c r="G28" s="172">
        <v>3165396000</v>
      </c>
      <c r="H28" s="172">
        <v>3273784000</v>
      </c>
      <c r="I28" s="172">
        <v>3682731000</v>
      </c>
      <c r="J28" s="172">
        <v>3980355000</v>
      </c>
      <c r="K28" s="172">
        <v>4179379000</v>
      </c>
      <c r="L28" s="172">
        <v>4370669000</v>
      </c>
    </row>
    <row r="29" spans="1:12" x14ac:dyDescent="0.4">
      <c r="A29" s="176"/>
      <c r="B29" s="174"/>
      <c r="C29" s="174"/>
      <c r="D29" s="174"/>
      <c r="E29" s="175"/>
      <c r="F29" s="174"/>
      <c r="G29" s="174"/>
      <c r="H29" s="174"/>
      <c r="I29" s="174"/>
      <c r="J29" s="174"/>
      <c r="K29" s="174"/>
      <c r="L29" s="174"/>
    </row>
    <row r="43" spans="6:6" x14ac:dyDescent="0.4">
      <c r="F43" s="157" t="e">
        <f>'10 Years AFS'!d</f>
        <v>#NAME?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75"/>
  <sheetViews>
    <sheetView showZeros="0" topLeftCell="A8" zoomScaleNormal="100" workbookViewId="0">
      <pane xSplit="1" ySplit="6" topLeftCell="B14" activePane="bottomRight" state="frozen"/>
      <selection activeCell="A8" sqref="A8"/>
      <selection pane="topRight" activeCell="B8" sqref="B8"/>
      <selection pane="bottomLeft" activeCell="A14" sqref="A14"/>
      <selection pane="bottomRight" activeCell="M8" sqref="M1:M1048576"/>
    </sheetView>
  </sheetViews>
  <sheetFormatPr defaultColWidth="9.1171875" defaultRowHeight="10.35" x14ac:dyDescent="0.35"/>
  <cols>
    <col min="1" max="1" width="35.87890625" style="1" customWidth="1"/>
    <col min="2" max="9" width="15.29296875" style="1" customWidth="1"/>
    <col min="10" max="10" width="2.41015625" style="2" customWidth="1"/>
    <col min="11" max="12" width="14.41015625" style="1" customWidth="1"/>
    <col min="13" max="13" width="16.1171875" style="1" customWidth="1"/>
    <col min="14" max="14" width="12.703125" style="1" customWidth="1"/>
    <col min="15" max="15" width="13.1171875" style="1" customWidth="1"/>
    <col min="16" max="20" width="12.703125" style="1" customWidth="1"/>
    <col min="21" max="21" width="13.1171875" style="1" customWidth="1"/>
    <col min="22" max="22" width="12.703125" style="1" customWidth="1"/>
    <col min="23" max="27" width="11.87890625" style="1" customWidth="1"/>
    <col min="28" max="32" width="15.29296875" style="1" customWidth="1"/>
    <col min="33" max="16384" width="9.1171875" style="1"/>
  </cols>
  <sheetData>
    <row r="1" spans="1:26" x14ac:dyDescent="0.35">
      <c r="A1" s="2"/>
    </row>
    <row r="3" spans="1:26" x14ac:dyDescent="0.35">
      <c r="M3" s="2"/>
    </row>
    <row r="4" spans="1:26" x14ac:dyDescent="0.35">
      <c r="M4" s="2"/>
    </row>
    <row r="5" spans="1:26" x14ac:dyDescent="0.35">
      <c r="B5" s="2"/>
      <c r="I5" s="82"/>
      <c r="J5" s="81"/>
      <c r="K5" s="81"/>
      <c r="L5" s="81"/>
      <c r="M5" s="68" t="s">
        <v>87</v>
      </c>
    </row>
    <row r="6" spans="1:26" ht="9.75" customHeight="1" thickBot="1" x14ac:dyDescent="0.4">
      <c r="A6" s="2"/>
      <c r="B6" s="2"/>
      <c r="C6" s="70"/>
      <c r="D6" s="70"/>
      <c r="E6" s="71"/>
      <c r="F6" s="70"/>
      <c r="G6" s="70"/>
      <c r="H6" s="71"/>
      <c r="I6" s="80"/>
      <c r="J6" s="80"/>
      <c r="K6" s="80"/>
      <c r="L6" s="80"/>
      <c r="M6" s="79" t="s">
        <v>86</v>
      </c>
      <c r="N6" s="2"/>
      <c r="O6" s="2"/>
      <c r="P6" s="2"/>
      <c r="Q6" s="2"/>
      <c r="R6" s="2"/>
      <c r="S6" s="2"/>
      <c r="T6" s="2"/>
      <c r="U6" s="2"/>
      <c r="V6" s="2"/>
      <c r="W6" s="2"/>
    </row>
    <row r="7" spans="1:26" ht="9.75" customHeight="1" x14ac:dyDescent="0.35">
      <c r="A7" s="2"/>
      <c r="B7" s="78"/>
      <c r="C7" s="70"/>
      <c r="D7" s="70"/>
      <c r="E7" s="71"/>
      <c r="F7" s="70"/>
      <c r="G7" s="70"/>
      <c r="H7" s="71"/>
      <c r="I7" s="63"/>
      <c r="J7" s="63"/>
      <c r="K7" s="63"/>
      <c r="L7" s="63"/>
      <c r="M7" s="77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6" ht="9.75" customHeight="1" x14ac:dyDescent="0.35">
      <c r="A8" s="2"/>
      <c r="B8" s="78" t="s">
        <v>73</v>
      </c>
      <c r="C8" s="70"/>
      <c r="D8" s="70"/>
      <c r="E8" s="71"/>
      <c r="F8" s="70"/>
      <c r="G8" s="70"/>
      <c r="H8" s="71"/>
      <c r="I8" s="63"/>
      <c r="J8" s="63"/>
      <c r="K8" s="63"/>
      <c r="L8" s="63"/>
      <c r="M8" s="77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6" ht="9.75" customHeight="1" x14ac:dyDescent="0.35">
      <c r="A9" s="2"/>
      <c r="B9" s="76" t="s">
        <v>62</v>
      </c>
      <c r="C9" s="70"/>
      <c r="D9" s="70"/>
      <c r="E9" s="71"/>
      <c r="F9" s="70"/>
      <c r="G9" s="70"/>
      <c r="H9" s="71"/>
      <c r="I9" s="63"/>
      <c r="J9" s="63"/>
      <c r="K9" s="63"/>
      <c r="L9" s="63"/>
      <c r="M9" s="63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6" ht="9.75" customHeight="1" x14ac:dyDescent="0.35">
      <c r="A10" s="2"/>
      <c r="B10" s="11"/>
      <c r="C10" s="11"/>
      <c r="D10" s="75" t="s">
        <v>85</v>
      </c>
      <c r="E10" s="74"/>
      <c r="F10" s="11"/>
      <c r="G10" s="11"/>
      <c r="H10" s="74"/>
      <c r="I10" s="73"/>
      <c r="J10" s="63"/>
      <c r="K10" s="63"/>
      <c r="L10" s="63"/>
      <c r="M10" s="63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6" ht="9.75" customHeight="1" x14ac:dyDescent="0.35">
      <c r="A11" s="2"/>
      <c r="B11" s="13"/>
      <c r="C11" s="13"/>
      <c r="D11" s="72" t="s">
        <v>84</v>
      </c>
      <c r="E11" s="67" t="s">
        <v>83</v>
      </c>
      <c r="F11" s="13"/>
      <c r="G11" s="2"/>
      <c r="H11" s="71"/>
      <c r="I11" s="68" t="s">
        <v>71</v>
      </c>
      <c r="J11" s="63"/>
      <c r="K11" s="68" t="s">
        <v>82</v>
      </c>
      <c r="L11" s="69" t="s">
        <v>81</v>
      </c>
      <c r="M11" s="63"/>
      <c r="N11" s="2"/>
      <c r="O11" s="2"/>
      <c r="P11" s="2"/>
      <c r="Q11" s="2"/>
      <c r="R11" s="2"/>
      <c r="S11" s="2"/>
      <c r="T11" s="2"/>
      <c r="U11" s="2"/>
      <c r="V11" s="2"/>
      <c r="W11" s="2"/>
      <c r="X11" s="13"/>
      <c r="Y11" s="13" t="s">
        <v>80</v>
      </c>
      <c r="Z11" s="70"/>
    </row>
    <row r="12" spans="1:26" ht="9.75" customHeight="1" x14ac:dyDescent="0.35">
      <c r="A12" s="2"/>
      <c r="B12" s="13" t="s">
        <v>79</v>
      </c>
      <c r="C12" s="13" t="s">
        <v>78</v>
      </c>
      <c r="D12" s="67" t="s">
        <v>77</v>
      </c>
      <c r="E12" s="67" t="s">
        <v>77</v>
      </c>
      <c r="F12" s="13" t="s">
        <v>76</v>
      </c>
      <c r="G12" s="13" t="s">
        <v>75</v>
      </c>
      <c r="H12" s="13" t="s">
        <v>74</v>
      </c>
      <c r="I12" s="69" t="s">
        <v>73</v>
      </c>
      <c r="J12" s="63"/>
      <c r="K12" s="68" t="s">
        <v>72</v>
      </c>
      <c r="L12" s="68" t="s">
        <v>72</v>
      </c>
      <c r="M12" s="68" t="s">
        <v>71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13"/>
      <c r="Y12" s="13"/>
      <c r="Z12" s="13" t="s">
        <v>70</v>
      </c>
    </row>
    <row r="13" spans="1:26" ht="9.75" customHeight="1" x14ac:dyDescent="0.35">
      <c r="A13" s="2"/>
      <c r="B13" s="66" t="s">
        <v>69</v>
      </c>
      <c r="C13" s="66" t="s">
        <v>68</v>
      </c>
      <c r="D13" s="67" t="s">
        <v>67</v>
      </c>
      <c r="E13" s="66" t="s">
        <v>66</v>
      </c>
      <c r="F13" s="66" t="s">
        <v>65</v>
      </c>
      <c r="G13" s="66" t="s">
        <v>64</v>
      </c>
      <c r="H13" s="66" t="s">
        <v>63</v>
      </c>
      <c r="I13" s="65" t="s">
        <v>62</v>
      </c>
      <c r="J13" s="63"/>
      <c r="K13" s="65" t="s">
        <v>62</v>
      </c>
      <c r="L13" s="65" t="s">
        <v>62</v>
      </c>
      <c r="M13" s="65" t="s">
        <v>62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13"/>
      <c r="Y13" s="13"/>
      <c r="Z13" s="13" t="s">
        <v>61</v>
      </c>
    </row>
    <row r="14" spans="1:26" ht="9.75" customHeight="1" x14ac:dyDescent="0.35">
      <c r="A14" s="33" t="s">
        <v>60</v>
      </c>
      <c r="D14" s="9"/>
      <c r="I14" s="64"/>
      <c r="J14" s="63"/>
      <c r="K14" s="62"/>
      <c r="L14" s="62"/>
      <c r="M14" s="6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6" ht="9.75" customHeight="1" x14ac:dyDescent="0.35">
      <c r="A15" s="6" t="s">
        <v>59</v>
      </c>
      <c r="B15" s="30">
        <f>ROUND(('[1]Changes FY07'!B15),-3)</f>
        <v>950077000</v>
      </c>
      <c r="C15" s="20">
        <f>ROUND(('[1]Changes FY07'!C15),-3)</f>
        <v>0</v>
      </c>
      <c r="D15" s="20">
        <f>ROUND(('[1]Changes FY07'!D15),-3)</f>
        <v>0</v>
      </c>
      <c r="E15" s="20">
        <f>ROUND(('[1]Changes FY07'!E15),-3)</f>
        <v>0</v>
      </c>
      <c r="F15" s="20">
        <f>ROUND(('[1]Changes FY07'!F15),-3)</f>
        <v>0</v>
      </c>
      <c r="G15" s="20">
        <f>ROUND(('[1]Changes FY07'!G15),-3)</f>
        <v>0</v>
      </c>
      <c r="H15" s="20">
        <f>ROUND(('[1]Changes FY07'!H15),-3)</f>
        <v>0</v>
      </c>
      <c r="I15" s="32">
        <f t="shared" ref="I15:I29" si="0">SUM(B15:H15)</f>
        <v>950077000</v>
      </c>
      <c r="J15" s="28"/>
      <c r="K15" s="29">
        <f>ROUND(('[1]Changes FY07'!K15),-3)</f>
        <v>0</v>
      </c>
      <c r="L15" s="29">
        <f>ROUND(('[1]Changes FY07'!L15),-3)</f>
        <v>0</v>
      </c>
      <c r="M15" s="32">
        <f t="shared" ref="M15:M31" si="1">SUM(I15:L15)</f>
        <v>950077000</v>
      </c>
      <c r="N15" s="2"/>
      <c r="O15" s="2"/>
      <c r="P15" s="2"/>
      <c r="Q15" s="2"/>
      <c r="R15" s="2"/>
      <c r="S15" s="2"/>
      <c r="T15" s="2"/>
      <c r="U15" s="2"/>
      <c r="V15" s="2"/>
      <c r="W15" s="2"/>
      <c r="Z15" s="1" t="e">
        <f>SUM(O15+#REF!+M15+R15+T15+X15)</f>
        <v>#REF!</v>
      </c>
    </row>
    <row r="16" spans="1:26" ht="9.75" customHeight="1" x14ac:dyDescent="0.35">
      <c r="A16" s="6" t="s">
        <v>58</v>
      </c>
      <c r="B16" s="20">
        <f>ROUND(('[1]Changes FY07'!B16),-3)</f>
        <v>-277212000</v>
      </c>
      <c r="C16" s="20">
        <f>ROUND(('[1]Changes FY07'!C16),-3)</f>
        <v>0</v>
      </c>
      <c r="D16" s="20">
        <f>ROUND(('[1]Changes FY07'!D16),-3)</f>
        <v>0</v>
      </c>
      <c r="E16" s="20">
        <f>ROUND(('[1]Changes FY07'!E16),-3)</f>
        <v>0</v>
      </c>
      <c r="F16" s="20">
        <f>ROUND(('[1]Changes FY07'!F16),-3)</f>
        <v>0</v>
      </c>
      <c r="G16" s="20">
        <f>ROUND(('[1]Changes FY07'!G16),-3)</f>
        <v>0</v>
      </c>
      <c r="H16" s="20">
        <f>ROUND(('[1]Changes FY07'!H16),-3)</f>
        <v>0</v>
      </c>
      <c r="I16" s="28">
        <f t="shared" si="0"/>
        <v>-277212000</v>
      </c>
      <c r="J16" s="28"/>
      <c r="K16" s="29">
        <f>ROUND(('[1]Changes FY07'!K16),-3)</f>
        <v>0</v>
      </c>
      <c r="L16" s="29">
        <f>ROUND(('[1]Changes FY07'!L16),-3)</f>
        <v>0</v>
      </c>
      <c r="M16" s="28">
        <f t="shared" si="1"/>
        <v>-277212000</v>
      </c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6" ht="9.75" customHeight="1" x14ac:dyDescent="0.35">
      <c r="A17" s="61" t="s">
        <v>57</v>
      </c>
      <c r="B17" s="60">
        <f>B16+B15</f>
        <v>672865000</v>
      </c>
      <c r="C17" s="20">
        <f>ROUND(('[1]Changes FY07'!C17),-3)</f>
        <v>0</v>
      </c>
      <c r="D17" s="20">
        <f>ROUND(('[1]Changes FY07'!D17),-3)</f>
        <v>0</v>
      </c>
      <c r="E17" s="20">
        <f>ROUND(('[1]Changes FY07'!E17),-3)</f>
        <v>0</v>
      </c>
      <c r="F17" s="20">
        <f>ROUND(('[1]Changes FY07'!F17),-3)</f>
        <v>0</v>
      </c>
      <c r="G17" s="20">
        <f>ROUND(('[1]Changes FY07'!G17),-3)</f>
        <v>0</v>
      </c>
      <c r="H17" s="20">
        <f>ROUND(('[1]Changes FY07'!H17),-3)</f>
        <v>0</v>
      </c>
      <c r="I17" s="58">
        <f t="shared" si="0"/>
        <v>672865000</v>
      </c>
      <c r="J17" s="59"/>
      <c r="K17" s="29">
        <f>ROUND(('[1]Changes FY07'!K17),-3)</f>
        <v>0</v>
      </c>
      <c r="L17" s="29">
        <f>ROUND(('[1]Changes FY07'!L17),-3)</f>
        <v>0</v>
      </c>
      <c r="M17" s="58">
        <f t="shared" si="1"/>
        <v>672865000</v>
      </c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6" ht="9.75" customHeight="1" x14ac:dyDescent="0.35">
      <c r="A18" s="6" t="s">
        <v>56</v>
      </c>
      <c r="B18" s="20">
        <f>ROUND(('[1]Changes FY07'!B18),-3)</f>
        <v>38385000</v>
      </c>
      <c r="C18" s="20">
        <f>ROUND(('[1]Changes FY07'!C18),-3)</f>
        <v>0</v>
      </c>
      <c r="D18" s="30">
        <f>ROUND(('[1]Changes FY07'!D18),-3)</f>
        <v>30069000</v>
      </c>
      <c r="E18" s="20">
        <f>ROUND(('[1]Changes FY07'!E18),-3)</f>
        <v>0</v>
      </c>
      <c r="F18" s="20">
        <f>ROUND(('[1]Changes FY07'!F18),-3)</f>
        <v>0</v>
      </c>
      <c r="G18" s="20">
        <f>ROUND(('[1]Changes FY07'!G18),-3)</f>
        <v>0</v>
      </c>
      <c r="H18" s="20">
        <f>ROUND(('[1]Changes FY07'!H18),-3)</f>
        <v>0</v>
      </c>
      <c r="I18" s="28">
        <f t="shared" si="0"/>
        <v>68454000</v>
      </c>
      <c r="J18" s="28"/>
      <c r="K18" s="29">
        <f>ROUND(('[1]Changes FY07'!K18),-3)</f>
        <v>0</v>
      </c>
      <c r="L18" s="31">
        <f>ROUND(('[1]Changes FY07'!L18),-3)</f>
        <v>371000</v>
      </c>
      <c r="M18" s="28">
        <f t="shared" si="1"/>
        <v>68825000</v>
      </c>
      <c r="N18" s="2"/>
      <c r="O18" s="2"/>
      <c r="P18" s="2"/>
      <c r="Q18" s="2"/>
      <c r="R18" s="2"/>
      <c r="S18" s="2"/>
      <c r="T18" s="2"/>
      <c r="U18" s="2"/>
      <c r="V18" s="2"/>
      <c r="W18" s="2"/>
      <c r="Z18" s="1" t="e">
        <f>SUM(O18+#REF!+M18+R18+T18+X18)</f>
        <v>#REF!</v>
      </c>
    </row>
    <row r="19" spans="1:26" ht="9.75" customHeight="1" x14ac:dyDescent="0.35">
      <c r="A19" s="6" t="s">
        <v>55</v>
      </c>
      <c r="B19" s="20">
        <f>ROUND(('[1]Changes FY07'!B19),-3)</f>
        <v>17778000</v>
      </c>
      <c r="C19" s="20">
        <f>ROUND(('[1]Changes FY07'!C19),-3)</f>
        <v>0</v>
      </c>
      <c r="D19" s="20">
        <f>ROUND(('[1]Changes FY07'!D19),-3)</f>
        <v>3150000</v>
      </c>
      <c r="E19" s="30">
        <f>ROUND(('[1]Changes FY07'!E19),-3)</f>
        <v>18769000</v>
      </c>
      <c r="F19" s="20">
        <f>ROUND(('[1]Changes FY07'!F19),-3)</f>
        <v>0</v>
      </c>
      <c r="G19" s="20">
        <f>ROUND(('[1]Changes FY07'!G19),-3)</f>
        <v>0</v>
      </c>
      <c r="H19" s="20">
        <f>ROUND(('[1]Changes FY07'!H19),-3)</f>
        <v>-27000</v>
      </c>
      <c r="I19" s="28">
        <f t="shared" si="0"/>
        <v>39670000</v>
      </c>
      <c r="J19" s="28"/>
      <c r="K19" s="31">
        <f>ROUND(('[1]Changes FY07'!K19),-3)</f>
        <v>5000</v>
      </c>
      <c r="L19" s="29">
        <f>ROUND(('[1]Changes FY07'!L19),-3)</f>
        <v>224000</v>
      </c>
      <c r="M19" s="28">
        <f t="shared" si="1"/>
        <v>39899000</v>
      </c>
      <c r="N19" s="2"/>
      <c r="O19" s="2"/>
      <c r="P19" s="2"/>
      <c r="Q19" s="2"/>
      <c r="R19" s="2"/>
      <c r="S19" s="2"/>
      <c r="T19" s="2"/>
      <c r="U19" s="2"/>
      <c r="V19" s="2"/>
      <c r="W19" s="2"/>
      <c r="Z19" s="1" t="e">
        <f>SUM(O19+#REF!+M19+R19+T19+X19)</f>
        <v>#REF!</v>
      </c>
    </row>
    <row r="20" spans="1:26" ht="9.75" customHeight="1" x14ac:dyDescent="0.35">
      <c r="A20" s="6" t="s">
        <v>54</v>
      </c>
      <c r="B20" s="20">
        <f>ROUND(('[1]Changes FY07'!B20),-3)</f>
        <v>0</v>
      </c>
      <c r="C20" s="20">
        <f>ROUND(('[1]Changes FY07'!C20),-3)</f>
        <v>0</v>
      </c>
      <c r="D20" s="20">
        <f>ROUND(('[1]Changes FY07'!D20),-3)</f>
        <v>-4810000</v>
      </c>
      <c r="E20" s="20">
        <f>ROUND(('[1]Changes FY07'!E20),-3)</f>
        <v>-960000</v>
      </c>
      <c r="F20" s="20">
        <f>ROUND(('[1]Changes FY07'!F20),-3)</f>
        <v>0</v>
      </c>
      <c r="G20" s="30">
        <f>ROUND(('[1]Changes FY07'!G20),-3)</f>
        <v>522511000</v>
      </c>
      <c r="H20" s="20">
        <f>ROUND(('[1]Changes FY07'!H20),-3)</f>
        <v>0</v>
      </c>
      <c r="I20" s="28">
        <f t="shared" si="0"/>
        <v>516741000</v>
      </c>
      <c r="J20" s="28"/>
      <c r="K20" s="29">
        <f>ROUND(('[1]Changes FY07'!K20),-3)</f>
        <v>-683000</v>
      </c>
      <c r="L20" s="29">
        <f>ROUND(('[1]Changes FY07'!L20),-3)</f>
        <v>-2679000</v>
      </c>
      <c r="M20" s="28">
        <f t="shared" si="1"/>
        <v>513379000</v>
      </c>
      <c r="N20" s="2"/>
      <c r="O20" s="2"/>
      <c r="P20" s="2"/>
      <c r="Q20" s="2"/>
      <c r="R20" s="2"/>
      <c r="S20" s="2"/>
      <c r="T20" s="2"/>
      <c r="U20" s="2"/>
      <c r="V20" s="2"/>
      <c r="W20" s="2"/>
      <c r="Z20" s="1" t="e">
        <f>SUM(O20+#REF!+M20+R20+T20+X20)</f>
        <v>#REF!</v>
      </c>
    </row>
    <row r="21" spans="1:26" ht="9.75" customHeight="1" x14ac:dyDescent="0.35">
      <c r="A21" s="6" t="s">
        <v>53</v>
      </c>
      <c r="B21" s="20">
        <f>ROUND(('[1]Changes FY07'!B21),-3)</f>
        <v>0</v>
      </c>
      <c r="C21" s="20">
        <f>ROUND(('[1]Changes FY07'!C21),-3)</f>
        <v>0</v>
      </c>
      <c r="D21" s="20">
        <f>ROUND(('[1]Changes FY07'!D21),-3)</f>
        <v>245463000</v>
      </c>
      <c r="E21" s="20">
        <f>ROUND(('[1]Changes FY07'!E21),-3)</f>
        <v>0</v>
      </c>
      <c r="F21" s="20">
        <f>ROUND(('[1]Changes FY07'!F21),-3)</f>
        <v>0</v>
      </c>
      <c r="G21" s="20">
        <f>ROUND(('[1]Changes FY07'!G21),-3)</f>
        <v>0</v>
      </c>
      <c r="H21" s="20">
        <f>ROUND(('[1]Changes FY07'!H21),-3)</f>
        <v>0</v>
      </c>
      <c r="I21" s="28">
        <f t="shared" si="0"/>
        <v>245463000</v>
      </c>
      <c r="J21" s="28"/>
      <c r="K21" s="29">
        <f>ROUND(('[1]Changes FY07'!K21),-3)</f>
        <v>0</v>
      </c>
      <c r="L21" s="29">
        <f>ROUND(('[1]Changes FY07'!L21),-3)</f>
        <v>0</v>
      </c>
      <c r="M21" s="28">
        <f t="shared" si="1"/>
        <v>245463000</v>
      </c>
      <c r="N21" s="2"/>
      <c r="O21" s="2"/>
      <c r="P21" s="2"/>
      <c r="Q21" s="2"/>
      <c r="R21" s="2"/>
      <c r="S21" s="2"/>
      <c r="T21" s="2"/>
      <c r="U21" s="2"/>
      <c r="V21" s="2"/>
      <c r="W21" s="2"/>
      <c r="Z21" s="1" t="e">
        <f>SUM(O21+#REF!+M21+R21+T21+X21)</f>
        <v>#REF!</v>
      </c>
    </row>
    <row r="22" spans="1:26" ht="9.75" customHeight="1" x14ac:dyDescent="0.35">
      <c r="A22" s="6" t="s">
        <v>52</v>
      </c>
      <c r="B22" s="20">
        <f>ROUND(('[1]Changes FY07'!B22),-3)-1000</f>
        <v>101981000</v>
      </c>
      <c r="C22" s="20">
        <f>ROUND(('[1]Changes FY07'!C22),-3)</f>
        <v>0</v>
      </c>
      <c r="D22" s="20">
        <f>ROUND(('[1]Changes FY07'!D22),-3)</f>
        <v>0</v>
      </c>
      <c r="E22" s="20">
        <f>ROUND(('[1]Changes FY07'!E22),-3)</f>
        <v>0</v>
      </c>
      <c r="F22" s="20">
        <f>ROUND(('[1]Changes FY07'!F22),-3)</f>
        <v>0</v>
      </c>
      <c r="G22" s="20">
        <f>ROUND(('[1]Changes FY07'!G22),-3)</f>
        <v>0</v>
      </c>
      <c r="H22" s="20">
        <f>ROUND(('[1]Changes FY07'!H22),-3)</f>
        <v>0</v>
      </c>
      <c r="I22" s="28">
        <f t="shared" si="0"/>
        <v>101981000</v>
      </c>
      <c r="J22" s="28"/>
      <c r="K22" s="29">
        <f>ROUND(('[1]Changes FY07'!K22),-3)</f>
        <v>0</v>
      </c>
      <c r="L22" s="29">
        <f>ROUND(('[1]Changes FY07'!L22),-3)</f>
        <v>0</v>
      </c>
      <c r="M22" s="28">
        <f t="shared" si="1"/>
        <v>101981000</v>
      </c>
      <c r="N22" s="2"/>
      <c r="O22" s="2"/>
      <c r="P22" s="2"/>
      <c r="Q22" s="2"/>
      <c r="R22" s="2"/>
      <c r="S22" s="2"/>
      <c r="T22" s="2"/>
      <c r="U22" s="2"/>
      <c r="V22" s="2"/>
      <c r="W22" s="2"/>
      <c r="Z22" s="1" t="e">
        <f>SUM(O22+#REF!+M22+R22+T22+X22)</f>
        <v>#REF!</v>
      </c>
    </row>
    <row r="23" spans="1:26" ht="9.75" customHeight="1" x14ac:dyDescent="0.35">
      <c r="A23" s="6" t="s">
        <v>51</v>
      </c>
      <c r="B23" s="20">
        <f>ROUND(('[1]Changes FY07'!B23),-3)</f>
        <v>41011000</v>
      </c>
      <c r="C23" s="20">
        <f>ROUND(('[1]Changes FY07'!C23),-3)</f>
        <v>0</v>
      </c>
      <c r="D23" s="20">
        <f>ROUND(('[1]Changes FY07'!D23),-3)</f>
        <v>188984000</v>
      </c>
      <c r="E23" s="20">
        <f>ROUND(('[1]Changes FY07'!E23),-3)</f>
        <v>13897000</v>
      </c>
      <c r="F23" s="30">
        <f>ROUND(('[1]Changes FY07'!F23),-3)</f>
        <v>1213000</v>
      </c>
      <c r="G23" s="20">
        <f>ROUND(('[1]Changes FY07'!G23),-3)</f>
        <v>0</v>
      </c>
      <c r="H23" s="20">
        <f>ROUND(('[1]Changes FY07'!H23),-3)</f>
        <v>0</v>
      </c>
      <c r="I23" s="28">
        <f t="shared" si="0"/>
        <v>245105000</v>
      </c>
      <c r="J23" s="28"/>
      <c r="K23" s="29">
        <f>ROUND(('[1]Changes FY07'!K23),-3)</f>
        <v>39139000</v>
      </c>
      <c r="L23" s="29">
        <f>ROUND(('[1]Changes FY07'!L23),-3)</f>
        <v>79355000</v>
      </c>
      <c r="M23" s="28">
        <f t="shared" si="1"/>
        <v>363599000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Z23" s="1" t="e">
        <f>SUM(O23+#REF!+M23+R23+T23+X23)</f>
        <v>#REF!</v>
      </c>
    </row>
    <row r="24" spans="1:26" ht="9.75" customHeight="1" x14ac:dyDescent="0.35">
      <c r="A24" s="6" t="s">
        <v>50</v>
      </c>
      <c r="B24" s="20">
        <f>ROUND(('[1]Changes FY07'!B24),-3)</f>
        <v>31484000</v>
      </c>
      <c r="C24" s="20">
        <f>ROUND(('[1]Changes FY07'!C24),-3)</f>
        <v>0</v>
      </c>
      <c r="D24" s="20">
        <f>ROUND(('[1]Changes FY07'!D24),-3)</f>
        <v>0</v>
      </c>
      <c r="E24" s="20">
        <f>ROUND(('[1]Changes FY07'!E24),-3)</f>
        <v>0</v>
      </c>
      <c r="F24" s="20">
        <f>ROUND(('[1]Changes FY07'!F24),-3)</f>
        <v>0</v>
      </c>
      <c r="G24" s="20">
        <f>ROUND(('[1]Changes FY07'!G24),-3)</f>
        <v>0</v>
      </c>
      <c r="H24" s="20">
        <f>ROUND(('[1]Changes FY07'!H24),-3)</f>
        <v>0</v>
      </c>
      <c r="I24" s="28">
        <f t="shared" si="0"/>
        <v>31484000</v>
      </c>
      <c r="J24" s="28"/>
      <c r="K24" s="29">
        <f>ROUND(('[1]Changes FY07'!K24),-3)</f>
        <v>0</v>
      </c>
      <c r="L24" s="29">
        <f>ROUND(('[1]Changes FY07'!L24),-3)</f>
        <v>0</v>
      </c>
      <c r="M24" s="28">
        <f t="shared" si="1"/>
        <v>31484000</v>
      </c>
      <c r="N24" s="2"/>
      <c r="O24" s="2"/>
      <c r="P24" s="2"/>
      <c r="Q24" s="2"/>
      <c r="R24" s="2"/>
      <c r="S24" s="2"/>
      <c r="T24" s="2"/>
      <c r="U24" s="2"/>
      <c r="V24" s="2"/>
      <c r="W24" s="2"/>
      <c r="Z24" s="1" t="e">
        <f>SUM(O24+#REF!+M24+R24+T24+X24)</f>
        <v>#REF!</v>
      </c>
    </row>
    <row r="25" spans="1:26" ht="9.75" customHeight="1" x14ac:dyDescent="0.35">
      <c r="A25" s="6" t="s">
        <v>49</v>
      </c>
      <c r="B25" s="20">
        <f>ROUND(('[1]Changes FY07'!B25),-3)</f>
        <v>213469000</v>
      </c>
      <c r="C25" s="20">
        <f>ROUND(('[1]Changes FY07'!C25),-3)</f>
        <v>0</v>
      </c>
      <c r="D25" s="20">
        <f>ROUND(('[1]Changes FY07'!D25),-3)</f>
        <v>0</v>
      </c>
      <c r="E25" s="20">
        <f>ROUND(('[1]Changes FY07'!E25),-3)</f>
        <v>0</v>
      </c>
      <c r="F25" s="20">
        <f>ROUND(('[1]Changes FY07'!F25),-3)</f>
        <v>0</v>
      </c>
      <c r="G25" s="20">
        <f>ROUND(('[1]Changes FY07'!G25),-3)</f>
        <v>0</v>
      </c>
      <c r="H25" s="20">
        <f>ROUND(('[1]Changes FY07'!H25),-3)</f>
        <v>0</v>
      </c>
      <c r="I25" s="28">
        <f t="shared" si="0"/>
        <v>213469000</v>
      </c>
      <c r="J25" s="28"/>
      <c r="K25" s="29">
        <f>ROUND(('[1]Changes FY07'!K25),-3)</f>
        <v>0</v>
      </c>
      <c r="L25" s="29">
        <f>ROUND(('[1]Changes FY07'!L25),-3)</f>
        <v>0</v>
      </c>
      <c r="M25" s="28">
        <f t="shared" si="1"/>
        <v>213469000</v>
      </c>
      <c r="N25" s="2"/>
      <c r="O25" s="2"/>
      <c r="P25" s="2"/>
      <c r="Q25" s="2"/>
      <c r="R25" s="2"/>
      <c r="S25" s="2"/>
      <c r="T25" s="2"/>
      <c r="U25" s="2"/>
      <c r="V25" s="2"/>
      <c r="W25" s="2"/>
      <c r="Z25" s="1" t="e">
        <f>SUM(O25+#REF!+M25+R25+T25+X25)</f>
        <v>#REF!</v>
      </c>
    </row>
    <row r="26" spans="1:26" ht="9.75" customHeight="1" x14ac:dyDescent="0.35">
      <c r="A26" s="6" t="s">
        <v>48</v>
      </c>
      <c r="B26" s="20">
        <f>ROUND(('[1]Changes FY07'!B26),-3)</f>
        <v>0</v>
      </c>
      <c r="C26" s="30">
        <f>ROUND(('[1]Changes FY07'!C26),-3)</f>
        <v>79773000</v>
      </c>
      <c r="D26" s="20">
        <f>ROUND(('[1]Changes FY07'!D26),-3)</f>
        <v>0</v>
      </c>
      <c r="E26" s="20">
        <f>ROUND(('[1]Changes FY07'!E26),-3)</f>
        <v>0</v>
      </c>
      <c r="F26" s="20">
        <f>ROUND(('[1]Changes FY07'!F26),-3)</f>
        <v>0</v>
      </c>
      <c r="G26" s="20">
        <f>ROUND(('[1]Changes FY07'!G26),-3)</f>
        <v>0</v>
      </c>
      <c r="H26" s="20">
        <f>ROUND(('[1]Changes FY07'!H26),-3)</f>
        <v>0</v>
      </c>
      <c r="I26" s="28">
        <f t="shared" si="0"/>
        <v>79773000</v>
      </c>
      <c r="J26" s="28"/>
      <c r="K26" s="29">
        <f>ROUND(('[1]Changes FY07'!K26),-3)</f>
        <v>0</v>
      </c>
      <c r="L26" s="29">
        <f>ROUND(('[1]Changes FY07'!L26),-3)</f>
        <v>0</v>
      </c>
      <c r="M26" s="28">
        <f t="shared" si="1"/>
        <v>79773000</v>
      </c>
      <c r="N26" s="2"/>
      <c r="O26" s="2"/>
      <c r="P26" s="2"/>
      <c r="Q26" s="2"/>
      <c r="R26" s="2"/>
      <c r="S26" s="2"/>
      <c r="T26" s="2"/>
      <c r="U26" s="2"/>
      <c r="V26" s="2"/>
      <c r="W26" s="2"/>
      <c r="Z26" s="1" t="e">
        <f>SUM(O26+#REF!+M26+R26+T26+X26)</f>
        <v>#REF!</v>
      </c>
    </row>
    <row r="27" spans="1:26" ht="9.75" customHeight="1" x14ac:dyDescent="0.35">
      <c r="A27" s="6" t="s">
        <v>47</v>
      </c>
      <c r="B27" s="20">
        <f>ROUND(('[1]Changes FY07'!B27),-3)</f>
        <v>0</v>
      </c>
      <c r="C27" s="20">
        <f>ROUND(('[1]Changes FY07'!C27),-3)</f>
        <v>88011000</v>
      </c>
      <c r="D27" s="20">
        <f>ROUND(('[1]Changes FY07'!D27),-3)</f>
        <v>0</v>
      </c>
      <c r="E27" s="20">
        <f>ROUND(('[1]Changes FY07'!E27),-3)</f>
        <v>0</v>
      </c>
      <c r="F27" s="20">
        <f>ROUND(('[1]Changes FY07'!F27),-3)</f>
        <v>0</v>
      </c>
      <c r="G27" s="20">
        <f>ROUND(('[1]Changes FY07'!G27),-3)</f>
        <v>0</v>
      </c>
      <c r="H27" s="20">
        <f>ROUND(('[1]Changes FY07'!H27),-3)</f>
        <v>0</v>
      </c>
      <c r="I27" s="28">
        <f t="shared" si="0"/>
        <v>88011000</v>
      </c>
      <c r="J27" s="28"/>
      <c r="K27" s="29">
        <f>ROUND(('[1]Changes FY07'!K27),-3)</f>
        <v>0</v>
      </c>
      <c r="L27" s="29">
        <f>ROUND(('[1]Changes FY07'!L27),-3)</f>
        <v>0</v>
      </c>
      <c r="M27" s="28">
        <f t="shared" si="1"/>
        <v>88011000</v>
      </c>
      <c r="N27" s="2"/>
      <c r="O27" s="2"/>
      <c r="P27" s="2"/>
      <c r="Q27" s="2"/>
      <c r="R27" s="2"/>
      <c r="S27" s="2"/>
      <c r="T27" s="2"/>
      <c r="U27" s="2"/>
      <c r="V27" s="2"/>
      <c r="W27" s="2"/>
      <c r="Z27" s="1" t="e">
        <f>SUM(O27+#REF!+M27+R27+T27+X27)</f>
        <v>#REF!</v>
      </c>
    </row>
    <row r="28" spans="1:26" s="2" customFormat="1" ht="10.5" customHeight="1" x14ac:dyDescent="0.35">
      <c r="A28" s="2" t="s">
        <v>46</v>
      </c>
      <c r="B28" s="20">
        <f>ROUND(('[1]Changes FY07'!B28),-3)</f>
        <v>0</v>
      </c>
      <c r="C28" s="20">
        <f>ROUND(('[1]Changes FY07'!C28),-3)</f>
        <v>0</v>
      </c>
      <c r="D28" s="20">
        <f>ROUND(('[1]Changes FY07'!D28),-3)</f>
        <v>0</v>
      </c>
      <c r="E28" s="20">
        <f>ROUND(('[1]Changes FY07'!E28),-3)</f>
        <v>0</v>
      </c>
      <c r="F28" s="20">
        <f>ROUND(('[1]Changes FY07'!F28),-3)+1000</f>
        <v>-1473000</v>
      </c>
      <c r="G28" s="20">
        <f>ROUND(('[1]Changes FY07'!G28),-3)</f>
        <v>0</v>
      </c>
      <c r="H28" s="20">
        <f>ROUND(('[1]Changes FY07'!H28),-3)</f>
        <v>0</v>
      </c>
      <c r="I28" s="28">
        <f t="shared" si="0"/>
        <v>-1473000</v>
      </c>
      <c r="J28" s="28"/>
      <c r="K28" s="29">
        <f>ROUND(('[1]Changes FY07'!K28),-3)</f>
        <v>0</v>
      </c>
      <c r="L28" s="29">
        <f>ROUND(('[1]Changes FY07'!L28),-3)</f>
        <v>0</v>
      </c>
      <c r="M28" s="28">
        <f t="shared" si="1"/>
        <v>-1473000</v>
      </c>
    </row>
    <row r="29" spans="1:26" ht="9.75" customHeight="1" x14ac:dyDescent="0.35">
      <c r="A29" s="6" t="s">
        <v>45</v>
      </c>
      <c r="B29" s="20">
        <f>ROUND(('[1]Changes FY07'!B29),-3)</f>
        <v>72272000</v>
      </c>
      <c r="C29" s="20">
        <f>ROUND(('[1]Changes FY07'!C29),-3)</f>
        <v>0</v>
      </c>
      <c r="D29" s="20">
        <f>ROUND(('[1]Changes FY07'!D29),-3)</f>
        <v>18082000</v>
      </c>
      <c r="E29" s="20">
        <f>ROUND(('[1]Changes FY07'!E29),-3)</f>
        <v>0</v>
      </c>
      <c r="F29" s="20">
        <f>ROUND(('[1]Changes FY07'!F29),-3)</f>
        <v>0</v>
      </c>
      <c r="G29" s="20">
        <f>ROUND(('[1]Changes FY07'!G29),-3)</f>
        <v>0</v>
      </c>
      <c r="H29" s="20">
        <f>ROUND(('[1]Changes FY07'!H29),-3)</f>
        <v>0</v>
      </c>
      <c r="I29" s="28">
        <f t="shared" si="0"/>
        <v>90354000</v>
      </c>
      <c r="J29" s="28"/>
      <c r="K29" s="29">
        <f>ROUND(('[1]Changes FY07'!K29),-3)</f>
        <v>0</v>
      </c>
      <c r="L29" s="29">
        <f>ROUND(('[1]Changes FY07'!L29),-3)</f>
        <v>0</v>
      </c>
      <c r="M29" s="28">
        <f t="shared" si="1"/>
        <v>90354000</v>
      </c>
      <c r="N29" s="2"/>
      <c r="O29" s="2"/>
      <c r="P29" s="2"/>
      <c r="Q29" s="2"/>
      <c r="R29" s="2"/>
      <c r="S29" s="2"/>
      <c r="T29" s="2"/>
      <c r="U29" s="2"/>
      <c r="V29" s="2"/>
      <c r="W29" s="2"/>
      <c r="Z29" s="1" t="e">
        <f>SUM(O29+#REF!+M29+R29+T29+X29)</f>
        <v>#REF!</v>
      </c>
    </row>
    <row r="30" spans="1:26" ht="9.75" customHeight="1" x14ac:dyDescent="0.35">
      <c r="A30" s="6" t="s">
        <v>44</v>
      </c>
      <c r="B30" s="20">
        <f>ROUND(('[1]Changes FY07'!B30),-3)</f>
        <v>0</v>
      </c>
      <c r="C30" s="20">
        <f>ROUND(('[1]Changes FY07'!C30),-3)</f>
        <v>0</v>
      </c>
      <c r="D30" s="20">
        <f>ROUND(('[1]Changes FY07'!D30),-3)</f>
        <v>0</v>
      </c>
      <c r="E30" s="20">
        <f>ROUND(('[1]Changes FY07'!E30),-3)</f>
        <v>0</v>
      </c>
      <c r="F30" s="20">
        <f>ROUND(('[1]Changes FY07'!F30),-3)</f>
        <v>0</v>
      </c>
      <c r="G30" s="20">
        <f>ROUND(('[1]Changes FY07'!G30),-3)</f>
        <v>0</v>
      </c>
      <c r="H30" s="20">
        <f>ROUND(('[1]Changes FY07'!H30),-3)</f>
        <v>0</v>
      </c>
      <c r="I30" s="28"/>
      <c r="J30" s="28"/>
      <c r="K30" s="29">
        <f>ROUND(('[1]Changes FY07'!K30),-3)</f>
        <v>4939000</v>
      </c>
      <c r="L30" s="29">
        <f>ROUND(('[1]Changes FY07'!L30),-3)</f>
        <v>10957000</v>
      </c>
      <c r="M30" s="28">
        <f t="shared" si="1"/>
        <v>15896000</v>
      </c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6" ht="9.75" customHeight="1" x14ac:dyDescent="0.35">
      <c r="A31" s="6" t="s">
        <v>43</v>
      </c>
      <c r="B31" s="20">
        <f>ROUND(('[1]Changes FY07'!B31),-3)</f>
        <v>0</v>
      </c>
      <c r="C31" s="20">
        <f>ROUND(('[1]Changes FY07'!C31),-3)</f>
        <v>0</v>
      </c>
      <c r="D31" s="20">
        <f>ROUND(('[1]Changes FY07'!D31),-3)</f>
        <v>29082000</v>
      </c>
      <c r="E31" s="20">
        <f>ROUND(('[1]Changes FY07'!E31),-3)</f>
        <v>11025000</v>
      </c>
      <c r="F31" s="20">
        <f>ROUND(('[1]Changes FY07'!F31),-3)</f>
        <v>0</v>
      </c>
      <c r="G31" s="20">
        <f>ROUND(('[1]Changes FY07'!G31),-3)</f>
        <v>531000</v>
      </c>
      <c r="H31" s="20">
        <f>ROUND(('[1]Changes FY07'!H31),-3)</f>
        <v>0</v>
      </c>
      <c r="I31" s="28">
        <f>SUM(B31:H31)</f>
        <v>40638000</v>
      </c>
      <c r="J31" s="28"/>
      <c r="K31" s="29">
        <f>ROUND(('[1]Changes FY07'!K31),-3)</f>
        <v>-41889000</v>
      </c>
      <c r="L31" s="29">
        <f>ROUND(('[1]Changes FY07'!L31),-3)-1000</f>
        <v>1251000</v>
      </c>
      <c r="M31" s="28">
        <f t="shared" si="1"/>
        <v>0</v>
      </c>
      <c r="N31" s="2"/>
      <c r="O31" s="2"/>
      <c r="P31" s="2"/>
      <c r="Q31" s="2"/>
      <c r="R31" s="2"/>
      <c r="S31" s="2"/>
      <c r="T31" s="2"/>
      <c r="U31" s="2"/>
      <c r="V31" s="2"/>
      <c r="W31" s="2"/>
      <c r="Z31" s="1" t="e">
        <f>SUM(O31+#REF!+M31+R31+T31+X31)</f>
        <v>#REF!</v>
      </c>
    </row>
    <row r="32" spans="1:26" ht="12.95" customHeight="1" x14ac:dyDescent="0.35">
      <c r="A32" s="37" t="s">
        <v>42</v>
      </c>
      <c r="B32" s="57">
        <f t="shared" ref="B32:M32" si="2">SUM(B17:B31)</f>
        <v>1189245000</v>
      </c>
      <c r="C32" s="57">
        <f t="shared" si="2"/>
        <v>167784000</v>
      </c>
      <c r="D32" s="57">
        <f t="shared" si="2"/>
        <v>510020000</v>
      </c>
      <c r="E32" s="57">
        <f t="shared" si="2"/>
        <v>42731000</v>
      </c>
      <c r="F32" s="57">
        <f t="shared" si="2"/>
        <v>-260000</v>
      </c>
      <c r="G32" s="57">
        <f t="shared" si="2"/>
        <v>523042000</v>
      </c>
      <c r="H32" s="57">
        <f t="shared" si="2"/>
        <v>-27000</v>
      </c>
      <c r="I32" s="56">
        <f t="shared" si="2"/>
        <v>2432535000</v>
      </c>
      <c r="J32" s="56">
        <f t="shared" si="2"/>
        <v>0</v>
      </c>
      <c r="K32" s="56">
        <f t="shared" si="2"/>
        <v>1511000</v>
      </c>
      <c r="L32" s="56">
        <f t="shared" si="2"/>
        <v>89479000</v>
      </c>
      <c r="M32" s="56">
        <f t="shared" si="2"/>
        <v>2523525000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5"/>
      <c r="Y32" s="5"/>
      <c r="Z32" s="1" t="e">
        <f>SUM(O32+#REF!+M32+R32+T32+X32)</f>
        <v>#REF!</v>
      </c>
    </row>
    <row r="33" spans="1:27" ht="12.95" customHeight="1" x14ac:dyDescent="0.35">
      <c r="A33" s="54"/>
      <c r="B33" s="53"/>
      <c r="C33" s="53"/>
      <c r="D33" s="53"/>
      <c r="E33" s="53"/>
      <c r="F33" s="53"/>
      <c r="G33" s="53"/>
      <c r="H33" s="53"/>
      <c r="I33" s="43"/>
      <c r="J33" s="28"/>
      <c r="K33" s="43"/>
      <c r="L33" s="43"/>
      <c r="M33" s="43"/>
      <c r="N33" s="2"/>
      <c r="O33" s="2"/>
      <c r="P33" s="2"/>
      <c r="Q33" s="2"/>
      <c r="R33" s="2"/>
      <c r="S33" s="2"/>
      <c r="T33" s="2"/>
      <c r="U33" s="2"/>
      <c r="V33" s="2"/>
      <c r="W33" s="2"/>
      <c r="X33" s="5"/>
      <c r="Y33" s="5"/>
    </row>
    <row r="34" spans="1:27" ht="9.75" customHeight="1" x14ac:dyDescent="0.35">
      <c r="A34" s="33" t="s">
        <v>41</v>
      </c>
      <c r="B34" s="20"/>
      <c r="C34" s="20"/>
      <c r="D34" s="20"/>
      <c r="E34" s="20"/>
      <c r="F34" s="20"/>
      <c r="G34" s="20"/>
      <c r="H34" s="20"/>
      <c r="I34" s="28"/>
      <c r="J34" s="28"/>
      <c r="K34" s="28"/>
      <c r="L34" s="28"/>
      <c r="M34" s="28"/>
      <c r="N34" s="2"/>
      <c r="O34" s="2"/>
      <c r="P34" s="2"/>
      <c r="Q34" s="2"/>
      <c r="R34" s="2"/>
      <c r="S34" s="2"/>
      <c r="T34" s="2"/>
      <c r="U34" s="2"/>
      <c r="V34" s="2"/>
      <c r="W34" s="2"/>
      <c r="Z34" s="1" t="e">
        <f>SUM(O34+#REF!+M34+R34+T34+X34)</f>
        <v>#REF!</v>
      </c>
    </row>
    <row r="35" spans="1:27" s="2" customFormat="1" ht="9.75" customHeight="1" x14ac:dyDescent="0.35">
      <c r="A35" s="6" t="s">
        <v>40</v>
      </c>
      <c r="B35" s="20">
        <f>ROUND(('[1]Changes FY07'!B35),-3)</f>
        <v>1096413000</v>
      </c>
      <c r="C35" s="20">
        <f>ROUND(('[1]Changes FY07'!C35),-3)</f>
        <v>0</v>
      </c>
      <c r="D35" s="20">
        <f>ROUND(('[1]Changes FY07'!D35),-3)</f>
        <v>482666000</v>
      </c>
      <c r="E35" s="20">
        <f>ROUND(('[1]Changes FY07'!E35),-3)</f>
        <v>0</v>
      </c>
      <c r="F35" s="20">
        <f>ROUND(('[1]Changes FY07'!F35),-3)</f>
        <v>48000</v>
      </c>
      <c r="G35" s="20">
        <f>ROUND(('[1]Changes FY07'!G35),-3)</f>
        <v>0</v>
      </c>
      <c r="H35" s="20">
        <f>ROUND(('[1]Changes FY07'!H35),-3)</f>
        <v>0</v>
      </c>
      <c r="I35" s="28">
        <f>SUM(B35:H35)</f>
        <v>1579127000</v>
      </c>
      <c r="J35" s="28"/>
      <c r="K35" s="29">
        <f>ROUND(('[1]Changes FY07'!K35),-3)</f>
        <v>0</v>
      </c>
      <c r="L35" s="29">
        <f>ROUND(('[1]Changes FY07'!L35),-3)</f>
        <v>0</v>
      </c>
      <c r="M35" s="28">
        <f>SUM(I35:L35)</f>
        <v>1579127000</v>
      </c>
    </row>
    <row r="36" spans="1:27" s="2" customFormat="1" ht="9.75" customHeight="1" x14ac:dyDescent="0.35">
      <c r="A36" s="2" t="s">
        <v>39</v>
      </c>
      <c r="B36" s="20">
        <f>ROUND(('[1]Changes FY07'!B36),-3)</f>
        <v>0</v>
      </c>
      <c r="C36" s="20">
        <f>ROUND(('[1]Changes FY07'!C36),-3)</f>
        <v>154036000</v>
      </c>
      <c r="D36" s="20">
        <f>ROUND(('[1]Changes FY07'!D36),-3)</f>
        <v>0</v>
      </c>
      <c r="E36" s="20">
        <f>ROUND(('[1]Changes FY07'!E36),-3)</f>
        <v>0</v>
      </c>
      <c r="F36" s="20">
        <f>ROUND(('[1]Changes FY07'!F36),-3)</f>
        <v>0</v>
      </c>
      <c r="G36" s="20">
        <f>ROUND(('[1]Changes FY07'!G36),-3)</f>
        <v>0</v>
      </c>
      <c r="H36" s="20">
        <f>ROUND(('[1]Changes FY07'!H36),-3)</f>
        <v>0</v>
      </c>
      <c r="I36" s="28">
        <f>SUM(B36:H36)</f>
        <v>154036000</v>
      </c>
      <c r="J36" s="28"/>
      <c r="K36" s="29">
        <f>ROUND(('[1]Changes FY07'!K36),-3)</f>
        <v>0</v>
      </c>
      <c r="L36" s="29">
        <f>ROUND(('[1]Changes FY07'!L36),-3)</f>
        <v>0</v>
      </c>
      <c r="M36" s="28">
        <f>SUM(I36:L36)</f>
        <v>154036000</v>
      </c>
    </row>
    <row r="37" spans="1:27" ht="9.75" customHeight="1" x14ac:dyDescent="0.35">
      <c r="A37" s="6" t="s">
        <v>38</v>
      </c>
      <c r="B37" s="20">
        <f>ROUND(('[1]Changes FY07'!B37),-3)</f>
        <v>0</v>
      </c>
      <c r="C37" s="20">
        <f>ROUND(('[1]Changes FY07'!C37),-3)</f>
        <v>0</v>
      </c>
      <c r="D37" s="20">
        <f>ROUND(('[1]Changes FY07'!D37),-3)</f>
        <v>0</v>
      </c>
      <c r="E37" s="20">
        <f>ROUND(('[1]Changes FY07'!E37),-3)</f>
        <v>0</v>
      </c>
      <c r="F37" s="20">
        <f>ROUND(('[1]Changes FY07'!F37),-3)</f>
        <v>93695000</v>
      </c>
      <c r="G37" s="20">
        <f>ROUND(('[1]Changes FY07'!G37),-3)</f>
        <v>0</v>
      </c>
      <c r="H37" s="20">
        <f>ROUND(('[1]Changes FY07'!H37),-3)</f>
        <v>0</v>
      </c>
      <c r="I37" s="28">
        <f>SUM(B37:H37)</f>
        <v>93695000</v>
      </c>
      <c r="J37" s="28"/>
      <c r="K37" s="29">
        <f>ROUND(('[1]Changes FY07'!K37),-3)</f>
        <v>0</v>
      </c>
      <c r="L37" s="29">
        <f>ROUND(('[1]Changes FY07'!L37),-3)</f>
        <v>0</v>
      </c>
      <c r="M37" s="28">
        <f>SUM(I37:L37)</f>
        <v>93695000</v>
      </c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7" ht="9.75" customHeight="1" x14ac:dyDescent="0.35">
      <c r="A38" s="6" t="s">
        <v>37</v>
      </c>
      <c r="B38" s="20">
        <f>ROUND(('[1]Changes FY07'!B38),-3)</f>
        <v>0</v>
      </c>
      <c r="C38" s="20">
        <f>ROUND(('[1]Changes FY07'!C38),-3)</f>
        <v>0</v>
      </c>
      <c r="D38" s="20">
        <f>ROUND(('[1]Changes FY07'!D38),-3)</f>
        <v>0</v>
      </c>
      <c r="E38" s="20">
        <f>ROUND(('[1]Changes FY07'!E38),-3)+1000</f>
        <v>19460000</v>
      </c>
      <c r="F38" s="20">
        <f>ROUND(('[1]Changes FY07'!F38),-3)</f>
        <v>0</v>
      </c>
      <c r="G38" s="20">
        <f>ROUND(('[1]Changes FY07'!G38),-3)</f>
        <v>0</v>
      </c>
      <c r="H38" s="20">
        <f>ROUND(('[1]Changes FY07'!H38),-3)</f>
        <v>0</v>
      </c>
      <c r="I38" s="28">
        <f>SUM(B38:H38)</f>
        <v>19460000</v>
      </c>
      <c r="J38" s="28"/>
      <c r="K38" s="29">
        <f>ROUND(('[1]Changes FY07'!K38),-3)</f>
        <v>0</v>
      </c>
      <c r="L38" s="29">
        <f>ROUND(('[1]Changes FY07'!L38),-3)</f>
        <v>0</v>
      </c>
      <c r="M38" s="28">
        <f>SUM(I38:L38)</f>
        <v>19460000</v>
      </c>
      <c r="N38" s="2"/>
      <c r="O38" s="2"/>
      <c r="P38" s="2"/>
      <c r="Q38" s="2"/>
      <c r="R38" s="2"/>
      <c r="S38" s="2"/>
      <c r="T38" s="2"/>
      <c r="U38" s="2"/>
      <c r="V38" s="2"/>
      <c r="W38" s="2"/>
      <c r="Z38" s="1" t="e">
        <f>SUM(O38+#REF!+M38+R38+T38+X38)</f>
        <v>#REF!</v>
      </c>
    </row>
    <row r="39" spans="1:27" ht="9.75" customHeight="1" x14ac:dyDescent="0.35">
      <c r="A39" s="6" t="s">
        <v>36</v>
      </c>
      <c r="B39" s="20">
        <f>ROUND(('[1]Changes FY07'!B39),-3)</f>
        <v>0</v>
      </c>
      <c r="C39" s="20">
        <f>ROUND(('[1]Changes FY07'!C39),-3)</f>
        <v>0</v>
      </c>
      <c r="D39" s="20">
        <f>ROUND(('[1]Changes FY07'!D39),-3)</f>
        <v>0</v>
      </c>
      <c r="E39" s="20">
        <f>ROUND(('[1]Changes FY07'!E39),-3)</f>
        <v>3026000</v>
      </c>
      <c r="F39" s="20">
        <f>ROUND(('[1]Changes FY07'!F39),-3)</f>
        <v>0</v>
      </c>
      <c r="G39" s="20">
        <f>ROUND(('[1]Changes FY07'!G39),-3)</f>
        <v>0</v>
      </c>
      <c r="H39" s="20">
        <f>ROUND(('[1]Changes FY07'!H39),-3)</f>
        <v>0</v>
      </c>
      <c r="I39" s="28">
        <f>SUM(B39:H39)</f>
        <v>3026000</v>
      </c>
      <c r="J39" s="28"/>
      <c r="K39" s="29">
        <f>ROUND(('[1]Changes FY07'!K39),-3)</f>
        <v>0</v>
      </c>
      <c r="L39" s="29">
        <f>ROUND(('[1]Changes FY07'!L39),-3)</f>
        <v>0</v>
      </c>
      <c r="M39" s="28">
        <f>SUM(I39:L39)</f>
        <v>3026000</v>
      </c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7" s="9" customFormat="1" ht="12" customHeight="1" x14ac:dyDescent="0.35">
      <c r="A40" s="37" t="s">
        <v>35</v>
      </c>
      <c r="B40" s="57">
        <f t="shared" ref="B40:I40" si="3">SUM(B35:B39)</f>
        <v>1096413000</v>
      </c>
      <c r="C40" s="57">
        <f t="shared" si="3"/>
        <v>154036000</v>
      </c>
      <c r="D40" s="57">
        <f t="shared" si="3"/>
        <v>482666000</v>
      </c>
      <c r="E40" s="57">
        <f t="shared" si="3"/>
        <v>22486000</v>
      </c>
      <c r="F40" s="57">
        <f t="shared" si="3"/>
        <v>93743000</v>
      </c>
      <c r="G40" s="57">
        <f t="shared" si="3"/>
        <v>0</v>
      </c>
      <c r="H40" s="57">
        <f t="shared" si="3"/>
        <v>0</v>
      </c>
      <c r="I40" s="56">
        <f t="shared" si="3"/>
        <v>1849344000</v>
      </c>
      <c r="J40" s="28">
        <f>SUM(J35:J38)</f>
        <v>0</v>
      </c>
      <c r="K40" s="56">
        <f>SUM(K35:K38)</f>
        <v>0</v>
      </c>
      <c r="L40" s="56">
        <f>SUM(L35:L38)</f>
        <v>0</v>
      </c>
      <c r="M40" s="56">
        <f>SUM(M35:M39)</f>
        <v>1849344000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36"/>
      <c r="Y40" s="36"/>
      <c r="Z40" s="9" t="e">
        <f>SUM(O40+#REF!+M40+R40+T40+X40)</f>
        <v>#REF!</v>
      </c>
      <c r="AA40" s="36" t="e">
        <f>SUM(#REF!)</f>
        <v>#REF!</v>
      </c>
    </row>
    <row r="41" spans="1:27" s="15" customFormat="1" ht="12" customHeight="1" x14ac:dyDescent="0.35">
      <c r="A41" s="55"/>
      <c r="B41" s="53"/>
      <c r="C41" s="53"/>
      <c r="D41" s="53"/>
      <c r="E41" s="53"/>
      <c r="F41" s="53"/>
      <c r="G41" s="53"/>
      <c r="H41" s="53"/>
      <c r="I41" s="43"/>
      <c r="J41" s="28"/>
      <c r="K41" s="43"/>
      <c r="L41" s="43"/>
      <c r="M41" s="43"/>
      <c r="N41" s="2"/>
      <c r="O41" s="2"/>
      <c r="P41" s="2"/>
      <c r="Q41" s="2"/>
      <c r="R41" s="2"/>
      <c r="S41" s="2"/>
      <c r="T41" s="2"/>
      <c r="U41" s="2"/>
      <c r="V41" s="2"/>
      <c r="W41" s="2"/>
      <c r="X41" s="42"/>
      <c r="Y41" s="42"/>
      <c r="AA41" s="42"/>
    </row>
    <row r="42" spans="1:27" s="15" customFormat="1" ht="9.75" customHeight="1" x14ac:dyDescent="0.35">
      <c r="A42" s="54" t="s">
        <v>34</v>
      </c>
      <c r="B42" s="53"/>
      <c r="C42" s="53"/>
      <c r="D42" s="53"/>
      <c r="E42" s="53"/>
      <c r="F42" s="53"/>
      <c r="G42" s="53"/>
      <c r="H42" s="53"/>
      <c r="I42" s="43"/>
      <c r="J42" s="28"/>
      <c r="K42" s="28"/>
      <c r="L42" s="28"/>
      <c r="M42" s="28"/>
      <c r="N42" s="2"/>
      <c r="O42" s="2"/>
      <c r="P42" s="2"/>
      <c r="Q42" s="2"/>
      <c r="R42" s="2"/>
      <c r="S42" s="2"/>
      <c r="T42" s="2"/>
      <c r="U42" s="2"/>
      <c r="V42" s="2"/>
      <c r="W42" s="2"/>
      <c r="X42" s="42"/>
      <c r="Y42" s="42"/>
      <c r="AA42" s="42"/>
    </row>
    <row r="43" spans="1:27" ht="12" customHeight="1" x14ac:dyDescent="0.35">
      <c r="A43" s="6" t="s">
        <v>33</v>
      </c>
      <c r="B43" s="20">
        <f>ROUND(('[1]Changes FY07'!B43),-3)</f>
        <v>-21810000</v>
      </c>
      <c r="C43" s="20">
        <f>ROUND(('[1]Changes FY07'!C43),-3)</f>
        <v>-1145000</v>
      </c>
      <c r="D43" s="20">
        <f>ROUND(('[1]Changes FY07'!D43),-3)</f>
        <v>-7897000</v>
      </c>
      <c r="E43" s="20">
        <f>ROUND(('[1]Changes FY07'!E43),-3)-1000</f>
        <v>30852000</v>
      </c>
      <c r="F43" s="20">
        <f>ROUND(('[1]Changes FY07'!F43),-3)</f>
        <v>0</v>
      </c>
      <c r="G43" s="20">
        <f>ROUND(('[1]Changes FY07'!G43),-3)</f>
        <v>0</v>
      </c>
      <c r="H43" s="20">
        <f>ROUND(('[1]Changes FY07'!H43),-3)</f>
        <v>0</v>
      </c>
      <c r="I43" s="28">
        <f t="shared" ref="I43:I51" si="4">SUM(B43:H43)</f>
        <v>0</v>
      </c>
      <c r="J43" s="28"/>
      <c r="K43" s="29">
        <f>ROUND(('[1]Changes FY07'!K43),-3)</f>
        <v>0</v>
      </c>
      <c r="L43" s="29">
        <f>ROUND(('[1]Changes FY07'!L43),-3)</f>
        <v>0</v>
      </c>
      <c r="M43" s="28">
        <f t="shared" ref="M43:M51" si="5">SUM(I43:L43)</f>
        <v>0</v>
      </c>
      <c r="N43" s="2"/>
      <c r="O43" s="2"/>
      <c r="P43" s="2"/>
      <c r="Q43" s="2"/>
      <c r="R43" s="2"/>
      <c r="S43" s="2"/>
      <c r="T43" s="2"/>
      <c r="U43" s="2"/>
      <c r="V43" s="2"/>
      <c r="W43" s="2"/>
      <c r="Z43" s="1" t="e">
        <f>SUM(O43+#REF!+M43+R43+T43+X43)</f>
        <v>#REF!</v>
      </c>
    </row>
    <row r="44" spans="1:27" ht="9.75" customHeight="1" x14ac:dyDescent="0.35">
      <c r="A44" s="6" t="s">
        <v>32</v>
      </c>
      <c r="B44" s="20">
        <f>ROUND(('[1]Changes FY07'!B44),-3)</f>
        <v>0</v>
      </c>
      <c r="C44" s="20">
        <f>ROUND(('[1]Changes FY07'!C44),-3)</f>
        <v>0</v>
      </c>
      <c r="D44" s="20">
        <f>ROUND(('[1]Changes FY07'!D44),-3)</f>
        <v>0</v>
      </c>
      <c r="E44" s="20">
        <f>ROUND(('[1]Changes FY07'!E44),-3)</f>
        <v>0</v>
      </c>
      <c r="F44" s="20">
        <f>ROUND(('[1]Changes FY07'!F44),-3)</f>
        <v>0</v>
      </c>
      <c r="G44" s="20">
        <f>ROUND(('[1]Changes FY07'!G44),-3)</f>
        <v>0</v>
      </c>
      <c r="H44" s="20">
        <f>ROUND(('[1]Changes FY07'!H44),-3)</f>
        <v>0</v>
      </c>
      <c r="I44" s="28">
        <f t="shared" si="4"/>
        <v>0</v>
      </c>
      <c r="J44" s="28"/>
      <c r="K44" s="29">
        <f>ROUND(('[1]Changes FY07'!K44),-3)</f>
        <v>0</v>
      </c>
      <c r="L44" s="29">
        <f>ROUND(('[1]Changes FY07'!L44),-3)</f>
        <v>0</v>
      </c>
      <c r="M44" s="28">
        <f t="shared" si="5"/>
        <v>0</v>
      </c>
      <c r="N44" s="2"/>
      <c r="O44" s="2"/>
      <c r="P44" s="2"/>
      <c r="Q44" s="2"/>
      <c r="R44" s="2"/>
      <c r="S44" s="2"/>
      <c r="T44" s="2"/>
      <c r="U44" s="2"/>
      <c r="V44" s="2"/>
      <c r="W44" s="2"/>
      <c r="Z44" s="1" t="e">
        <f>SUM(O44+#REF!+M44+R44+T44+X44)</f>
        <v>#REF!</v>
      </c>
    </row>
    <row r="45" spans="1:27" ht="9.75" customHeight="1" x14ac:dyDescent="0.35">
      <c r="A45" s="6" t="s">
        <v>31</v>
      </c>
      <c r="B45" s="20">
        <f>ROUND(('[1]Changes FY07'!B45),-3)</f>
        <v>-9257000</v>
      </c>
      <c r="C45" s="20">
        <f>ROUND(('[1]Changes FY07'!C45),-3)</f>
        <v>0</v>
      </c>
      <c r="D45" s="20">
        <f>ROUND(('[1]Changes FY07'!D45),-3)</f>
        <v>0</v>
      </c>
      <c r="E45" s="20">
        <f>ROUND(('[1]Changes FY07'!E45),-3)</f>
        <v>0</v>
      </c>
      <c r="F45" s="20">
        <f>ROUND(('[1]Changes FY07'!F45),-3)</f>
        <v>0</v>
      </c>
      <c r="G45" s="20">
        <f>ROUND(('[1]Changes FY07'!G45),-3)</f>
        <v>9257000</v>
      </c>
      <c r="H45" s="20">
        <f>ROUND(('[1]Changes FY07'!H45),-3)</f>
        <v>0</v>
      </c>
      <c r="I45" s="28">
        <f t="shared" si="4"/>
        <v>0</v>
      </c>
      <c r="J45" s="28"/>
      <c r="K45" s="29">
        <f>ROUND(('[1]Changes FY07'!K45),-3)</f>
        <v>0</v>
      </c>
      <c r="L45" s="29">
        <f>ROUND(('[1]Changes FY07'!L45),-3)</f>
        <v>0</v>
      </c>
      <c r="M45" s="28">
        <f t="shared" si="5"/>
        <v>0</v>
      </c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7" ht="9.75" customHeight="1" x14ac:dyDescent="0.35">
      <c r="A46" s="6" t="s">
        <v>30</v>
      </c>
      <c r="B46" s="20">
        <f>ROUND(('[1]Changes FY07'!B46),-3)</f>
        <v>-17999000</v>
      </c>
      <c r="C46" s="20">
        <f>ROUND(('[1]Changes FY07'!C46),-3)+1000</f>
        <v>-2124000</v>
      </c>
      <c r="D46" s="20">
        <f>ROUND(('[1]Changes FY07'!D46),-3)</f>
        <v>-22276000</v>
      </c>
      <c r="E46" s="20">
        <f>ROUND(('[1]Changes FY07'!E46),-3)</f>
        <v>42399000</v>
      </c>
      <c r="F46" s="20">
        <f>ROUND(('[1]Changes FY07'!F46),-3)</f>
        <v>0</v>
      </c>
      <c r="G46" s="20">
        <f>ROUND(('[1]Changes FY07'!G46),-3)</f>
        <v>0</v>
      </c>
      <c r="H46" s="20">
        <f>ROUND(('[1]Changes FY07'!H46),-3)</f>
        <v>0</v>
      </c>
      <c r="I46" s="28">
        <f t="shared" si="4"/>
        <v>0</v>
      </c>
      <c r="J46" s="28"/>
      <c r="K46" s="29">
        <f>ROUND(('[1]Changes FY07'!K46),-3)</f>
        <v>0</v>
      </c>
      <c r="L46" s="29">
        <f>ROUND(('[1]Changes FY07'!L46),-3)</f>
        <v>0</v>
      </c>
      <c r="M46" s="28">
        <f t="shared" si="5"/>
        <v>0</v>
      </c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7" ht="9.75" customHeight="1" x14ac:dyDescent="0.35">
      <c r="A47" s="6" t="s">
        <v>29</v>
      </c>
      <c r="B47" s="20">
        <f>ROUND(('[1]Changes FY07'!B47),-3)</f>
        <v>31209000</v>
      </c>
      <c r="C47" s="20">
        <f>ROUND(('[1]Changes FY07'!C47),-3)</f>
        <v>0</v>
      </c>
      <c r="D47" s="20">
        <f>ROUND(('[1]Changes FY07'!D47),-3)+1000</f>
        <v>33521000</v>
      </c>
      <c r="E47" s="20">
        <f>ROUND(('[1]Changes FY07'!E47),-3)</f>
        <v>0</v>
      </c>
      <c r="F47" s="20">
        <f>ROUND(('[1]Changes FY07'!F47),-3)</f>
        <v>0</v>
      </c>
      <c r="G47" s="20">
        <f>ROUND(('[1]Changes FY07'!G47),-3)</f>
        <v>-64730000</v>
      </c>
      <c r="H47" s="20">
        <f>ROUND(('[1]Changes FY07'!H47),-3)</f>
        <v>0</v>
      </c>
      <c r="I47" s="28">
        <f t="shared" si="4"/>
        <v>0</v>
      </c>
      <c r="J47" s="28"/>
      <c r="K47" s="29">
        <f>ROUND(('[1]Changes FY07'!K47),-3)</f>
        <v>0</v>
      </c>
      <c r="L47" s="29">
        <f>ROUND(('[1]Changes FY07'!L47),-3)</f>
        <v>0</v>
      </c>
      <c r="M47" s="28">
        <f t="shared" si="5"/>
        <v>0</v>
      </c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7" ht="9.75" customHeight="1" x14ac:dyDescent="0.35">
      <c r="A48" s="6" t="s">
        <v>28</v>
      </c>
      <c r="B48" s="20">
        <f>ROUND(('[1]Changes FY07'!B48),-3)</f>
        <v>42569000</v>
      </c>
      <c r="C48" s="20">
        <f>ROUND(('[1]Changes FY07'!C48),-3)</f>
        <v>-3000</v>
      </c>
      <c r="D48" s="20">
        <f>ROUND(('[1]Changes FY07'!D48),-3)</f>
        <v>-42566000</v>
      </c>
      <c r="E48" s="20">
        <f>ROUND(('[1]Changes FY07'!E48),-3)</f>
        <v>0</v>
      </c>
      <c r="F48" s="20">
        <f>ROUND(('[1]Changes FY07'!F48),-3)</f>
        <v>0</v>
      </c>
      <c r="G48" s="20">
        <f>ROUND(('[1]Changes FY07'!G48),-3)</f>
        <v>0</v>
      </c>
      <c r="H48" s="20">
        <f>ROUND(('[1]Changes FY07'!H48),-3)</f>
        <v>0</v>
      </c>
      <c r="I48" s="28">
        <f t="shared" si="4"/>
        <v>0</v>
      </c>
      <c r="J48" s="28"/>
      <c r="K48" s="29">
        <f>ROUND(('[1]Changes FY07'!K48),-3)</f>
        <v>0</v>
      </c>
      <c r="L48" s="29">
        <f>ROUND(('[1]Changes FY07'!L48),-3)</f>
        <v>0</v>
      </c>
      <c r="M48" s="28">
        <f t="shared" si="5"/>
        <v>0</v>
      </c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8" ht="9.75" customHeight="1" x14ac:dyDescent="0.35">
      <c r="A49" s="52" t="s">
        <v>27</v>
      </c>
      <c r="B49" s="20">
        <f>ROUND(('[1]Changes FY07'!B49),-3)</f>
        <v>-98018000</v>
      </c>
      <c r="C49" s="20">
        <f>ROUND(('[1]Changes FY07'!C49),-3)</f>
        <v>-14953000</v>
      </c>
      <c r="D49" s="20">
        <f>ROUND(('[1]Changes FY07'!D49),-3)</f>
        <v>-53451000</v>
      </c>
      <c r="E49" s="20">
        <f>ROUND(('[1]Changes FY07'!E49),-3)</f>
        <v>54744000</v>
      </c>
      <c r="F49" s="20">
        <f>ROUND(('[1]Changes FY07'!F49),-3)</f>
        <v>0</v>
      </c>
      <c r="G49" s="20">
        <f>ROUND(('[1]Changes FY07'!G49),-3)-1000</f>
        <v>111678000</v>
      </c>
      <c r="H49" s="20">
        <f>ROUND(('[1]Changes FY07'!H49),-3)</f>
        <v>0</v>
      </c>
      <c r="I49" s="28">
        <f t="shared" si="4"/>
        <v>0</v>
      </c>
      <c r="J49" s="28"/>
      <c r="K49" s="29">
        <f>ROUND(('[1]Changes FY07'!K49),-3)</f>
        <v>0</v>
      </c>
      <c r="L49" s="29">
        <f>ROUND(('[1]Changes FY07'!L49),-3)</f>
        <v>0</v>
      </c>
      <c r="M49" s="28">
        <f t="shared" si="5"/>
        <v>0</v>
      </c>
      <c r="N49" s="2"/>
      <c r="O49" s="2"/>
      <c r="P49" s="2"/>
      <c r="Q49" s="2"/>
      <c r="R49" s="2"/>
      <c r="S49" s="2"/>
      <c r="T49" s="2"/>
      <c r="U49" s="2"/>
      <c r="V49" s="2"/>
      <c r="W49" s="2"/>
      <c r="Z49" s="1" t="e">
        <f>SUM(O49+#REF!+M49+R49+T49+X49)</f>
        <v>#REF!</v>
      </c>
    </row>
    <row r="50" spans="1:28" ht="9.75" customHeight="1" x14ac:dyDescent="0.35">
      <c r="A50" s="52" t="s">
        <v>26</v>
      </c>
      <c r="B50" s="20">
        <f>ROUND(('[1]Changes FY07'!B50),-3)</f>
        <v>0</v>
      </c>
      <c r="C50" s="20">
        <f>ROUND(('[1]Changes FY07'!C50),-3)</f>
        <v>0</v>
      </c>
      <c r="D50" s="20">
        <f>ROUND(('[1]Changes FY07'!D50),-3)</f>
        <v>0</v>
      </c>
      <c r="E50" s="20">
        <f>ROUND(('[1]Changes FY07'!E50),-3)</f>
        <v>0</v>
      </c>
      <c r="F50" s="20">
        <f>ROUND(('[1]Changes FY07'!F50),-3)</f>
        <v>0</v>
      </c>
      <c r="G50" s="20">
        <f>ROUND(('[1]Changes FY07'!G50),-3)</f>
        <v>0</v>
      </c>
      <c r="H50" s="20">
        <f>ROUND(('[1]Changes FY07'!H50),-3)</f>
        <v>0</v>
      </c>
      <c r="I50" s="28">
        <f t="shared" si="4"/>
        <v>0</v>
      </c>
      <c r="J50" s="28"/>
      <c r="K50" s="29"/>
      <c r="L50" s="29"/>
      <c r="M50" s="28">
        <f t="shared" si="5"/>
        <v>0</v>
      </c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8" ht="9.75" customHeight="1" x14ac:dyDescent="0.35">
      <c r="A51" s="6" t="s">
        <v>25</v>
      </c>
      <c r="B51" s="20">
        <f>ROUND(('[1]Changes FY07'!B51),-3)</f>
        <v>-19387000</v>
      </c>
      <c r="C51" s="20">
        <f>ROUND(('[1]Changes FY07'!C51),-3)</f>
        <v>-131000</v>
      </c>
      <c r="D51" s="20">
        <f>ROUND(('[1]Changes FY07'!D51),-3)</f>
        <v>14193000</v>
      </c>
      <c r="E51" s="20">
        <f>ROUND(('[1]Changes FY07'!E51),-3)+1000</f>
        <v>-186465000</v>
      </c>
      <c r="F51" s="20">
        <f>ROUND(('[1]Changes FY07'!F51),-3)</f>
        <v>191790000</v>
      </c>
      <c r="G51" s="20">
        <f>ROUND(('[1]Changes FY07'!G51),-3)</f>
        <v>0</v>
      </c>
      <c r="H51" s="20">
        <f>ROUND(('[1]Changes FY07'!H51),-3)</f>
        <v>0</v>
      </c>
      <c r="I51" s="28">
        <f t="shared" si="4"/>
        <v>0</v>
      </c>
      <c r="J51" s="28"/>
      <c r="K51" s="29">
        <f>ROUND(('[1]Changes FY07'!K51),-3)</f>
        <v>0</v>
      </c>
      <c r="L51" s="29">
        <f>ROUND(('[1]Changes FY07'!L51),-3)</f>
        <v>0</v>
      </c>
      <c r="M51" s="28">
        <f t="shared" si="5"/>
        <v>0</v>
      </c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8" s="9" customFormat="1" ht="21" x14ac:dyDescent="0.4">
      <c r="A52" s="51" t="s">
        <v>24</v>
      </c>
      <c r="B52" s="48">
        <f t="shared" ref="B52:M52" si="6">B32-B40+SUM(B43:B51)</f>
        <v>139000</v>
      </c>
      <c r="C52" s="48">
        <f t="shared" si="6"/>
        <v>-4608000</v>
      </c>
      <c r="D52" s="48">
        <f t="shared" si="6"/>
        <v>-51122000</v>
      </c>
      <c r="E52" s="48">
        <f t="shared" si="6"/>
        <v>-38225000</v>
      </c>
      <c r="F52" s="48">
        <f t="shared" si="6"/>
        <v>97787000</v>
      </c>
      <c r="G52" s="48">
        <f t="shared" si="6"/>
        <v>579247000</v>
      </c>
      <c r="H52" s="48">
        <f t="shared" si="6"/>
        <v>-27000</v>
      </c>
      <c r="I52" s="46">
        <f t="shared" si="6"/>
        <v>583191000</v>
      </c>
      <c r="J52" s="47">
        <f t="shared" si="6"/>
        <v>0</v>
      </c>
      <c r="K52" s="46">
        <f t="shared" si="6"/>
        <v>1511000</v>
      </c>
      <c r="L52" s="46">
        <f t="shared" si="6"/>
        <v>89479000</v>
      </c>
      <c r="M52" s="46">
        <f t="shared" si="6"/>
        <v>674181000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36"/>
      <c r="Y52" s="36"/>
      <c r="Z52" s="9" t="e">
        <f>SUM(O52+#REF!+M52+R52+T52+X52)</f>
        <v>#REF!</v>
      </c>
    </row>
    <row r="53" spans="1:28" s="15" customFormat="1" ht="21" x14ac:dyDescent="0.4">
      <c r="A53" s="49" t="s">
        <v>23</v>
      </c>
      <c r="B53" s="50"/>
      <c r="C53" s="20">
        <f>ROUND(('[1]Changes FY07'!C53),-3)</f>
        <v>0</v>
      </c>
      <c r="D53" s="20">
        <f>ROUND(('[1]Changes FY07'!D53),-3)</f>
        <v>0</v>
      </c>
      <c r="E53" s="50"/>
      <c r="F53" s="20">
        <f>ROUND(('[1]Changes FY07'!F53),-3)</f>
        <v>0</v>
      </c>
      <c r="G53" s="40"/>
      <c r="H53" s="50"/>
      <c r="I53" s="39">
        <f>SUM(B53:H53)</f>
        <v>0</v>
      </c>
      <c r="J53" s="47"/>
      <c r="K53" s="39"/>
      <c r="L53" s="39"/>
      <c r="M53" s="39">
        <f>SUM(I53:L53)</f>
        <v>0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42"/>
      <c r="Y53" s="42"/>
    </row>
    <row r="54" spans="1:28" s="15" customFormat="1" ht="11.7" x14ac:dyDescent="0.4">
      <c r="A54" s="49" t="s">
        <v>22</v>
      </c>
      <c r="B54" s="50"/>
      <c r="C54" s="20">
        <f>ROUND(('[1]Changes FY07'!C54),-3)</f>
        <v>0</v>
      </c>
      <c r="D54" s="20">
        <f>ROUND(('[1]Changes FY07'!D54),-3)</f>
        <v>0</v>
      </c>
      <c r="E54" s="50"/>
      <c r="F54" s="20">
        <f>ROUND(('[1]Changes FY07'!F54),-3)</f>
        <v>0</v>
      </c>
      <c r="G54" s="40"/>
      <c r="H54" s="50"/>
      <c r="I54" s="39">
        <f>SUM(B54:H54)</f>
        <v>0</v>
      </c>
      <c r="J54" s="47"/>
      <c r="K54" s="39"/>
      <c r="L54" s="39"/>
      <c r="M54" s="39">
        <f>SUM(I54:L54)</f>
        <v>0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42"/>
      <c r="Y54" s="42"/>
    </row>
    <row r="55" spans="1:28" s="15" customFormat="1" ht="11.7" x14ac:dyDescent="0.4">
      <c r="A55" s="49" t="s">
        <v>21</v>
      </c>
      <c r="B55" s="48">
        <f t="shared" ref="B55:I55" si="7">SUM(B52:B54)</f>
        <v>139000</v>
      </c>
      <c r="C55" s="48">
        <f t="shared" si="7"/>
        <v>-4608000</v>
      </c>
      <c r="D55" s="48">
        <f t="shared" si="7"/>
        <v>-51122000</v>
      </c>
      <c r="E55" s="48">
        <f t="shared" si="7"/>
        <v>-38225000</v>
      </c>
      <c r="F55" s="48">
        <f t="shared" si="7"/>
        <v>97787000</v>
      </c>
      <c r="G55" s="48">
        <f t="shared" si="7"/>
        <v>579247000</v>
      </c>
      <c r="H55" s="48">
        <f t="shared" si="7"/>
        <v>-27000</v>
      </c>
      <c r="I55" s="46">
        <f t="shared" si="7"/>
        <v>583191000</v>
      </c>
      <c r="J55" s="47"/>
      <c r="K55" s="46">
        <f>SUM(K52:K54)</f>
        <v>1511000</v>
      </c>
      <c r="L55" s="46">
        <f>SUM(L52:L54)</f>
        <v>89479000</v>
      </c>
      <c r="M55" s="46">
        <f>SUM(M52:M54)</f>
        <v>674181000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42"/>
      <c r="Y55" s="42"/>
    </row>
    <row r="56" spans="1:28" s="15" customFormat="1" ht="11.35" x14ac:dyDescent="0.35">
      <c r="A56" s="45" t="s">
        <v>20</v>
      </c>
      <c r="B56" s="40">
        <f>ROUND(('[1]Changes FY07'!B56),-3)</f>
        <v>-139000</v>
      </c>
      <c r="C56" s="44">
        <f>ROUND(('[1]Changes FY07'!C56),-3)</f>
        <v>0</v>
      </c>
      <c r="D56" s="40">
        <f>ROUND(('[1]Changes FY07'!D56),-3)</f>
        <v>139000</v>
      </c>
      <c r="E56" s="44">
        <f>ROUND(('[1]Changes FY07'!E56),-3)</f>
        <v>0</v>
      </c>
      <c r="F56" s="44">
        <f>ROUND(('[1]Changes FY07'!F56),-3)</f>
        <v>0</v>
      </c>
      <c r="G56" s="44">
        <f>ROUND(('[1]Changes FY07'!G56),-3)</f>
        <v>0</v>
      </c>
      <c r="H56" s="44">
        <f>ROUND(('[1]Changes FY07'!H56),-3)</f>
        <v>0</v>
      </c>
      <c r="I56" s="28">
        <f>SUM(B56:H56)</f>
        <v>0</v>
      </c>
      <c r="J56" s="28"/>
      <c r="K56" s="28"/>
      <c r="L56" s="43"/>
      <c r="M56" s="28">
        <f>SUM(I56:L56)</f>
        <v>0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42"/>
      <c r="Y56" s="42"/>
    </row>
    <row r="57" spans="1:28" ht="12" customHeight="1" x14ac:dyDescent="0.35">
      <c r="A57" s="41" t="s">
        <v>19</v>
      </c>
      <c r="B57" s="40">
        <f>ROUND(('[1]Changes FY07'!B57),-3)</f>
        <v>0</v>
      </c>
      <c r="C57" s="40">
        <f>ROUND(('[1]Changes FY07'!C57),-3)</f>
        <v>-24001000</v>
      </c>
      <c r="D57" s="40">
        <f>ROUND(('[1]Changes FY07'!D57),-3)</f>
        <v>545340000</v>
      </c>
      <c r="E57" s="40">
        <f>ROUND(('[1]Changes FY07'!E57),-3)</f>
        <v>199804000</v>
      </c>
      <c r="F57" s="40">
        <f>ROUND(('[1]Changes FY07'!F57),-3)</f>
        <v>385292000</v>
      </c>
      <c r="G57" s="40">
        <f>ROUND(('[1]Changes FY07'!G57),-3)</f>
        <v>2044657000</v>
      </c>
      <c r="H57" s="40">
        <f>ROUND(('[1]Changes FY07'!H57),-3)</f>
        <v>-3168000</v>
      </c>
      <c r="I57" s="39">
        <f>SUM(B57:H57)</f>
        <v>3147924000</v>
      </c>
      <c r="J57" s="28"/>
      <c r="K57" s="38">
        <f>ROUND(('[1]Changes FY07'!K57),-3)</f>
        <v>208009000</v>
      </c>
      <c r="L57" s="38">
        <f>ROUND(('[1]Changes FY07'!L57),-3)</f>
        <v>1177482000</v>
      </c>
      <c r="M57" s="38">
        <f>SUM(I57:L57)</f>
        <v>4533415000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5"/>
      <c r="Y57" s="5"/>
      <c r="Z57" s="1" t="e">
        <f>SUM(O57+#REF!+M57+R57+T57+X57)</f>
        <v>#REF!</v>
      </c>
      <c r="AA57" s="1">
        <f>Y58</f>
        <v>0</v>
      </c>
      <c r="AB57" s="1">
        <f>Y57</f>
        <v>0</v>
      </c>
    </row>
    <row r="58" spans="1:28" s="9" customFormat="1" ht="12" customHeight="1" x14ac:dyDescent="0.35">
      <c r="A58" s="37" t="s">
        <v>18</v>
      </c>
      <c r="B58" s="25">
        <f t="shared" ref="B58:I58" si="8">SUM(B55:B57)</f>
        <v>0</v>
      </c>
      <c r="C58" s="25">
        <f t="shared" si="8"/>
        <v>-28609000</v>
      </c>
      <c r="D58" s="25">
        <f t="shared" si="8"/>
        <v>494357000</v>
      </c>
      <c r="E58" s="25">
        <f t="shared" si="8"/>
        <v>161579000</v>
      </c>
      <c r="F58" s="25">
        <f t="shared" si="8"/>
        <v>483079000</v>
      </c>
      <c r="G58" s="25">
        <f t="shared" si="8"/>
        <v>2623904000</v>
      </c>
      <c r="H58" s="25">
        <f t="shared" si="8"/>
        <v>-3195000</v>
      </c>
      <c r="I58" s="23">
        <f t="shared" si="8"/>
        <v>3731115000</v>
      </c>
      <c r="J58" s="32">
        <f>SUM(J52:J57)</f>
        <v>0</v>
      </c>
      <c r="K58" s="23">
        <f>SUM(K55:K57)</f>
        <v>209520000</v>
      </c>
      <c r="L58" s="23">
        <f>SUM(L55:L57)</f>
        <v>1266961000</v>
      </c>
      <c r="M58" s="23">
        <f>SUM(M55:M57)</f>
        <v>5207596000</v>
      </c>
      <c r="N58" s="22">
        <f>M55+SUM(M56:M57)</f>
        <v>5207596000</v>
      </c>
      <c r="O58" s="2"/>
      <c r="P58" s="2"/>
      <c r="Q58" s="2"/>
      <c r="R58" s="2"/>
      <c r="S58" s="2"/>
      <c r="T58" s="2"/>
      <c r="U58" s="2"/>
      <c r="V58" s="2"/>
      <c r="W58" s="2"/>
      <c r="X58" s="36"/>
      <c r="Y58" s="36"/>
      <c r="Z58" s="9" t="e">
        <f>SUM(O58+#REF!+M58+R58+T58+X58)</f>
        <v>#REF!</v>
      </c>
      <c r="AA58" s="9">
        <f>SUM(AA56:AA57)</f>
        <v>0</v>
      </c>
      <c r="AB58" s="9">
        <f>SUM(AB56:AB57)</f>
        <v>0</v>
      </c>
    </row>
    <row r="59" spans="1:28" s="7" customFormat="1" ht="2.1" customHeight="1" x14ac:dyDescent="0.35">
      <c r="B59" s="35"/>
      <c r="C59" s="35"/>
      <c r="D59" s="35"/>
      <c r="E59" s="35"/>
      <c r="F59" s="35"/>
      <c r="G59" s="35"/>
      <c r="H59" s="35"/>
      <c r="I59" s="34"/>
      <c r="J59" s="28"/>
      <c r="K59" s="34"/>
      <c r="L59" s="34"/>
      <c r="M59" s="34"/>
      <c r="N59" s="2"/>
      <c r="O59" s="2"/>
      <c r="P59" s="2"/>
      <c r="Q59" s="2"/>
      <c r="R59" s="2"/>
      <c r="S59" s="2"/>
      <c r="T59" s="2"/>
      <c r="U59" s="2"/>
      <c r="V59" s="2"/>
      <c r="W59" s="2"/>
      <c r="X59" s="8"/>
      <c r="Y59" s="8"/>
      <c r="Z59" s="8"/>
    </row>
    <row r="60" spans="1:28" ht="9.9499999999999993" customHeight="1" x14ac:dyDescent="0.35">
      <c r="A60" s="2"/>
      <c r="B60" s="20"/>
      <c r="C60" s="20"/>
      <c r="D60" s="20"/>
      <c r="E60" s="20"/>
      <c r="F60" s="20"/>
      <c r="G60" s="20"/>
      <c r="H60" s="20"/>
      <c r="I60" s="28"/>
      <c r="J60" s="28"/>
      <c r="K60" s="28"/>
      <c r="L60" s="28"/>
      <c r="M60" s="28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8" ht="9.9499999999999993" customHeight="1" x14ac:dyDescent="0.35">
      <c r="A61" s="33" t="s">
        <v>17</v>
      </c>
      <c r="B61" s="20"/>
      <c r="C61" s="20"/>
      <c r="D61" s="20"/>
      <c r="E61" s="20"/>
      <c r="F61" s="20"/>
      <c r="G61" s="20"/>
      <c r="H61" s="20"/>
      <c r="I61" s="28"/>
      <c r="J61" s="28"/>
      <c r="K61" s="28"/>
      <c r="L61" s="28"/>
      <c r="M61" s="28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8" s="2" customFormat="1" ht="9.9499999999999993" customHeight="1" x14ac:dyDescent="0.35">
      <c r="A62" s="6" t="s">
        <v>16</v>
      </c>
      <c r="B62" s="20">
        <f>ROUND(('[1]Changes FY07'!B62),-3)</f>
        <v>0</v>
      </c>
      <c r="C62" s="30">
        <f>ROUND(('[1]Changes FY07'!C62),-3)+1000</f>
        <v>-33598000</v>
      </c>
      <c r="D62" s="30">
        <f>ROUND(('[1]Changes FY07'!D62),-3)</f>
        <v>57858000</v>
      </c>
      <c r="E62" s="20">
        <f>ROUND(('[1]Changes FY07'!E62),-3)</f>
        <v>0</v>
      </c>
      <c r="F62" s="30">
        <f>ROUND(('[1]Changes FY07'!F62),-3)</f>
        <v>-4484000</v>
      </c>
      <c r="G62" s="20">
        <f>ROUND(('[1]Changes FY07'!G62),-3)</f>
        <v>0</v>
      </c>
      <c r="H62" s="30">
        <f>ROUND(('[1]Changes FY07'!H62),-3)</f>
        <v>-7839000</v>
      </c>
      <c r="I62" s="32">
        <f t="shared" ref="I62:I76" si="9">SUM(B62:H62)</f>
        <v>11937000</v>
      </c>
      <c r="J62" s="28"/>
      <c r="K62" s="29">
        <f>ROUND(('[1]Changes FY07'!K62),-3)</f>
        <v>0</v>
      </c>
      <c r="L62" s="29">
        <f>ROUND(('[1]Changes FY07'!L62),-3)</f>
        <v>0</v>
      </c>
      <c r="M62" s="32">
        <f t="shared" ref="M62:M76" si="10">SUM(I62:L62)</f>
        <v>11937000</v>
      </c>
    </row>
    <row r="63" spans="1:28" s="2" customFormat="1" ht="9.9499999999999993" customHeight="1" x14ac:dyDescent="0.35">
      <c r="A63" s="6" t="s">
        <v>15</v>
      </c>
      <c r="B63" s="20">
        <f>ROUND(('[1]Changes FY07'!B63),-3)</f>
        <v>0</v>
      </c>
      <c r="C63" s="20">
        <f>ROUND(('[1]Changes FY07'!C63),-3)</f>
        <v>0</v>
      </c>
      <c r="D63" s="20">
        <f>ROUND(('[1]Changes FY07'!D63),-3)</f>
        <v>297810000</v>
      </c>
      <c r="E63" s="30">
        <f>ROUND(('[1]Changes FY07'!E63),-3)-1000</f>
        <v>98864000</v>
      </c>
      <c r="F63" s="20">
        <f>ROUND(('[1]Changes FY07'!F63),-3)</f>
        <v>0</v>
      </c>
      <c r="G63" s="20">
        <f>ROUND(('[1]Changes FY07'!G63),-3)</f>
        <v>0</v>
      </c>
      <c r="H63" s="20">
        <f>ROUND(('[1]Changes FY07'!H63),-3)</f>
        <v>4644000</v>
      </c>
      <c r="I63" s="28">
        <f t="shared" si="9"/>
        <v>401318000</v>
      </c>
      <c r="J63" s="28"/>
      <c r="K63" s="29">
        <f>ROUND(('[1]Changes FY07'!K63),-3)</f>
        <v>0</v>
      </c>
      <c r="L63" s="29">
        <f>ROUND(('[1]Changes FY07'!L63),-3)</f>
        <v>0</v>
      </c>
      <c r="M63" s="28">
        <f t="shared" si="10"/>
        <v>401318000</v>
      </c>
    </row>
    <row r="64" spans="1:28" s="2" customFormat="1" x14ac:dyDescent="0.35">
      <c r="A64" s="6" t="s">
        <v>14</v>
      </c>
      <c r="B64" s="20">
        <f>ROUND(('[1]Changes FY07'!B64),-3)</f>
        <v>0</v>
      </c>
      <c r="C64" s="20">
        <f>ROUND(('[1]Changes FY07'!C64),-3)</f>
        <v>0</v>
      </c>
      <c r="D64" s="20">
        <f>ROUND(('[1]Changes FY07'!D64),-3)</f>
        <v>0</v>
      </c>
      <c r="E64" s="20">
        <f>ROUND(('[1]Changes FY07'!E64),-3)</f>
        <v>0</v>
      </c>
      <c r="F64" s="20">
        <f>ROUND(('[1]Changes FY07'!F64),-3)</f>
        <v>0</v>
      </c>
      <c r="G64" s="20">
        <f>ROUND(('[1]Changes FY07'!G64),-3)</f>
        <v>0</v>
      </c>
      <c r="H64" s="20">
        <f>ROUND(('[1]Changes FY07'!H64),-3)</f>
        <v>0</v>
      </c>
      <c r="I64" s="28">
        <f t="shared" si="9"/>
        <v>0</v>
      </c>
      <c r="J64" s="28"/>
      <c r="K64" s="31">
        <f>ROUND(('[1]Changes FY07'!K64),-3)-1000</f>
        <v>22569000</v>
      </c>
      <c r="L64" s="31">
        <f>ROUND(('[1]Changes FY07'!L64),-3)+1000</f>
        <v>32366000</v>
      </c>
      <c r="M64" s="28">
        <f t="shared" si="10"/>
        <v>54935000</v>
      </c>
    </row>
    <row r="65" spans="1:14" s="2" customFormat="1" ht="9.9499999999999993" customHeight="1" x14ac:dyDescent="0.35">
      <c r="A65" s="6" t="s">
        <v>13</v>
      </c>
      <c r="B65" s="20">
        <f>ROUND(('[1]Changes FY07'!B65),-3)</f>
        <v>0</v>
      </c>
      <c r="C65" s="20">
        <f>ROUND(('[1]Changes FY07'!C65),-3)</f>
        <v>0</v>
      </c>
      <c r="D65" s="20">
        <f>ROUND(('[1]Changes FY07'!D65),-3)</f>
        <v>0</v>
      </c>
      <c r="E65" s="20">
        <f>ROUND(('[1]Changes FY07'!E65),-3)</f>
        <v>0</v>
      </c>
      <c r="F65" s="20">
        <f>ROUND(('[1]Changes FY07'!F65),-3)</f>
        <v>0</v>
      </c>
      <c r="G65" s="30">
        <f>ROUND(('[1]Changes FY07'!G65),-3)</f>
        <v>0</v>
      </c>
      <c r="H65" s="20">
        <f>ROUND(('[1]Changes FY07'!H65),-3)</f>
        <v>0</v>
      </c>
      <c r="I65" s="28">
        <f t="shared" si="9"/>
        <v>0</v>
      </c>
      <c r="J65" s="28"/>
      <c r="K65" s="29">
        <f>ROUND(('[1]Changes FY07'!K65),-3)</f>
        <v>127446000</v>
      </c>
      <c r="L65" s="29">
        <f>ROUND(('[1]Changes FY07'!L65),-3)</f>
        <v>55228000</v>
      </c>
      <c r="M65" s="28">
        <f t="shared" si="10"/>
        <v>182674000</v>
      </c>
    </row>
    <row r="66" spans="1:14" s="2" customFormat="1" ht="9.9499999999999993" customHeight="1" x14ac:dyDescent="0.35">
      <c r="A66" s="6" t="s">
        <v>12</v>
      </c>
      <c r="B66" s="20">
        <f>ROUND(('[1]Changes FY07'!B66),-3)</f>
        <v>0</v>
      </c>
      <c r="C66" s="20">
        <f>ROUND(('[1]Changes FY07'!C66),-3)</f>
        <v>4989000</v>
      </c>
      <c r="D66" s="20">
        <f>ROUND(('[1]Changes FY07'!D66),-3)</f>
        <v>0</v>
      </c>
      <c r="E66" s="20">
        <f>ROUND(('[1]Changes FY07'!E66),-3)</f>
        <v>0</v>
      </c>
      <c r="F66" s="20">
        <f>ROUND(('[1]Changes FY07'!F66),-3)</f>
        <v>0</v>
      </c>
      <c r="G66" s="20">
        <f>ROUND(('[1]Changes FY07'!G66),-3)</f>
        <v>0</v>
      </c>
      <c r="H66" s="20">
        <f>ROUND(('[1]Changes FY07'!H66),-3)</f>
        <v>0</v>
      </c>
      <c r="I66" s="28">
        <f t="shared" si="9"/>
        <v>4989000</v>
      </c>
      <c r="J66" s="28"/>
      <c r="K66" s="29">
        <f>ROUND(('[1]Changes FY07'!K66),-3)</f>
        <v>0</v>
      </c>
      <c r="L66" s="29">
        <f>ROUND(('[1]Changes FY07'!L66),-3)</f>
        <v>0</v>
      </c>
      <c r="M66" s="28">
        <f t="shared" si="10"/>
        <v>4989000</v>
      </c>
    </row>
    <row r="67" spans="1:14" s="2" customFormat="1" ht="9.9499999999999993" customHeight="1" x14ac:dyDescent="0.35">
      <c r="A67" s="6" t="s">
        <v>11</v>
      </c>
      <c r="B67" s="20">
        <f>ROUND(('[1]Changes FY07'!B67),-3)</f>
        <v>0</v>
      </c>
      <c r="C67" s="20">
        <f>ROUND(('[1]Changes FY07'!C67),-3)</f>
        <v>0</v>
      </c>
      <c r="D67" s="20">
        <f>ROUND(('[1]Changes FY07'!D67),-3)</f>
        <v>138689000</v>
      </c>
      <c r="E67" s="20">
        <f>ROUND(('[1]Changes FY07'!E67),-3)</f>
        <v>0</v>
      </c>
      <c r="F67" s="20">
        <f>ROUND(('[1]Changes FY07'!F67),-3)</f>
        <v>0</v>
      </c>
      <c r="G67" s="20">
        <f>ROUND(('[1]Changes FY07'!G67),-3)</f>
        <v>0</v>
      </c>
      <c r="H67" s="20">
        <f>ROUND(('[1]Changes FY07'!H67),-3)</f>
        <v>0</v>
      </c>
      <c r="I67" s="28">
        <f t="shared" si="9"/>
        <v>138689000</v>
      </c>
      <c r="J67" s="28"/>
      <c r="K67" s="29">
        <f>ROUND(('[1]Changes FY07'!K67),-3)</f>
        <v>0</v>
      </c>
      <c r="L67" s="29">
        <f>ROUND(('[1]Changes FY07'!L67),-3)</f>
        <v>0</v>
      </c>
      <c r="M67" s="28">
        <f t="shared" si="10"/>
        <v>138689000</v>
      </c>
    </row>
    <row r="68" spans="1:14" s="2" customFormat="1" ht="9.9499999999999993" customHeight="1" x14ac:dyDescent="0.35">
      <c r="A68" s="6" t="s">
        <v>10</v>
      </c>
      <c r="B68" s="20">
        <f>ROUND(('[1]Changes FY07'!B68),-3)</f>
        <v>0</v>
      </c>
      <c r="C68" s="20">
        <f>ROUND(('[1]Changes FY07'!C68),-3)</f>
        <v>0</v>
      </c>
      <c r="D68" s="20">
        <f>ROUND(('[1]Changes FY07'!D68),-3)</f>
        <v>0</v>
      </c>
      <c r="E68" s="20">
        <f>ROUND(('[1]Changes FY07'!E68),-3)</f>
        <v>0</v>
      </c>
      <c r="F68" s="20">
        <f>ROUND(('[1]Changes FY07'!F68),-3)</f>
        <v>0</v>
      </c>
      <c r="G68" s="20">
        <f>ROUND(('[1]Changes FY07'!G68),-3)</f>
        <v>0</v>
      </c>
      <c r="H68" s="20">
        <f>ROUND(('[1]Changes FY07'!H68),-3)</f>
        <v>0</v>
      </c>
      <c r="I68" s="28">
        <f t="shared" si="9"/>
        <v>0</v>
      </c>
      <c r="J68" s="28"/>
      <c r="K68" s="29">
        <f>ROUND(('[1]Changes FY07'!K68),-3)</f>
        <v>59461000</v>
      </c>
      <c r="L68" s="29">
        <f>ROUND(('[1]Changes FY07'!L68),-3)</f>
        <v>88043000</v>
      </c>
      <c r="M68" s="28">
        <f t="shared" si="10"/>
        <v>147504000</v>
      </c>
    </row>
    <row r="69" spans="1:14" s="2" customFormat="1" ht="9.9499999999999993" customHeight="1" x14ac:dyDescent="0.35">
      <c r="A69" s="6" t="s">
        <v>9</v>
      </c>
      <c r="B69" s="20">
        <f>ROUND(('[1]Changes FY07'!B69),-3)</f>
        <v>0</v>
      </c>
      <c r="C69" s="20">
        <f>ROUND(('[1]Changes FY07'!C69),-3)</f>
        <v>0</v>
      </c>
      <c r="D69" s="20">
        <f>ROUND(('[1]Changes FY07'!D69),-3)</f>
        <v>0</v>
      </c>
      <c r="E69" s="20">
        <f>ROUND(('[1]Changes FY07'!E69),-3)</f>
        <v>0</v>
      </c>
      <c r="F69" s="20">
        <f>ROUND(('[1]Changes FY07'!F69),-3)</f>
        <v>0</v>
      </c>
      <c r="G69" s="20">
        <f>ROUND(('[1]Changes FY07'!G69),-3)</f>
        <v>0</v>
      </c>
      <c r="H69" s="20">
        <f>ROUND(('[1]Changes FY07'!H69),-3)</f>
        <v>0</v>
      </c>
      <c r="I69" s="28">
        <f t="shared" si="9"/>
        <v>0</v>
      </c>
      <c r="J69" s="28"/>
      <c r="K69" s="29">
        <f>ROUND(('[1]Changes FY07'!K69),-3)</f>
        <v>44000</v>
      </c>
      <c r="L69" s="29">
        <f>ROUND(('[1]Changes FY07'!L69),-3)</f>
        <v>1091324000</v>
      </c>
      <c r="M69" s="28">
        <f t="shared" si="10"/>
        <v>1091368000</v>
      </c>
    </row>
    <row r="70" spans="1:14" s="2" customFormat="1" x14ac:dyDescent="0.35">
      <c r="A70" s="6" t="s">
        <v>8</v>
      </c>
      <c r="B70" s="20">
        <f>ROUND(('[1]Changes FY07'!B70),-3)</f>
        <v>0</v>
      </c>
      <c r="C70" s="20">
        <f>ROUND(('[1]Changes FY07'!C70),-3)</f>
        <v>0</v>
      </c>
      <c r="D70" s="20">
        <f>ROUND(('[1]Changes FY07'!D70),-3)</f>
        <v>0</v>
      </c>
      <c r="E70" s="20">
        <f>ROUND(('[1]Changes FY07'!E70),-3)</f>
        <v>0</v>
      </c>
      <c r="F70" s="20">
        <f>ROUND(('[1]Changes FY07'!F70),-3)</f>
        <v>0</v>
      </c>
      <c r="G70" s="20">
        <f>ROUND(('[1]Changes FY07'!G70),-3)</f>
        <v>0</v>
      </c>
      <c r="H70" s="20">
        <f>ROUND(('[1]Changes FY07'!H70),-3)</f>
        <v>0</v>
      </c>
      <c r="I70" s="28">
        <f t="shared" si="9"/>
        <v>0</v>
      </c>
      <c r="J70" s="28"/>
      <c r="K70" s="29">
        <f>ROUND(('[1]Changes FY07'!K70),-3)</f>
        <v>0</v>
      </c>
      <c r="L70" s="29">
        <f>ROUND(('[1]Changes FY07'!L70),-3)</f>
        <v>0</v>
      </c>
      <c r="M70" s="28">
        <f t="shared" si="10"/>
        <v>0</v>
      </c>
    </row>
    <row r="71" spans="1:14" s="2" customFormat="1" x14ac:dyDescent="0.35">
      <c r="A71" s="6" t="s">
        <v>7</v>
      </c>
      <c r="B71" s="20">
        <f>ROUND(('[1]Changes FY07'!B71),-3)</f>
        <v>0</v>
      </c>
      <c r="C71" s="20">
        <f>ROUND(('[1]Changes FY07'!C71),-3)</f>
        <v>0</v>
      </c>
      <c r="D71" s="20">
        <f>ROUND(('[1]Changes FY07'!D71),-3)</f>
        <v>0</v>
      </c>
      <c r="E71" s="20">
        <f>ROUND(('[1]Changes FY07'!E71),-3)</f>
        <v>0</v>
      </c>
      <c r="F71" s="20">
        <f>ROUND(('[1]Changes FY07'!F71),-3)</f>
        <v>0</v>
      </c>
      <c r="G71" s="20">
        <f>ROUND(('[1]Changes FY07'!G71),-3)</f>
        <v>785392000</v>
      </c>
      <c r="H71" s="20">
        <f>ROUND(('[1]Changes FY07'!H71),-3)</f>
        <v>0</v>
      </c>
      <c r="I71" s="28">
        <f t="shared" si="9"/>
        <v>785392000</v>
      </c>
      <c r="J71" s="28"/>
      <c r="K71" s="29">
        <f>ROUND(('[1]Changes FY07'!K71),-3)</f>
        <v>0</v>
      </c>
      <c r="L71" s="29">
        <f>ROUND(('[1]Changes FY07'!L71),-3)</f>
        <v>0</v>
      </c>
      <c r="M71" s="28">
        <f t="shared" si="10"/>
        <v>785392000</v>
      </c>
    </row>
    <row r="72" spans="1:14" s="2" customFormat="1" x14ac:dyDescent="0.35">
      <c r="A72" s="6" t="s">
        <v>6</v>
      </c>
      <c r="B72" s="20">
        <f>ROUND(('[1]Changes FY07'!B72),-3)</f>
        <v>0</v>
      </c>
      <c r="C72" s="20">
        <f>ROUND(('[1]Changes FY07'!C72),-3)</f>
        <v>0</v>
      </c>
      <c r="D72" s="20">
        <f>ROUND(('[1]Changes FY07'!D72),-3)</f>
        <v>0</v>
      </c>
      <c r="E72" s="20">
        <f>ROUND(('[1]Changes FY07'!E72),-3)</f>
        <v>0</v>
      </c>
      <c r="F72" s="20">
        <f>ROUND(('[1]Changes FY07'!F72),-3)</f>
        <v>0</v>
      </c>
      <c r="G72" s="20">
        <f>ROUND(('[1]Changes FY07'!G72),-3)-1000</f>
        <v>5700000</v>
      </c>
      <c r="H72" s="20">
        <f>ROUND(('[1]Changes FY07'!H72),-3)</f>
        <v>0</v>
      </c>
      <c r="I72" s="28">
        <f t="shared" si="9"/>
        <v>5700000</v>
      </c>
      <c r="J72" s="28"/>
      <c r="K72" s="29">
        <f>ROUND(('[1]Changes FY07'!K72),-3)</f>
        <v>0</v>
      </c>
      <c r="L72" s="29">
        <f>ROUND(('[1]Changes FY07'!L72),-3)</f>
        <v>0</v>
      </c>
      <c r="M72" s="28">
        <f t="shared" si="10"/>
        <v>5700000</v>
      </c>
    </row>
    <row r="73" spans="1:14" s="2" customFormat="1" x14ac:dyDescent="0.35">
      <c r="A73" s="6" t="s">
        <v>5</v>
      </c>
      <c r="B73" s="20">
        <f>ROUND(('[1]Changes FY07'!B73),-3)</f>
        <v>0</v>
      </c>
      <c r="C73" s="20">
        <f>ROUND(('[1]Changes FY07'!C73),-3)</f>
        <v>0</v>
      </c>
      <c r="D73" s="20">
        <f>ROUND(('[1]Changes FY07'!D73),-3)</f>
        <v>0</v>
      </c>
      <c r="E73" s="20">
        <f>ROUND(('[1]Changes FY07'!E73),-3)</f>
        <v>0</v>
      </c>
      <c r="F73" s="20">
        <f>ROUND(('[1]Changes FY07'!F73),-3)</f>
        <v>0</v>
      </c>
      <c r="G73" s="20">
        <f>ROUND(('[1]Changes FY07'!G73),-3)</f>
        <v>1364549000</v>
      </c>
      <c r="H73" s="20">
        <f>ROUND(('[1]Changes FY07'!H73),-3)</f>
        <v>0</v>
      </c>
      <c r="I73" s="28">
        <f t="shared" si="9"/>
        <v>1364549000</v>
      </c>
      <c r="J73" s="28"/>
      <c r="K73" s="29">
        <f>ROUND(('[1]Changes FY07'!K73),-3)</f>
        <v>0</v>
      </c>
      <c r="L73" s="29">
        <f>ROUND(('[1]Changes FY07'!L73),-3)</f>
        <v>0</v>
      </c>
      <c r="M73" s="28">
        <f t="shared" si="10"/>
        <v>1364549000</v>
      </c>
    </row>
    <row r="74" spans="1:14" s="2" customFormat="1" x14ac:dyDescent="0.35">
      <c r="A74" s="6" t="s">
        <v>4</v>
      </c>
      <c r="B74" s="20">
        <f>ROUND(('[1]Changes FY07'!B74),-3)</f>
        <v>0</v>
      </c>
      <c r="C74" s="20">
        <f>ROUND(('[1]Changes FY07'!C74),-3)</f>
        <v>0</v>
      </c>
      <c r="D74" s="20">
        <f>ROUND(('[1]Changes FY07'!D74),-3)</f>
        <v>0</v>
      </c>
      <c r="E74" s="20">
        <f>ROUND(('[1]Changes FY07'!E74),-3)</f>
        <v>0</v>
      </c>
      <c r="F74" s="20">
        <f>ROUND(('[1]Changes FY07'!F74),-3)</f>
        <v>0</v>
      </c>
      <c r="G74" s="20">
        <f>ROUND(('[1]Changes FY07'!G74),-3)</f>
        <v>468263000</v>
      </c>
      <c r="H74" s="20">
        <f>ROUND(('[1]Changes FY07'!H74),-3)</f>
        <v>0</v>
      </c>
      <c r="I74" s="28">
        <f t="shared" si="9"/>
        <v>468263000</v>
      </c>
      <c r="J74" s="28"/>
      <c r="K74" s="29">
        <f>ROUND(('[1]Changes FY07'!K74),-3)</f>
        <v>0</v>
      </c>
      <c r="L74" s="29">
        <f>ROUND(('[1]Changes FY07'!L74),-3)</f>
        <v>0</v>
      </c>
      <c r="M74" s="28">
        <f t="shared" si="10"/>
        <v>468263000</v>
      </c>
    </row>
    <row r="75" spans="1:14" s="2" customFormat="1" x14ac:dyDescent="0.35">
      <c r="A75" s="6" t="s">
        <v>3</v>
      </c>
      <c r="B75" s="20">
        <f>ROUND(('[1]Changes FY07'!B75),-3)</f>
        <v>0</v>
      </c>
      <c r="C75" s="20">
        <f>ROUND(('[1]Changes FY07'!C75),-3)</f>
        <v>0</v>
      </c>
      <c r="D75" s="20">
        <f>ROUND(('[1]Changes FY07'!D75),-3)</f>
        <v>0</v>
      </c>
      <c r="E75" s="20">
        <f>ROUND(('[1]Changes FY07'!E75),-3)</f>
        <v>62715000</v>
      </c>
      <c r="F75" s="20">
        <f>ROUND(('[1]Changes FY07'!F75),-3)</f>
        <v>0</v>
      </c>
      <c r="G75" s="20">
        <f>ROUND(('[1]Changes FY07'!G75),-3)</f>
        <v>0</v>
      </c>
      <c r="H75" s="20">
        <f>ROUND(('[1]Changes FY07'!H75),-3)</f>
        <v>0</v>
      </c>
      <c r="I75" s="28">
        <f t="shared" si="9"/>
        <v>62715000</v>
      </c>
      <c r="J75" s="28"/>
      <c r="K75" s="29">
        <f>ROUND(('[1]Changes FY07'!K75),-3)</f>
        <v>0</v>
      </c>
      <c r="L75" s="29">
        <f>ROUND(('[1]Changes FY07'!L75),-3)</f>
        <v>0</v>
      </c>
      <c r="M75" s="28">
        <f t="shared" si="10"/>
        <v>62715000</v>
      </c>
    </row>
    <row r="76" spans="1:14" s="2" customFormat="1" x14ac:dyDescent="0.35">
      <c r="A76" s="6" t="s">
        <v>2</v>
      </c>
      <c r="B76" s="20">
        <f>ROUND(('[1]Changes FY07'!B76),-3)</f>
        <v>0</v>
      </c>
      <c r="C76" s="20">
        <f>ROUND(('[1]Changes FY07'!C76),-3)</f>
        <v>0</v>
      </c>
      <c r="D76" s="20">
        <f>ROUND(('[1]Changes FY07'!D76),-3)</f>
        <v>0</v>
      </c>
      <c r="E76" s="20">
        <f>ROUND(('[1]Changes FY07'!E76),-3)</f>
        <v>0</v>
      </c>
      <c r="F76" s="20">
        <f>ROUND(('[1]Changes FY07'!F76),-3)</f>
        <v>487563000</v>
      </c>
      <c r="G76" s="20">
        <f>ROUND(('[1]Changes FY07'!G76),-3)</f>
        <v>0</v>
      </c>
      <c r="H76" s="20">
        <f>ROUND(('[1]Changes FY07'!H76),-3)</f>
        <v>0</v>
      </c>
      <c r="I76" s="28">
        <f t="shared" si="9"/>
        <v>487563000</v>
      </c>
      <c r="J76" s="28"/>
      <c r="K76" s="29">
        <f>ROUND(('[1]Changes FY07'!K76),-3)</f>
        <v>0</v>
      </c>
      <c r="L76" s="29">
        <f>ROUND(('[1]Changes FY07'!L76),-3)</f>
        <v>0</v>
      </c>
      <c r="M76" s="28">
        <f t="shared" si="10"/>
        <v>487563000</v>
      </c>
    </row>
    <row r="77" spans="1:14" s="2" customFormat="1" ht="12" thickBot="1" x14ac:dyDescent="0.45">
      <c r="A77" s="27"/>
      <c r="B77" s="26">
        <f t="shared" ref="B77:I77" si="11">SUM(B62:B76)</f>
        <v>0</v>
      </c>
      <c r="C77" s="25">
        <f t="shared" si="11"/>
        <v>-28609000</v>
      </c>
      <c r="D77" s="25">
        <f t="shared" si="11"/>
        <v>494357000</v>
      </c>
      <c r="E77" s="25">
        <f t="shared" si="11"/>
        <v>161579000</v>
      </c>
      <c r="F77" s="25">
        <f t="shared" si="11"/>
        <v>483079000</v>
      </c>
      <c r="G77" s="25">
        <f t="shared" si="11"/>
        <v>2623904000</v>
      </c>
      <c r="H77" s="25">
        <f t="shared" si="11"/>
        <v>-3195000</v>
      </c>
      <c r="I77" s="23">
        <f t="shared" si="11"/>
        <v>3731115000</v>
      </c>
      <c r="J77" s="24"/>
      <c r="K77" s="23">
        <f>SUM(K62:K76)</f>
        <v>209520000</v>
      </c>
      <c r="L77" s="23">
        <f>SUM(L62:L76)</f>
        <v>1266961000</v>
      </c>
      <c r="M77" s="23">
        <f>SUM(M62:M76)</f>
        <v>5207596000</v>
      </c>
      <c r="N77" s="22">
        <f>I77+J77+K77+L77</f>
        <v>5207596000</v>
      </c>
    </row>
    <row r="78" spans="1:14" s="2" customFormat="1" ht="10.7" thickTop="1" x14ac:dyDescent="0.35">
      <c r="A78" s="21" t="s">
        <v>1</v>
      </c>
      <c r="B78" s="19"/>
      <c r="C78" s="19"/>
      <c r="D78" s="19"/>
      <c r="E78" s="19"/>
      <c r="F78" s="19"/>
      <c r="G78" s="19"/>
      <c r="H78" s="19"/>
      <c r="I78" s="19"/>
      <c r="J78" s="20"/>
      <c r="K78" s="19"/>
      <c r="L78" s="19"/>
      <c r="M78" s="19"/>
    </row>
    <row r="79" spans="1:14" s="2" customFormat="1" x14ac:dyDescent="0.35">
      <c r="A79" s="2" t="s">
        <v>0</v>
      </c>
      <c r="B79" s="18">
        <f t="shared" ref="B79:M79" si="12">B58-B77</f>
        <v>0</v>
      </c>
      <c r="C79" s="18">
        <f t="shared" si="12"/>
        <v>0</v>
      </c>
      <c r="D79" s="18">
        <f t="shared" si="12"/>
        <v>0</v>
      </c>
      <c r="E79" s="18">
        <f t="shared" si="12"/>
        <v>0</v>
      </c>
      <c r="F79" s="18">
        <f t="shared" si="12"/>
        <v>0</v>
      </c>
      <c r="G79" s="18">
        <f t="shared" si="12"/>
        <v>0</v>
      </c>
      <c r="H79" s="18">
        <f t="shared" si="12"/>
        <v>0</v>
      </c>
      <c r="I79" s="18">
        <f t="shared" si="12"/>
        <v>0</v>
      </c>
      <c r="J79" s="18">
        <f t="shared" si="12"/>
        <v>0</v>
      </c>
      <c r="K79" s="18">
        <f t="shared" si="12"/>
        <v>0</v>
      </c>
      <c r="L79" s="18">
        <f t="shared" si="12"/>
        <v>0</v>
      </c>
      <c r="M79" s="18">
        <f t="shared" si="12"/>
        <v>0</v>
      </c>
    </row>
    <row r="80" spans="1:14" s="2" customFormat="1" x14ac:dyDescent="0.35"/>
    <row r="81" spans="1:23" s="2" customFormat="1" x14ac:dyDescent="0.35">
      <c r="D81" s="17"/>
    </row>
    <row r="82" spans="1:23" s="2" customFormat="1" x14ac:dyDescent="0.35">
      <c r="G82" s="14"/>
      <c r="H82" s="14"/>
      <c r="I82" s="14"/>
      <c r="J82" s="14"/>
      <c r="K82" s="14"/>
    </row>
    <row r="83" spans="1:23" s="2" customFormat="1" x14ac:dyDescent="0.35">
      <c r="G83" s="14"/>
      <c r="H83" s="16"/>
      <c r="I83" s="16"/>
      <c r="J83" s="14"/>
      <c r="K83" s="14"/>
    </row>
    <row r="84" spans="1:23" ht="11.1" customHeight="1" x14ac:dyDescent="0.35">
      <c r="A84" s="2"/>
      <c r="B84" s="2"/>
      <c r="C84" s="2"/>
      <c r="D84" s="2"/>
      <c r="E84" s="2"/>
      <c r="G84" s="15"/>
      <c r="H84" s="15"/>
      <c r="I84" s="15"/>
      <c r="J84" s="14"/>
      <c r="K84" s="15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x14ac:dyDescent="0.35">
      <c r="A85" s="2"/>
      <c r="B85" s="2"/>
      <c r="C85" s="2"/>
      <c r="D85" s="2"/>
      <c r="E85" s="2"/>
      <c r="G85" s="15"/>
      <c r="H85" s="15"/>
      <c r="I85" s="15"/>
      <c r="J85" s="14"/>
      <c r="K85" s="14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x14ac:dyDescent="0.35">
      <c r="A86" s="2"/>
      <c r="B86" s="2"/>
      <c r="C86" s="2"/>
      <c r="D86" s="2"/>
      <c r="E86" s="2"/>
      <c r="G86" s="15"/>
      <c r="H86" s="15"/>
      <c r="I86" s="15"/>
      <c r="J86" s="14"/>
      <c r="K86" s="15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1.1" customHeight="1" x14ac:dyDescent="0.35">
      <c r="A87" s="2"/>
      <c r="B87" s="2"/>
      <c r="C87" s="2"/>
      <c r="D87" s="2"/>
      <c r="E87" s="2"/>
      <c r="G87" s="15"/>
      <c r="H87" s="15"/>
      <c r="I87" s="15"/>
      <c r="J87" s="14"/>
      <c r="K87" s="14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x14ac:dyDescent="0.35">
      <c r="A88" s="2"/>
      <c r="B88" s="2"/>
      <c r="C88" s="2"/>
      <c r="D88" s="2"/>
      <c r="E88" s="2"/>
      <c r="G88" s="15"/>
      <c r="H88" s="15"/>
      <c r="I88" s="15"/>
      <c r="J88" s="14"/>
      <c r="K88" s="14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x14ac:dyDescent="0.35">
      <c r="A89" s="2"/>
      <c r="B89" s="2"/>
      <c r="C89" s="2"/>
      <c r="D89" s="2"/>
      <c r="E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x14ac:dyDescent="0.35">
      <c r="A90" s="2"/>
      <c r="B90" s="2"/>
      <c r="C90" s="2"/>
      <c r="D90" s="2"/>
      <c r="E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x14ac:dyDescent="0.35">
      <c r="A91" s="2"/>
      <c r="B91" s="2"/>
      <c r="C91" s="2"/>
      <c r="D91" s="2"/>
      <c r="E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x14ac:dyDescent="0.35">
      <c r="A92" s="2"/>
      <c r="B92" s="2"/>
      <c r="C92" s="2"/>
      <c r="D92" s="2"/>
      <c r="E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x14ac:dyDescent="0.35">
      <c r="A93" s="2"/>
      <c r="B93" s="2"/>
      <c r="C93" s="2"/>
      <c r="D93" s="2"/>
      <c r="E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x14ac:dyDescent="0.35">
      <c r="A94" s="2"/>
      <c r="B94" s="2"/>
      <c r="C94" s="2"/>
      <c r="D94" s="2"/>
      <c r="E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x14ac:dyDescent="0.35">
      <c r="A95" s="2"/>
      <c r="B95" s="2"/>
      <c r="C95" s="2"/>
      <c r="D95" s="2"/>
      <c r="E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x14ac:dyDescent="0.35">
      <c r="A96" s="2"/>
      <c r="B96" s="2"/>
      <c r="C96" s="2"/>
      <c r="D96" s="2"/>
      <c r="E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x14ac:dyDescent="0.35">
      <c r="A97" s="2"/>
      <c r="B97" s="2"/>
      <c r="C97" s="2"/>
      <c r="D97" s="2"/>
      <c r="E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x14ac:dyDescent="0.35">
      <c r="A98" s="2"/>
      <c r="B98" s="2"/>
      <c r="C98" s="2"/>
      <c r="D98" s="2"/>
      <c r="E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x14ac:dyDescent="0.35">
      <c r="A99" s="2"/>
      <c r="B99" s="2"/>
      <c r="C99" s="2"/>
      <c r="D99" s="2"/>
      <c r="E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x14ac:dyDescent="0.35">
      <c r="A100" s="2"/>
      <c r="B100" s="2"/>
      <c r="C100" s="2"/>
      <c r="D100" s="2"/>
      <c r="E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x14ac:dyDescent="0.35">
      <c r="A101" s="2"/>
      <c r="B101" s="2"/>
      <c r="C101" s="2"/>
      <c r="D101" s="2"/>
      <c r="E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x14ac:dyDescent="0.35">
      <c r="A102" s="2"/>
      <c r="B102" s="2"/>
      <c r="C102" s="2"/>
      <c r="D102" s="2"/>
      <c r="E102" s="2"/>
      <c r="F102" s="5"/>
      <c r="G102" s="5"/>
      <c r="H102" s="5"/>
      <c r="I102" s="5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x14ac:dyDescent="0.35">
      <c r="A103" s="2"/>
      <c r="B103" s="2"/>
      <c r="C103" s="2"/>
      <c r="D103" s="2"/>
      <c r="E103" s="2"/>
      <c r="F103" s="5"/>
      <c r="G103" s="5"/>
      <c r="H103" s="5"/>
      <c r="I103" s="5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x14ac:dyDescent="0.35">
      <c r="A104" s="2"/>
      <c r="B104" s="2"/>
      <c r="C104" s="2"/>
      <c r="D104" s="2"/>
      <c r="E104" s="2"/>
      <c r="F104" s="2"/>
      <c r="G104" s="2"/>
      <c r="H104" s="2"/>
      <c r="I104" s="13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x14ac:dyDescent="0.35">
      <c r="A105" s="2"/>
      <c r="B105" s="2"/>
      <c r="C105" s="2"/>
      <c r="D105" s="2"/>
      <c r="E105" s="2"/>
      <c r="F105" s="2"/>
      <c r="G105" s="2"/>
      <c r="H105" s="2"/>
      <c r="I105" s="13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x14ac:dyDescent="0.35">
      <c r="A106" s="2"/>
      <c r="B106" s="2"/>
      <c r="C106" s="2"/>
      <c r="D106" s="2"/>
      <c r="E106" s="2"/>
      <c r="F106" s="2"/>
      <c r="G106" s="2"/>
      <c r="H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x14ac:dyDescent="0.35">
      <c r="A107" s="2"/>
      <c r="B107" s="2"/>
      <c r="C107" s="2"/>
      <c r="D107" s="2"/>
      <c r="E107" s="2"/>
      <c r="F107" s="2"/>
      <c r="G107" s="2"/>
      <c r="H107" s="2"/>
      <c r="I107" s="1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x14ac:dyDescent="0.35">
      <c r="A108" s="2"/>
      <c r="B108" s="2"/>
      <c r="C108" s="2"/>
      <c r="D108" s="2"/>
      <c r="E108" s="2"/>
      <c r="F108" s="2"/>
      <c r="G108" s="2"/>
      <c r="H108" s="2"/>
      <c r="I108" s="1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x14ac:dyDescent="0.35">
      <c r="A109" s="2"/>
      <c r="B109" s="2"/>
      <c r="C109" s="2"/>
      <c r="D109" s="2"/>
      <c r="E109" s="2"/>
      <c r="F109" s="2"/>
      <c r="G109" s="2"/>
      <c r="H109" s="2"/>
      <c r="I109" s="1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x14ac:dyDescent="0.35">
      <c r="A110" s="2"/>
      <c r="B110" s="2"/>
      <c r="C110" s="2"/>
      <c r="D110" s="2"/>
      <c r="E110" s="2"/>
      <c r="F110" s="2"/>
      <c r="G110" s="2"/>
      <c r="H110" s="2"/>
      <c r="I110" s="1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1.1" customHeight="1" x14ac:dyDescent="0.35">
      <c r="A111" s="2"/>
      <c r="B111" s="2"/>
      <c r="C111" s="2"/>
      <c r="D111" s="2"/>
      <c r="E111" s="2"/>
      <c r="F111" s="2"/>
      <c r="G111" s="2"/>
      <c r="H111" s="2"/>
      <c r="I111" s="1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1.1" customHeight="1" x14ac:dyDescent="0.35">
      <c r="A112" s="2"/>
      <c r="B112" s="2"/>
      <c r="C112" s="2"/>
      <c r="D112" s="2"/>
      <c r="E112" s="2"/>
      <c r="F112" s="2"/>
      <c r="G112" s="2"/>
      <c r="H112" s="2"/>
      <c r="I112" s="1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1.1" customHeight="1" x14ac:dyDescent="0.35">
      <c r="A113" s="2"/>
      <c r="B113" s="2"/>
      <c r="C113" s="2"/>
      <c r="D113" s="2"/>
      <c r="E113" s="2"/>
      <c r="F113" s="2"/>
      <c r="G113" s="2"/>
      <c r="H113" s="2"/>
      <c r="I113" s="1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1.1" customHeight="1" x14ac:dyDescent="0.35">
      <c r="A114" s="2"/>
      <c r="B114" s="2"/>
      <c r="C114" s="2"/>
      <c r="D114" s="2"/>
      <c r="E114" s="2"/>
      <c r="F114" s="2"/>
      <c r="G114" s="2"/>
      <c r="H114" s="2"/>
      <c r="I114" s="1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2.1" customHeight="1" x14ac:dyDescent="0.35">
      <c r="A115" s="2"/>
      <c r="B115" s="2"/>
      <c r="C115" s="2"/>
      <c r="D115" s="2"/>
      <c r="E115" s="2"/>
      <c r="F115" s="2"/>
      <c r="G115" s="2"/>
      <c r="H115" s="2"/>
      <c r="I115" s="1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x14ac:dyDescent="0.35">
      <c r="A116" s="2"/>
      <c r="B116" s="2"/>
      <c r="C116" s="2"/>
      <c r="D116" s="2"/>
      <c r="E116" s="2"/>
      <c r="F116" s="2"/>
      <c r="G116" s="2"/>
      <c r="H116" s="2"/>
      <c r="I116" s="1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x14ac:dyDescent="0.35">
      <c r="A117" s="2"/>
      <c r="B117" s="2"/>
      <c r="C117" s="2"/>
      <c r="D117" s="2"/>
      <c r="E117" s="2"/>
      <c r="F117" s="2"/>
      <c r="G117" s="2"/>
      <c r="H117" s="2"/>
      <c r="I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x14ac:dyDescent="0.35">
      <c r="A118" s="2"/>
      <c r="B118" s="2"/>
      <c r="C118" s="2"/>
      <c r="D118" s="2"/>
      <c r="E118" s="2"/>
      <c r="F118" s="2"/>
      <c r="G118" s="2"/>
      <c r="H118" s="2"/>
      <c r="I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x14ac:dyDescent="0.35">
      <c r="A119" s="2"/>
      <c r="B119" s="2"/>
      <c r="C119" s="2"/>
      <c r="D119" s="2"/>
      <c r="E119" s="2"/>
      <c r="F119" s="2"/>
      <c r="G119" s="2"/>
      <c r="H119" s="2"/>
      <c r="I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x14ac:dyDescent="0.35">
      <c r="A120" s="2"/>
      <c r="B120" s="2"/>
      <c r="C120" s="2"/>
      <c r="D120" s="2"/>
      <c r="E120" s="2"/>
      <c r="F120" s="2"/>
      <c r="G120" s="2"/>
      <c r="H120" s="2"/>
      <c r="I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x14ac:dyDescent="0.35">
      <c r="A121" s="2"/>
      <c r="B121" s="2"/>
      <c r="C121" s="2"/>
      <c r="D121" s="2"/>
      <c r="E121" s="2"/>
      <c r="F121" s="2"/>
      <c r="G121" s="2"/>
      <c r="H121" s="2"/>
      <c r="I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x14ac:dyDescent="0.35">
      <c r="A122" s="2"/>
      <c r="B122" s="2"/>
      <c r="C122" s="2"/>
      <c r="D122" s="2"/>
      <c r="E122" s="2"/>
      <c r="F122" s="2"/>
      <c r="G122" s="2"/>
      <c r="H122" s="2"/>
      <c r="I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x14ac:dyDescent="0.35">
      <c r="A123" s="2"/>
      <c r="B123" s="2"/>
      <c r="C123" s="2"/>
      <c r="D123" s="2"/>
      <c r="E123" s="2"/>
      <c r="F123" s="2"/>
      <c r="G123" s="2"/>
      <c r="H123" s="2"/>
      <c r="I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x14ac:dyDescent="0.35">
      <c r="A124" s="2"/>
      <c r="B124" s="2"/>
      <c r="C124" s="2"/>
      <c r="D124" s="2"/>
      <c r="E124" s="2"/>
      <c r="F124" s="2"/>
      <c r="G124" s="2"/>
      <c r="H124" s="2"/>
      <c r="I124" s="2"/>
      <c r="K124" s="2"/>
      <c r="L124" s="2"/>
      <c r="M124" s="2"/>
      <c r="N124" s="2"/>
      <c r="O124" s="2"/>
      <c r="P124" s="2"/>
      <c r="Q124" s="5"/>
      <c r="R124" s="5">
        <f>SUM(R118:R123)</f>
        <v>0</v>
      </c>
    </row>
    <row r="125" spans="1:23" x14ac:dyDescent="0.35">
      <c r="A125" s="2"/>
      <c r="B125" s="2"/>
      <c r="C125" s="2"/>
      <c r="D125" s="2"/>
      <c r="E125" s="2"/>
      <c r="F125" s="2"/>
      <c r="G125" s="2"/>
      <c r="H125" s="2"/>
      <c r="I125" s="2"/>
      <c r="K125" s="2"/>
      <c r="L125" s="2"/>
      <c r="M125" s="2"/>
      <c r="N125" s="2"/>
      <c r="O125" s="2"/>
      <c r="P125" s="2"/>
      <c r="Q125" s="5"/>
      <c r="R125" s="1">
        <f t="shared" ref="R125:R139" si="13">SUM(K125:O125)</f>
        <v>0</v>
      </c>
    </row>
    <row r="126" spans="1:23" x14ac:dyDescent="0.35">
      <c r="A126" s="2"/>
      <c r="B126" s="2"/>
      <c r="C126" s="2"/>
      <c r="D126" s="2"/>
      <c r="E126" s="2"/>
      <c r="F126" s="2"/>
      <c r="G126" s="2"/>
      <c r="H126" s="2"/>
      <c r="I126" s="2"/>
      <c r="K126" s="2"/>
      <c r="L126" s="2"/>
      <c r="M126" s="2"/>
      <c r="N126" s="2"/>
      <c r="O126" s="2"/>
      <c r="P126" s="2"/>
      <c r="Q126" s="5"/>
      <c r="R126" s="1">
        <f t="shared" si="13"/>
        <v>0</v>
      </c>
    </row>
    <row r="127" spans="1:23" x14ac:dyDescent="0.35">
      <c r="A127" s="2"/>
      <c r="B127" s="2"/>
      <c r="C127" s="2"/>
      <c r="D127" s="2"/>
      <c r="E127" s="2"/>
      <c r="F127" s="2"/>
      <c r="G127" s="2"/>
      <c r="H127" s="2"/>
      <c r="I127" s="2"/>
      <c r="K127" s="2"/>
      <c r="L127" s="2"/>
      <c r="M127" s="2"/>
      <c r="N127" s="2"/>
      <c r="O127" s="2"/>
      <c r="P127" s="2"/>
      <c r="R127" s="1">
        <f t="shared" si="13"/>
        <v>0</v>
      </c>
    </row>
    <row r="128" spans="1:23" x14ac:dyDescent="0.35">
      <c r="A128" s="2"/>
      <c r="B128" s="2"/>
      <c r="C128" s="2"/>
      <c r="D128" s="2"/>
      <c r="E128" s="2"/>
      <c r="F128" s="2"/>
      <c r="G128" s="2"/>
      <c r="H128" s="2"/>
      <c r="I128" s="2"/>
      <c r="K128" s="2"/>
      <c r="L128" s="2"/>
      <c r="M128" s="2"/>
      <c r="N128" s="2"/>
      <c r="O128" s="2"/>
      <c r="P128" s="2"/>
      <c r="R128" s="1">
        <f t="shared" si="13"/>
        <v>0</v>
      </c>
    </row>
    <row r="129" spans="1:256" x14ac:dyDescent="0.35">
      <c r="A129" s="2"/>
      <c r="B129" s="2"/>
      <c r="C129" s="2"/>
      <c r="D129" s="2"/>
      <c r="E129" s="2"/>
      <c r="F129" s="2"/>
      <c r="G129" s="2"/>
      <c r="H129" s="2"/>
      <c r="I129" s="2"/>
      <c r="K129" s="2"/>
      <c r="L129" s="2"/>
      <c r="M129" s="2"/>
      <c r="N129" s="2"/>
      <c r="O129" s="2"/>
      <c r="P129" s="2"/>
      <c r="R129" s="1">
        <f t="shared" si="13"/>
        <v>0</v>
      </c>
    </row>
    <row r="130" spans="1:256" x14ac:dyDescent="0.35">
      <c r="A130" s="2"/>
      <c r="B130" s="2"/>
      <c r="C130" s="2"/>
      <c r="D130" s="2"/>
      <c r="E130" s="2"/>
      <c r="F130" s="2"/>
      <c r="G130" s="2"/>
      <c r="H130" s="2"/>
      <c r="I130" s="2"/>
      <c r="K130" s="2"/>
      <c r="L130" s="2"/>
      <c r="M130" s="2"/>
      <c r="N130" s="2"/>
      <c r="O130" s="2"/>
      <c r="P130" s="2"/>
      <c r="R130" s="1">
        <f t="shared" si="13"/>
        <v>0</v>
      </c>
    </row>
    <row r="131" spans="1:256" x14ac:dyDescent="0.35">
      <c r="A131" s="2"/>
      <c r="B131" s="2"/>
      <c r="C131" s="2"/>
      <c r="D131" s="2"/>
      <c r="E131" s="2"/>
      <c r="F131" s="2"/>
      <c r="G131" s="2"/>
      <c r="H131" s="2"/>
      <c r="I131" s="2"/>
      <c r="K131" s="2"/>
      <c r="L131" s="2"/>
      <c r="M131" s="2"/>
      <c r="N131" s="2"/>
      <c r="O131" s="2"/>
      <c r="P131" s="2"/>
      <c r="R131" s="1">
        <f t="shared" si="13"/>
        <v>0</v>
      </c>
    </row>
    <row r="132" spans="1:256" x14ac:dyDescent="0.35">
      <c r="A132" s="2"/>
      <c r="B132" s="2"/>
      <c r="C132" s="2"/>
      <c r="D132" s="2"/>
      <c r="E132" s="2"/>
      <c r="F132" s="2"/>
      <c r="G132" s="2"/>
      <c r="H132" s="2"/>
      <c r="I132" s="2"/>
      <c r="K132" s="2"/>
      <c r="L132" s="2"/>
      <c r="M132" s="2"/>
      <c r="N132" s="2"/>
      <c r="O132" s="2"/>
      <c r="P132" s="2"/>
      <c r="R132" s="1">
        <f t="shared" si="13"/>
        <v>0</v>
      </c>
    </row>
    <row r="133" spans="1:256" x14ac:dyDescent="0.35">
      <c r="A133" s="2"/>
      <c r="B133" s="2"/>
      <c r="C133" s="2"/>
      <c r="D133" s="2"/>
      <c r="E133" s="2"/>
      <c r="F133" s="2"/>
      <c r="G133" s="2"/>
      <c r="H133" s="2"/>
      <c r="I133" s="2"/>
      <c r="K133" s="2"/>
      <c r="L133" s="2"/>
      <c r="M133" s="2"/>
      <c r="N133" s="2"/>
      <c r="O133" s="2"/>
      <c r="P133" s="2"/>
      <c r="R133" s="1">
        <f t="shared" si="13"/>
        <v>0</v>
      </c>
    </row>
    <row r="134" spans="1:256" x14ac:dyDescent="0.35">
      <c r="A134" s="2"/>
      <c r="B134" s="2"/>
      <c r="C134" s="2"/>
      <c r="D134" s="2"/>
      <c r="E134" s="2"/>
      <c r="F134" s="2"/>
      <c r="G134" s="2"/>
      <c r="H134" s="2"/>
      <c r="I134" s="2"/>
      <c r="K134" s="2"/>
      <c r="L134" s="2"/>
      <c r="M134" s="2"/>
      <c r="N134" s="2"/>
      <c r="O134" s="2"/>
      <c r="P134" s="2"/>
      <c r="R134" s="1">
        <f t="shared" si="13"/>
        <v>0</v>
      </c>
    </row>
    <row r="135" spans="1:256" x14ac:dyDescent="0.35">
      <c r="A135" s="2"/>
      <c r="B135" s="2"/>
      <c r="C135" s="2"/>
      <c r="D135" s="2"/>
      <c r="E135" s="2"/>
      <c r="F135" s="2"/>
      <c r="G135" s="2"/>
      <c r="H135" s="2"/>
      <c r="I135" s="2"/>
      <c r="K135" s="2"/>
      <c r="L135" s="2"/>
      <c r="M135" s="2"/>
      <c r="N135" s="2"/>
      <c r="O135" s="2"/>
      <c r="P135" s="2"/>
      <c r="R135" s="1">
        <f t="shared" si="13"/>
        <v>0</v>
      </c>
    </row>
    <row r="136" spans="1:256" x14ac:dyDescent="0.35">
      <c r="A136" s="2"/>
      <c r="B136" s="2"/>
      <c r="C136" s="2"/>
      <c r="D136" s="2"/>
      <c r="E136" s="2"/>
      <c r="F136" s="2"/>
      <c r="G136" s="2"/>
      <c r="H136" s="2"/>
      <c r="I136" s="2"/>
      <c r="K136" s="2"/>
      <c r="L136" s="2"/>
      <c r="M136" s="2"/>
      <c r="N136" s="2"/>
      <c r="O136" s="2"/>
      <c r="P136" s="2"/>
      <c r="R136" s="1">
        <f t="shared" si="13"/>
        <v>0</v>
      </c>
    </row>
    <row r="137" spans="1:256" x14ac:dyDescent="0.35">
      <c r="A137" s="2"/>
      <c r="B137" s="2"/>
      <c r="C137" s="2"/>
      <c r="D137" s="2"/>
      <c r="E137" s="2"/>
      <c r="F137" s="2"/>
      <c r="G137" s="2"/>
      <c r="H137" s="2"/>
      <c r="I137" s="2"/>
      <c r="K137" s="2"/>
      <c r="L137" s="2"/>
      <c r="M137" s="2"/>
      <c r="N137" s="2"/>
      <c r="O137" s="2"/>
      <c r="P137" s="2"/>
      <c r="R137" s="1">
        <f t="shared" si="13"/>
        <v>0</v>
      </c>
    </row>
    <row r="138" spans="1:256" x14ac:dyDescent="0.35">
      <c r="A138" s="2"/>
      <c r="B138" s="2"/>
      <c r="C138" s="2"/>
      <c r="D138" s="2"/>
      <c r="E138" s="2"/>
      <c r="F138" s="2"/>
      <c r="G138" s="2"/>
      <c r="H138" s="2"/>
      <c r="I138" s="2"/>
      <c r="K138" s="2"/>
      <c r="L138" s="2"/>
      <c r="M138" s="2"/>
      <c r="N138" s="2"/>
      <c r="O138" s="2"/>
      <c r="P138" s="2"/>
      <c r="R138" s="1">
        <f t="shared" si="13"/>
        <v>0</v>
      </c>
    </row>
    <row r="139" spans="1:256" x14ac:dyDescent="0.35">
      <c r="A139" s="2"/>
      <c r="B139" s="2"/>
      <c r="C139" s="2"/>
      <c r="D139" s="2"/>
      <c r="E139" s="2"/>
      <c r="F139" s="2"/>
      <c r="G139" s="2"/>
      <c r="H139" s="2"/>
      <c r="I139" s="2"/>
      <c r="K139" s="2"/>
      <c r="L139" s="2"/>
      <c r="M139" s="2"/>
      <c r="N139" s="2"/>
      <c r="O139" s="2"/>
      <c r="P139" s="2"/>
      <c r="R139" s="1">
        <f t="shared" si="13"/>
        <v>0</v>
      </c>
    </row>
    <row r="140" spans="1:256" x14ac:dyDescent="0.35">
      <c r="A140" s="2"/>
      <c r="B140" s="2"/>
      <c r="C140" s="2"/>
      <c r="D140" s="2"/>
      <c r="E140" s="2"/>
      <c r="F140" s="2"/>
      <c r="G140" s="2"/>
      <c r="H140" s="2"/>
      <c r="I140" s="2"/>
      <c r="K140" s="2"/>
      <c r="L140" s="2"/>
      <c r="M140" s="2"/>
      <c r="N140" s="2"/>
      <c r="O140" s="2"/>
      <c r="P140" s="2"/>
    </row>
    <row r="141" spans="1:256" x14ac:dyDescent="0.35">
      <c r="A141" s="2"/>
      <c r="B141" s="2"/>
      <c r="C141" s="2"/>
      <c r="D141" s="2"/>
      <c r="E141" s="2"/>
      <c r="F141" s="2"/>
      <c r="G141" s="2"/>
      <c r="H141" s="2"/>
      <c r="I141" s="2"/>
      <c r="K141" s="2"/>
      <c r="L141" s="2"/>
      <c r="M141" s="2"/>
      <c r="N141" s="2"/>
      <c r="O141" s="2"/>
      <c r="P141" s="2"/>
    </row>
    <row r="142" spans="1:256" x14ac:dyDescent="0.35">
      <c r="A142" s="2"/>
      <c r="B142" s="2"/>
      <c r="C142" s="2"/>
      <c r="D142" s="2"/>
      <c r="E142" s="2"/>
      <c r="F142" s="2"/>
      <c r="G142" s="2"/>
      <c r="H142" s="2"/>
      <c r="I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  <c r="HR142" s="2"/>
      <c r="HS142" s="2"/>
      <c r="HT142" s="2"/>
      <c r="HU142" s="2"/>
      <c r="HV142" s="2"/>
      <c r="HW142" s="2"/>
      <c r="HX142" s="2"/>
      <c r="HY142" s="2"/>
      <c r="HZ142" s="2"/>
      <c r="IA142" s="2"/>
      <c r="IB142" s="2"/>
      <c r="IC142" s="2"/>
      <c r="ID142" s="2"/>
      <c r="IE142" s="2"/>
      <c r="IF142" s="2"/>
      <c r="IG142" s="2"/>
      <c r="IH142" s="2"/>
      <c r="II142" s="2"/>
      <c r="IJ142" s="2"/>
      <c r="IK142" s="2"/>
      <c r="IL142" s="2"/>
      <c r="IM142" s="2"/>
      <c r="IN142" s="2"/>
      <c r="IO142" s="2"/>
      <c r="IP142" s="2"/>
      <c r="IQ142" s="2"/>
      <c r="IR142" s="2"/>
      <c r="IS142" s="2"/>
      <c r="IT142" s="2"/>
      <c r="IU142" s="2"/>
      <c r="IV142" s="2"/>
    </row>
    <row r="143" spans="1:256" x14ac:dyDescent="0.35">
      <c r="A143" s="2"/>
      <c r="B143" s="2"/>
      <c r="C143" s="2"/>
      <c r="D143" s="2"/>
      <c r="E143" s="2"/>
      <c r="F143" s="2"/>
      <c r="G143" s="2"/>
      <c r="H143" s="2"/>
      <c r="I143" s="2"/>
      <c r="K143" s="2"/>
      <c r="L143" s="2"/>
      <c r="M143" s="2"/>
      <c r="N143" s="2"/>
      <c r="O143" s="2"/>
      <c r="P143" s="2"/>
    </row>
    <row r="144" spans="1:256" x14ac:dyDescent="0.35">
      <c r="A144" s="2"/>
      <c r="B144" s="2"/>
      <c r="C144" s="2"/>
      <c r="D144" s="2"/>
      <c r="E144" s="2"/>
      <c r="F144" s="2"/>
      <c r="G144" s="2"/>
      <c r="H144" s="2"/>
      <c r="I144" s="2"/>
      <c r="K144" s="2"/>
      <c r="L144" s="2"/>
      <c r="M144" s="2"/>
      <c r="N144" s="2"/>
      <c r="O144" s="2"/>
      <c r="P144" s="2"/>
      <c r="R144" s="1">
        <f>SUM(K144:O144)</f>
        <v>0</v>
      </c>
    </row>
    <row r="145" spans="1:256" x14ac:dyDescent="0.35">
      <c r="A145" s="2"/>
      <c r="B145" s="2"/>
      <c r="C145" s="2"/>
      <c r="D145" s="2"/>
      <c r="E145" s="2"/>
      <c r="F145" s="2"/>
      <c r="G145" s="2"/>
      <c r="H145" s="2"/>
      <c r="I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</row>
    <row r="146" spans="1:256" x14ac:dyDescent="0.35">
      <c r="A146" s="2"/>
      <c r="B146" s="2"/>
      <c r="C146" s="2"/>
      <c r="D146" s="2"/>
      <c r="E146" s="2"/>
      <c r="F146" s="2"/>
      <c r="G146" s="2"/>
      <c r="H146" s="2"/>
      <c r="I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  <c r="II146" s="2"/>
      <c r="IJ146" s="2"/>
      <c r="IK146" s="2"/>
      <c r="IL146" s="2"/>
      <c r="IM146" s="2"/>
      <c r="IN146" s="2"/>
      <c r="IO146" s="2"/>
      <c r="IP146" s="2"/>
      <c r="IQ146" s="2"/>
      <c r="IR146" s="2"/>
      <c r="IS146" s="2"/>
      <c r="IT146" s="2"/>
      <c r="IU146" s="2"/>
      <c r="IV146" s="2"/>
    </row>
    <row r="147" spans="1:256" x14ac:dyDescent="0.35">
      <c r="A147" s="2"/>
      <c r="B147" s="2"/>
      <c r="C147" s="2"/>
      <c r="D147" s="2"/>
      <c r="E147" s="2"/>
      <c r="F147" s="2"/>
      <c r="G147" s="2"/>
      <c r="H147" s="2"/>
      <c r="I147" s="2"/>
      <c r="K147" s="2"/>
      <c r="L147" s="2"/>
      <c r="M147" s="2"/>
      <c r="N147" s="2"/>
      <c r="O147" s="2"/>
      <c r="P147" s="2"/>
      <c r="Q147" s="11"/>
      <c r="R147" s="9"/>
    </row>
    <row r="148" spans="1:256" ht="12.7" x14ac:dyDescent="0.4">
      <c r="A148" s="2"/>
      <c r="B148" s="2"/>
      <c r="C148" s="2"/>
      <c r="D148" s="2"/>
      <c r="E148" s="2"/>
      <c r="F148" s="2"/>
      <c r="G148" s="2"/>
      <c r="H148" s="2"/>
      <c r="I148" s="2"/>
      <c r="K148" s="2"/>
      <c r="L148" s="2"/>
      <c r="M148" s="2"/>
      <c r="N148" s="2"/>
      <c r="O148" s="2"/>
      <c r="P148" s="2"/>
      <c r="Q148" s="5"/>
      <c r="R148" s="5">
        <f>SUM(R129:R147)</f>
        <v>0</v>
      </c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56" x14ac:dyDescent="0.35">
      <c r="A149" s="2"/>
      <c r="B149" s="2"/>
      <c r="C149" s="2"/>
      <c r="D149" s="2"/>
      <c r="E149" s="2"/>
      <c r="F149" s="2"/>
      <c r="G149" s="2"/>
      <c r="H149" s="2"/>
      <c r="I149" s="2"/>
      <c r="K149" s="2"/>
      <c r="L149" s="2"/>
      <c r="M149" s="2"/>
      <c r="N149" s="2"/>
      <c r="O149" s="2"/>
      <c r="P149" s="2"/>
      <c r="R149" s="1">
        <f t="shared" ref="R149:R157" si="14">SUM(K149:O149)</f>
        <v>0</v>
      </c>
    </row>
    <row r="150" spans="1:256" x14ac:dyDescent="0.35">
      <c r="A150" s="2"/>
      <c r="B150" s="2"/>
      <c r="C150" s="2"/>
      <c r="D150" s="2"/>
      <c r="E150" s="2"/>
      <c r="F150" s="2"/>
      <c r="G150" s="2"/>
      <c r="H150" s="2"/>
      <c r="I150" s="2"/>
      <c r="K150" s="2"/>
      <c r="L150" s="2"/>
      <c r="M150" s="2"/>
      <c r="N150" s="2"/>
      <c r="O150" s="2"/>
      <c r="P150" s="2"/>
      <c r="R150" s="1">
        <f t="shared" si="14"/>
        <v>0</v>
      </c>
    </row>
    <row r="151" spans="1:256" x14ac:dyDescent="0.35">
      <c r="A151" s="2"/>
      <c r="B151" s="2"/>
      <c r="C151" s="2"/>
      <c r="D151" s="2"/>
      <c r="E151" s="2"/>
      <c r="F151" s="2"/>
      <c r="G151" s="2"/>
      <c r="H151" s="2"/>
      <c r="I151" s="2"/>
      <c r="K151" s="2"/>
      <c r="L151" s="2"/>
      <c r="M151" s="2"/>
      <c r="N151" s="2"/>
      <c r="O151" s="2"/>
      <c r="P151" s="2"/>
      <c r="R151" s="1">
        <f t="shared" si="14"/>
        <v>0</v>
      </c>
    </row>
    <row r="152" spans="1:256" x14ac:dyDescent="0.35">
      <c r="A152" s="2"/>
      <c r="B152" s="2"/>
      <c r="C152" s="2"/>
      <c r="D152" s="2"/>
      <c r="E152" s="2"/>
      <c r="F152" s="2"/>
      <c r="G152" s="2"/>
      <c r="H152" s="2"/>
      <c r="I152" s="2"/>
      <c r="K152" s="2"/>
      <c r="L152" s="2"/>
      <c r="M152" s="2"/>
      <c r="N152" s="2"/>
      <c r="O152" s="2"/>
      <c r="P152" s="2"/>
      <c r="R152" s="1">
        <f t="shared" si="14"/>
        <v>0</v>
      </c>
    </row>
    <row r="153" spans="1:256" x14ac:dyDescent="0.35">
      <c r="A153" s="2"/>
      <c r="B153" s="2"/>
      <c r="C153" s="2"/>
      <c r="D153" s="2"/>
      <c r="E153" s="2"/>
      <c r="F153" s="2"/>
      <c r="G153" s="2"/>
      <c r="H153" s="2"/>
      <c r="I153" s="2"/>
      <c r="K153" s="2"/>
      <c r="L153" s="2"/>
      <c r="M153" s="2"/>
      <c r="N153" s="2"/>
      <c r="O153" s="2"/>
      <c r="P153" s="2"/>
      <c r="R153" s="1">
        <f t="shared" si="14"/>
        <v>0</v>
      </c>
    </row>
    <row r="154" spans="1:256" x14ac:dyDescent="0.35">
      <c r="A154" s="2"/>
      <c r="B154" s="2"/>
      <c r="C154" s="2"/>
      <c r="D154" s="2"/>
      <c r="E154" s="2"/>
      <c r="F154" s="2"/>
      <c r="G154" s="2"/>
      <c r="H154" s="2"/>
      <c r="I154" s="2"/>
      <c r="K154" s="2"/>
      <c r="L154" s="2"/>
      <c r="M154" s="2"/>
      <c r="N154" s="2"/>
      <c r="O154" s="2"/>
      <c r="P154" s="2"/>
      <c r="R154" s="1">
        <f t="shared" si="14"/>
        <v>0</v>
      </c>
    </row>
    <row r="155" spans="1:256" x14ac:dyDescent="0.35">
      <c r="A155" s="2"/>
      <c r="B155" s="2"/>
      <c r="C155" s="2"/>
      <c r="D155" s="2"/>
      <c r="E155" s="2"/>
      <c r="F155" s="2"/>
      <c r="G155" s="2"/>
      <c r="H155" s="2"/>
      <c r="I155" s="2"/>
      <c r="K155" s="2"/>
      <c r="L155" s="2"/>
      <c r="M155" s="2"/>
      <c r="N155" s="2"/>
      <c r="O155" s="2"/>
      <c r="P155" s="2"/>
      <c r="R155" s="1">
        <f t="shared" si="14"/>
        <v>0</v>
      </c>
    </row>
    <row r="156" spans="1:256" x14ac:dyDescent="0.35">
      <c r="A156" s="2"/>
      <c r="B156" s="2"/>
      <c r="C156" s="2"/>
      <c r="D156" s="2"/>
      <c r="E156" s="2"/>
      <c r="F156" s="2"/>
      <c r="G156" s="2"/>
      <c r="H156" s="2"/>
      <c r="I156" s="2"/>
      <c r="K156" s="2"/>
      <c r="L156" s="2"/>
      <c r="M156" s="2"/>
      <c r="N156" s="2"/>
      <c r="O156" s="2"/>
      <c r="P156" s="2"/>
      <c r="R156" s="1">
        <f t="shared" si="14"/>
        <v>0</v>
      </c>
    </row>
    <row r="157" spans="1:256" x14ac:dyDescent="0.35">
      <c r="A157" s="2"/>
      <c r="B157" s="2"/>
      <c r="C157" s="2"/>
      <c r="D157" s="2"/>
      <c r="E157" s="2"/>
      <c r="F157" s="2"/>
      <c r="G157" s="2"/>
      <c r="H157" s="2"/>
      <c r="I157" s="2"/>
      <c r="K157" s="2"/>
      <c r="L157" s="2"/>
      <c r="M157" s="2"/>
      <c r="N157" s="2"/>
      <c r="O157" s="2"/>
      <c r="P157" s="2"/>
      <c r="Q157" s="11"/>
      <c r="R157" s="9">
        <f t="shared" si="14"/>
        <v>0</v>
      </c>
    </row>
    <row r="158" spans="1:256" ht="12.7" x14ac:dyDescent="0.4">
      <c r="A158" s="2"/>
      <c r="B158" s="2"/>
      <c r="C158" s="2"/>
      <c r="D158" s="2"/>
      <c r="E158" s="2"/>
      <c r="F158" s="2"/>
      <c r="G158" s="2"/>
      <c r="H158" s="2"/>
      <c r="I158" s="2"/>
      <c r="K158" s="2"/>
      <c r="L158" s="2"/>
      <c r="M158" s="2"/>
      <c r="N158" s="2"/>
      <c r="O158" s="2"/>
      <c r="P158" s="2"/>
      <c r="Q158" s="5"/>
      <c r="R158" s="5">
        <f>SUM(R148:R157)</f>
        <v>0</v>
      </c>
      <c r="S158" s="4"/>
      <c r="T158" s="4"/>
    </row>
    <row r="159" spans="1:256" x14ac:dyDescent="0.35">
      <c r="A159" s="2"/>
      <c r="B159" s="2"/>
      <c r="C159" s="2"/>
      <c r="D159" s="2"/>
      <c r="E159" s="2"/>
      <c r="F159" s="2"/>
      <c r="G159" s="2"/>
      <c r="H159" s="2"/>
      <c r="I159" s="2"/>
      <c r="K159" s="2"/>
      <c r="L159" s="2"/>
      <c r="M159" s="2"/>
      <c r="N159" s="2"/>
      <c r="O159" s="2"/>
      <c r="P159" s="2"/>
      <c r="R159" s="1">
        <f>SUM(K159:O159)</f>
        <v>0</v>
      </c>
    </row>
    <row r="160" spans="1:256" x14ac:dyDescent="0.35">
      <c r="A160" s="2"/>
      <c r="B160" s="2"/>
      <c r="C160" s="2"/>
      <c r="D160" s="2"/>
      <c r="E160" s="2"/>
      <c r="F160" s="2"/>
      <c r="G160" s="2"/>
      <c r="H160" s="2"/>
      <c r="I160" s="2"/>
      <c r="K160" s="2"/>
      <c r="L160" s="2"/>
      <c r="M160" s="2"/>
      <c r="N160" s="2"/>
      <c r="O160" s="2"/>
      <c r="P160" s="2"/>
      <c r="Q160" s="11"/>
      <c r="R160" s="9">
        <f>SUM(K160:O160)</f>
        <v>0</v>
      </c>
    </row>
    <row r="161" spans="1:28" x14ac:dyDescent="0.35">
      <c r="A161" s="2"/>
      <c r="B161" s="2"/>
      <c r="C161" s="2"/>
      <c r="D161" s="2"/>
      <c r="E161" s="2"/>
      <c r="F161" s="2"/>
      <c r="G161" s="2"/>
      <c r="H161" s="2"/>
      <c r="I161" s="2"/>
      <c r="K161" s="2"/>
      <c r="L161" s="2"/>
      <c r="M161" s="2"/>
      <c r="N161" s="2"/>
      <c r="O161" s="2"/>
      <c r="P161" s="2"/>
      <c r="Q161" s="5"/>
      <c r="R161" s="5">
        <f>R124-R158</f>
        <v>0</v>
      </c>
    </row>
    <row r="162" spans="1:28" x14ac:dyDescent="0.35">
      <c r="A162" s="2"/>
      <c r="B162" s="2"/>
      <c r="C162" s="2"/>
      <c r="D162" s="2"/>
      <c r="E162" s="2"/>
      <c r="F162" s="2"/>
      <c r="G162" s="2"/>
      <c r="H162" s="2"/>
      <c r="I162" s="2"/>
      <c r="K162" s="2"/>
      <c r="L162" s="2"/>
      <c r="M162" s="2"/>
      <c r="N162" s="2"/>
      <c r="O162" s="2"/>
      <c r="P162" s="2"/>
      <c r="R162" s="1">
        <f>SUM(K162:O162)</f>
        <v>0</v>
      </c>
    </row>
    <row r="163" spans="1:28" x14ac:dyDescent="0.35">
      <c r="A163" s="2"/>
      <c r="B163" s="2"/>
      <c r="C163" s="2"/>
      <c r="D163" s="2"/>
      <c r="E163" s="2"/>
      <c r="F163" s="2"/>
      <c r="G163" s="2"/>
      <c r="H163" s="2"/>
      <c r="I163" s="2"/>
      <c r="K163" s="2"/>
      <c r="L163" s="2"/>
      <c r="M163" s="2"/>
      <c r="N163" s="2"/>
      <c r="O163" s="2"/>
      <c r="P163" s="2"/>
      <c r="R163" s="1">
        <f>SUM(K163:O163)</f>
        <v>0</v>
      </c>
    </row>
    <row r="164" spans="1:28" x14ac:dyDescent="0.35">
      <c r="A164" s="2"/>
      <c r="B164" s="2"/>
      <c r="C164" s="2"/>
      <c r="D164" s="2"/>
      <c r="E164" s="2"/>
      <c r="F164" s="2"/>
      <c r="G164" s="2"/>
      <c r="H164" s="2"/>
      <c r="I164" s="2"/>
      <c r="K164" s="2"/>
      <c r="L164" s="2"/>
      <c r="M164" s="2"/>
      <c r="N164" s="2"/>
      <c r="O164" s="2"/>
      <c r="P164" s="2"/>
      <c r="R164" s="1">
        <f>SUM(K164:O164)</f>
        <v>0</v>
      </c>
    </row>
    <row r="165" spans="1:28" x14ac:dyDescent="0.35">
      <c r="A165" s="2"/>
      <c r="B165" s="2"/>
      <c r="C165" s="2"/>
      <c r="D165" s="2"/>
      <c r="E165" s="2"/>
      <c r="F165" s="2"/>
      <c r="G165" s="2"/>
      <c r="H165" s="2"/>
      <c r="I165" s="2"/>
      <c r="K165" s="2"/>
      <c r="L165" s="2"/>
      <c r="M165" s="2"/>
      <c r="N165" s="2"/>
      <c r="O165" s="2"/>
      <c r="P165" s="2"/>
      <c r="Q165" s="11"/>
      <c r="R165" s="9">
        <f>SUM(K165:O165)</f>
        <v>0</v>
      </c>
    </row>
    <row r="166" spans="1:28" x14ac:dyDescent="0.35">
      <c r="A166" s="2"/>
      <c r="B166" s="2"/>
      <c r="C166" s="2"/>
      <c r="D166" s="2"/>
      <c r="E166" s="2"/>
      <c r="F166" s="2"/>
      <c r="G166" s="2"/>
      <c r="H166" s="2"/>
      <c r="I166" s="2"/>
      <c r="K166" s="2"/>
      <c r="L166" s="2"/>
      <c r="M166" s="2"/>
      <c r="N166" s="2"/>
      <c r="O166" s="2"/>
      <c r="P166" s="2"/>
      <c r="Q166" s="5"/>
      <c r="R166" s="5">
        <f>SUM(R161:R165)</f>
        <v>0</v>
      </c>
    </row>
    <row r="167" spans="1:28" x14ac:dyDescent="0.35">
      <c r="A167" s="2"/>
      <c r="B167" s="2"/>
      <c r="C167" s="2"/>
      <c r="D167" s="2"/>
      <c r="E167" s="2"/>
      <c r="F167" s="2"/>
      <c r="G167" s="2"/>
      <c r="H167" s="2"/>
      <c r="I167" s="2"/>
      <c r="K167" s="2"/>
      <c r="L167" s="2"/>
      <c r="M167" s="2"/>
      <c r="N167" s="2"/>
      <c r="O167" s="2"/>
      <c r="P167" s="2"/>
      <c r="R167" s="1">
        <f t="shared" ref="R167:R172" si="15">SUM(K167:O167)</f>
        <v>0</v>
      </c>
    </row>
    <row r="168" spans="1:28" x14ac:dyDescent="0.35">
      <c r="A168" s="2"/>
      <c r="B168" s="2"/>
      <c r="C168" s="2"/>
      <c r="D168" s="2"/>
      <c r="E168" s="2"/>
      <c r="F168" s="2"/>
      <c r="G168" s="2"/>
      <c r="H168" s="2"/>
      <c r="I168" s="2"/>
      <c r="K168" s="2"/>
      <c r="L168" s="2"/>
      <c r="M168" s="2"/>
      <c r="N168" s="2"/>
      <c r="O168" s="2"/>
      <c r="P168" s="2"/>
      <c r="R168" s="1">
        <f t="shared" si="15"/>
        <v>0</v>
      </c>
    </row>
    <row r="169" spans="1:28" x14ac:dyDescent="0.35">
      <c r="A169" s="2"/>
      <c r="B169" s="2"/>
      <c r="C169" s="2"/>
      <c r="D169" s="2"/>
      <c r="E169" s="2"/>
      <c r="F169" s="2"/>
      <c r="G169" s="2"/>
      <c r="H169" s="2"/>
      <c r="I169" s="2"/>
      <c r="K169" s="2"/>
      <c r="L169" s="2"/>
      <c r="M169" s="2"/>
      <c r="N169" s="2"/>
      <c r="O169" s="2"/>
      <c r="P169" s="2"/>
      <c r="R169" s="1">
        <f t="shared" si="15"/>
        <v>0</v>
      </c>
    </row>
    <row r="170" spans="1:28" x14ac:dyDescent="0.35">
      <c r="A170" s="2"/>
      <c r="B170" s="2"/>
      <c r="C170" s="2"/>
      <c r="D170" s="2"/>
      <c r="E170" s="2"/>
      <c r="F170" s="2"/>
      <c r="G170" s="2"/>
      <c r="H170" s="2"/>
      <c r="I170" s="2"/>
      <c r="K170" s="2"/>
      <c r="L170" s="2"/>
      <c r="M170" s="2"/>
      <c r="N170" s="2"/>
      <c r="O170" s="2"/>
      <c r="P170" s="2"/>
      <c r="R170" s="1">
        <f t="shared" si="15"/>
        <v>0</v>
      </c>
    </row>
    <row r="171" spans="1:28" x14ac:dyDescent="0.35">
      <c r="A171" s="2"/>
      <c r="B171" s="2"/>
      <c r="C171" s="2"/>
      <c r="D171" s="2"/>
      <c r="E171" s="2"/>
      <c r="F171" s="2"/>
      <c r="G171" s="2"/>
      <c r="H171" s="2"/>
      <c r="I171" s="2"/>
      <c r="K171" s="2"/>
      <c r="L171" s="2"/>
      <c r="M171" s="2"/>
      <c r="N171" s="2"/>
      <c r="O171" s="2"/>
      <c r="P171" s="2"/>
      <c r="R171" s="1">
        <f t="shared" si="15"/>
        <v>0</v>
      </c>
    </row>
    <row r="172" spans="1:28" x14ac:dyDescent="0.35">
      <c r="A172" s="2"/>
      <c r="B172" s="2"/>
      <c r="C172" s="2"/>
      <c r="D172" s="2"/>
      <c r="E172" s="2"/>
      <c r="F172" s="2"/>
      <c r="G172" s="2"/>
      <c r="H172" s="2"/>
      <c r="I172" s="2"/>
      <c r="K172" s="2"/>
      <c r="L172" s="2"/>
      <c r="M172" s="2"/>
      <c r="N172" s="2"/>
      <c r="O172" s="2"/>
      <c r="P172" s="2"/>
      <c r="Q172" s="11"/>
      <c r="R172" s="9">
        <f t="shared" si="15"/>
        <v>0</v>
      </c>
    </row>
    <row r="173" spans="1:28" ht="12.7" x14ac:dyDescent="0.4">
      <c r="A173" s="2"/>
      <c r="B173" s="2"/>
      <c r="C173" s="2"/>
      <c r="D173" s="2"/>
      <c r="E173" s="2"/>
      <c r="F173" s="2"/>
      <c r="G173" s="2"/>
      <c r="H173" s="2"/>
      <c r="I173" s="2"/>
      <c r="K173" s="2"/>
      <c r="L173" s="2"/>
      <c r="M173" s="2"/>
      <c r="N173" s="2"/>
      <c r="O173" s="2"/>
      <c r="P173" s="2"/>
      <c r="Q173" s="5"/>
      <c r="R173" s="5">
        <f>SUM(R166:R172)</f>
        <v>0</v>
      </c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x14ac:dyDescent="0.35">
      <c r="A174" s="2"/>
      <c r="B174" s="2"/>
      <c r="C174" s="2"/>
      <c r="D174" s="2"/>
      <c r="E174" s="2"/>
      <c r="F174" s="2"/>
      <c r="G174" s="2"/>
      <c r="H174" s="2"/>
      <c r="I174" s="2"/>
      <c r="K174" s="2"/>
      <c r="L174" s="2"/>
      <c r="M174" s="2"/>
      <c r="N174" s="2"/>
      <c r="O174" s="2"/>
      <c r="P174" s="2"/>
      <c r="R174" s="1">
        <f t="shared" ref="R174:R196" si="16">SUM(K174:O174)</f>
        <v>0</v>
      </c>
    </row>
    <row r="175" spans="1:28" ht="12.7" x14ac:dyDescent="0.4">
      <c r="A175" s="2"/>
      <c r="B175" s="2"/>
      <c r="C175" s="2"/>
      <c r="D175" s="2"/>
      <c r="E175" s="2"/>
      <c r="F175" s="2"/>
      <c r="G175" s="2"/>
      <c r="H175" s="2"/>
      <c r="I175" s="2"/>
      <c r="K175" s="2"/>
      <c r="L175" s="2"/>
      <c r="M175" s="2"/>
      <c r="N175" s="2"/>
      <c r="O175" s="2"/>
      <c r="P175" s="2"/>
      <c r="Q175" s="5"/>
      <c r="R175" s="5">
        <f t="shared" si="16"/>
        <v>0</v>
      </c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x14ac:dyDescent="0.35">
      <c r="A176" s="2"/>
      <c r="B176" s="2"/>
      <c r="C176" s="2"/>
      <c r="D176" s="2"/>
      <c r="E176" s="2"/>
      <c r="F176" s="2"/>
      <c r="G176" s="2"/>
      <c r="H176" s="2"/>
      <c r="I176" s="2"/>
      <c r="K176" s="2"/>
      <c r="L176" s="2"/>
      <c r="M176" s="2"/>
      <c r="N176" s="2"/>
      <c r="O176" s="2"/>
      <c r="P176" s="2"/>
      <c r="Q176" s="10"/>
      <c r="R176" s="9">
        <f t="shared" si="16"/>
        <v>0</v>
      </c>
    </row>
    <row r="177" spans="1:28" ht="12.7" x14ac:dyDescent="0.4">
      <c r="A177" s="2"/>
      <c r="B177" s="2"/>
      <c r="C177" s="2"/>
      <c r="D177" s="2"/>
      <c r="E177" s="2"/>
      <c r="F177" s="2"/>
      <c r="G177" s="2"/>
      <c r="H177" s="2"/>
      <c r="I177" s="2"/>
      <c r="K177" s="2"/>
      <c r="L177" s="2"/>
      <c r="M177" s="2"/>
      <c r="N177" s="2"/>
      <c r="O177" s="2"/>
      <c r="P177" s="2"/>
      <c r="Q177" s="5"/>
      <c r="R177" s="5">
        <f t="shared" si="16"/>
        <v>0</v>
      </c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x14ac:dyDescent="0.35">
      <c r="A178" s="2"/>
      <c r="B178" s="2"/>
      <c r="C178" s="2"/>
      <c r="D178" s="2"/>
      <c r="E178" s="2"/>
      <c r="F178" s="2"/>
      <c r="G178" s="2"/>
      <c r="H178" s="2"/>
      <c r="I178" s="2"/>
      <c r="K178" s="2"/>
      <c r="L178" s="2"/>
      <c r="M178" s="2"/>
      <c r="N178" s="2"/>
      <c r="O178" s="2"/>
      <c r="P178" s="2"/>
      <c r="Q178" s="8"/>
      <c r="R178" s="7">
        <f t="shared" si="16"/>
        <v>0</v>
      </c>
    </row>
    <row r="179" spans="1:28" x14ac:dyDescent="0.35">
      <c r="A179" s="2"/>
      <c r="B179" s="2"/>
      <c r="C179" s="2"/>
      <c r="D179" s="2"/>
      <c r="E179" s="2"/>
      <c r="F179" s="2"/>
      <c r="G179" s="2"/>
      <c r="H179" s="2"/>
      <c r="I179" s="2"/>
      <c r="K179" s="2"/>
      <c r="L179" s="2"/>
      <c r="M179" s="2"/>
      <c r="N179" s="2"/>
      <c r="O179" s="2"/>
      <c r="P179" s="2"/>
      <c r="R179" s="1">
        <f t="shared" si="16"/>
        <v>0</v>
      </c>
    </row>
    <row r="180" spans="1:28" x14ac:dyDescent="0.35">
      <c r="A180" s="2"/>
      <c r="B180" s="2"/>
      <c r="C180" s="2"/>
      <c r="D180" s="2"/>
      <c r="E180" s="2"/>
      <c r="F180" s="2"/>
      <c r="G180" s="2"/>
      <c r="H180" s="2"/>
      <c r="I180" s="2"/>
      <c r="K180" s="2"/>
      <c r="L180" s="2"/>
      <c r="M180" s="2"/>
      <c r="N180" s="2"/>
      <c r="O180" s="2"/>
      <c r="P180" s="2"/>
      <c r="R180" s="1">
        <f t="shared" si="16"/>
        <v>0</v>
      </c>
    </row>
    <row r="181" spans="1:28" x14ac:dyDescent="0.35">
      <c r="A181" s="2"/>
      <c r="B181" s="2"/>
      <c r="C181" s="2"/>
      <c r="D181" s="2"/>
      <c r="E181" s="2"/>
      <c r="F181" s="2"/>
      <c r="G181" s="2"/>
      <c r="H181" s="2"/>
      <c r="I181" s="2"/>
      <c r="K181" s="2"/>
      <c r="L181" s="2"/>
      <c r="M181" s="2"/>
      <c r="N181" s="2"/>
      <c r="O181" s="2"/>
      <c r="P181" s="2"/>
      <c r="R181" s="1">
        <f t="shared" si="16"/>
        <v>0</v>
      </c>
    </row>
    <row r="182" spans="1:28" x14ac:dyDescent="0.35">
      <c r="A182" s="2"/>
      <c r="B182" s="2"/>
      <c r="C182" s="2"/>
      <c r="D182" s="2"/>
      <c r="E182" s="2"/>
      <c r="F182" s="2"/>
      <c r="G182" s="2"/>
      <c r="H182" s="2"/>
      <c r="I182" s="2"/>
      <c r="K182" s="2"/>
      <c r="L182" s="2"/>
      <c r="M182" s="2"/>
      <c r="N182" s="2"/>
      <c r="O182" s="2"/>
      <c r="P182" s="2"/>
      <c r="R182" s="1">
        <f t="shared" si="16"/>
        <v>0</v>
      </c>
    </row>
    <row r="183" spans="1:28" x14ac:dyDescent="0.35">
      <c r="A183" s="2"/>
      <c r="B183" s="2"/>
      <c r="C183" s="2"/>
      <c r="D183" s="2"/>
      <c r="E183" s="2"/>
      <c r="F183" s="2"/>
      <c r="G183" s="2"/>
      <c r="H183" s="2"/>
      <c r="I183" s="2"/>
      <c r="K183" s="2"/>
      <c r="L183" s="2"/>
      <c r="M183" s="2"/>
      <c r="N183" s="2"/>
      <c r="O183" s="2"/>
      <c r="P183" s="2"/>
      <c r="R183" s="1">
        <f t="shared" si="16"/>
        <v>0</v>
      </c>
    </row>
    <row r="184" spans="1:28" x14ac:dyDescent="0.35">
      <c r="A184" s="2"/>
      <c r="B184" s="2"/>
      <c r="C184" s="2"/>
      <c r="D184" s="2"/>
      <c r="E184" s="2"/>
      <c r="F184" s="2"/>
      <c r="G184" s="2"/>
      <c r="H184" s="2"/>
      <c r="I184" s="2"/>
      <c r="K184" s="2"/>
      <c r="L184" s="2"/>
      <c r="M184" s="2"/>
      <c r="N184" s="2"/>
      <c r="O184" s="2"/>
      <c r="P184" s="2"/>
      <c r="R184" s="1">
        <f t="shared" si="16"/>
        <v>0</v>
      </c>
    </row>
    <row r="185" spans="1:28" x14ac:dyDescent="0.35">
      <c r="A185" s="2"/>
      <c r="B185" s="2"/>
      <c r="C185" s="2"/>
      <c r="D185" s="2"/>
      <c r="E185" s="2"/>
      <c r="F185" s="2"/>
      <c r="G185" s="2"/>
      <c r="H185" s="2"/>
      <c r="I185" s="2"/>
      <c r="K185" s="2"/>
      <c r="L185" s="2"/>
      <c r="M185" s="2"/>
      <c r="N185" s="2"/>
      <c r="O185" s="2"/>
      <c r="P185" s="2"/>
      <c r="R185" s="1">
        <f t="shared" si="16"/>
        <v>0</v>
      </c>
    </row>
    <row r="186" spans="1:28" x14ac:dyDescent="0.35">
      <c r="A186" s="2"/>
      <c r="B186" s="2"/>
      <c r="C186" s="2"/>
      <c r="D186" s="2"/>
      <c r="E186" s="2"/>
      <c r="F186" s="2"/>
      <c r="G186" s="2"/>
      <c r="H186" s="2"/>
      <c r="I186" s="2"/>
      <c r="K186" s="2"/>
      <c r="L186" s="2"/>
      <c r="M186" s="2"/>
      <c r="N186" s="2"/>
      <c r="O186" s="2"/>
      <c r="P186" s="2"/>
      <c r="R186" s="1">
        <f t="shared" si="16"/>
        <v>0</v>
      </c>
    </row>
    <row r="187" spans="1:28" x14ac:dyDescent="0.35">
      <c r="A187" s="2"/>
      <c r="B187" s="2"/>
      <c r="C187" s="2"/>
      <c r="D187" s="2"/>
      <c r="E187" s="2"/>
      <c r="F187" s="2"/>
      <c r="G187" s="2"/>
      <c r="H187" s="2"/>
      <c r="I187" s="2"/>
      <c r="K187" s="2"/>
      <c r="L187" s="2"/>
      <c r="M187" s="2"/>
      <c r="N187" s="2"/>
      <c r="O187" s="2"/>
      <c r="P187" s="2"/>
      <c r="R187" s="1">
        <f t="shared" si="16"/>
        <v>0</v>
      </c>
    </row>
    <row r="188" spans="1:28" x14ac:dyDescent="0.35">
      <c r="A188" s="2"/>
      <c r="B188" s="2"/>
      <c r="C188" s="2"/>
      <c r="D188" s="2"/>
      <c r="E188" s="2"/>
      <c r="F188" s="2"/>
      <c r="G188" s="2"/>
      <c r="H188" s="2"/>
      <c r="I188" s="2"/>
      <c r="K188" s="2"/>
      <c r="L188" s="2"/>
      <c r="M188" s="2"/>
      <c r="N188" s="2"/>
      <c r="O188" s="2"/>
      <c r="P188" s="2"/>
      <c r="R188" s="1">
        <f t="shared" si="16"/>
        <v>0</v>
      </c>
    </row>
    <row r="189" spans="1:28" x14ac:dyDescent="0.35">
      <c r="A189" s="2"/>
      <c r="B189" s="2"/>
      <c r="C189" s="2"/>
      <c r="D189" s="2"/>
      <c r="E189" s="2"/>
      <c r="F189" s="2"/>
      <c r="G189" s="2"/>
      <c r="H189" s="2"/>
      <c r="I189" s="2"/>
      <c r="K189" s="2"/>
      <c r="L189" s="2"/>
      <c r="M189" s="2"/>
      <c r="N189" s="2"/>
      <c r="O189" s="2"/>
      <c r="P189" s="2"/>
      <c r="R189" s="1">
        <f t="shared" si="16"/>
        <v>0</v>
      </c>
    </row>
    <row r="190" spans="1:28" x14ac:dyDescent="0.35">
      <c r="A190" s="2"/>
      <c r="B190" s="2"/>
      <c r="C190" s="2"/>
      <c r="D190" s="2"/>
      <c r="E190" s="2"/>
      <c r="F190" s="2"/>
      <c r="G190" s="2"/>
      <c r="H190" s="2"/>
      <c r="I190" s="2"/>
      <c r="K190" s="2"/>
      <c r="L190" s="2"/>
      <c r="M190" s="2"/>
      <c r="N190" s="2"/>
      <c r="O190" s="2"/>
      <c r="P190" s="2"/>
      <c r="R190" s="1">
        <f t="shared" si="16"/>
        <v>0</v>
      </c>
    </row>
    <row r="191" spans="1:28" x14ac:dyDescent="0.35">
      <c r="A191" s="2"/>
      <c r="B191" s="2"/>
      <c r="C191" s="2"/>
      <c r="D191" s="2"/>
      <c r="E191" s="2"/>
      <c r="F191" s="2"/>
      <c r="G191" s="2"/>
      <c r="H191" s="2"/>
      <c r="I191" s="2"/>
      <c r="K191" s="2"/>
      <c r="L191" s="2"/>
      <c r="M191" s="2"/>
      <c r="N191" s="2"/>
      <c r="O191" s="2"/>
      <c r="P191" s="2"/>
      <c r="R191" s="1">
        <f t="shared" si="16"/>
        <v>0</v>
      </c>
    </row>
    <row r="192" spans="1:28" x14ac:dyDescent="0.35">
      <c r="A192" s="2"/>
      <c r="B192" s="2"/>
      <c r="C192" s="2"/>
      <c r="D192" s="2"/>
      <c r="E192" s="2"/>
      <c r="F192" s="2"/>
      <c r="G192" s="2"/>
      <c r="H192" s="2"/>
      <c r="I192" s="2"/>
      <c r="K192" s="2"/>
      <c r="L192" s="2"/>
      <c r="M192" s="2"/>
      <c r="N192" s="2"/>
      <c r="O192" s="2"/>
      <c r="P192" s="2"/>
      <c r="R192" s="1">
        <f t="shared" si="16"/>
        <v>0</v>
      </c>
    </row>
    <row r="193" spans="1:256" x14ac:dyDescent="0.35">
      <c r="A193" s="2"/>
      <c r="B193" s="2"/>
      <c r="C193" s="2"/>
      <c r="D193" s="2"/>
      <c r="E193" s="2"/>
      <c r="F193" s="2"/>
      <c r="G193" s="2"/>
      <c r="H193" s="2"/>
      <c r="I193" s="2"/>
      <c r="K193" s="2"/>
      <c r="L193" s="2"/>
      <c r="M193" s="2"/>
      <c r="N193" s="2"/>
      <c r="O193" s="2"/>
      <c r="P193" s="2"/>
      <c r="R193" s="1">
        <f t="shared" si="16"/>
        <v>0</v>
      </c>
    </row>
    <row r="194" spans="1:256" x14ac:dyDescent="0.35">
      <c r="A194" s="2"/>
      <c r="B194" s="2"/>
      <c r="C194" s="2"/>
      <c r="D194" s="2"/>
      <c r="E194" s="2"/>
      <c r="F194" s="2"/>
      <c r="G194" s="2"/>
      <c r="H194" s="2"/>
      <c r="I194" s="2"/>
      <c r="K194" s="2"/>
      <c r="L194" s="2"/>
      <c r="M194" s="2"/>
      <c r="N194" s="2"/>
      <c r="O194" s="2"/>
      <c r="P194" s="2"/>
      <c r="R194" s="1">
        <f t="shared" si="16"/>
        <v>0</v>
      </c>
    </row>
    <row r="195" spans="1:256" x14ac:dyDescent="0.35">
      <c r="A195" s="2"/>
      <c r="B195" s="2"/>
      <c r="C195" s="2"/>
      <c r="D195" s="2"/>
      <c r="E195" s="2"/>
      <c r="F195" s="2"/>
      <c r="G195" s="2"/>
      <c r="H195" s="2"/>
      <c r="I195" s="2"/>
      <c r="K195" s="2"/>
      <c r="L195" s="2"/>
      <c r="M195" s="2"/>
      <c r="N195" s="2"/>
      <c r="O195" s="2"/>
      <c r="P195" s="2"/>
      <c r="R195" s="1">
        <f t="shared" si="16"/>
        <v>0</v>
      </c>
    </row>
    <row r="196" spans="1:256" x14ac:dyDescent="0.35">
      <c r="A196" s="2"/>
      <c r="B196" s="2"/>
      <c r="C196" s="2"/>
      <c r="D196" s="2"/>
      <c r="E196" s="2"/>
      <c r="F196" s="2"/>
      <c r="G196" s="2"/>
      <c r="H196" s="2"/>
      <c r="I196" s="2"/>
      <c r="K196" s="2"/>
      <c r="L196" s="2"/>
      <c r="M196" s="2"/>
      <c r="N196" s="2"/>
      <c r="O196" s="2"/>
      <c r="P196" s="2"/>
      <c r="R196" s="1">
        <f t="shared" si="16"/>
        <v>0</v>
      </c>
    </row>
    <row r="197" spans="1:256" x14ac:dyDescent="0.35">
      <c r="A197" s="2"/>
      <c r="B197" s="2"/>
      <c r="C197" s="2"/>
      <c r="D197" s="2"/>
      <c r="E197" s="2"/>
      <c r="F197" s="2"/>
      <c r="G197" s="2"/>
      <c r="H197" s="2"/>
      <c r="I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 s="2"/>
      <c r="FS197" s="2"/>
      <c r="FT197" s="2"/>
      <c r="FU197" s="2"/>
      <c r="FV197" s="2"/>
      <c r="FW197" s="2"/>
      <c r="FX197" s="2"/>
      <c r="FY197" s="2"/>
      <c r="FZ197" s="2"/>
      <c r="GA197" s="2"/>
      <c r="GB197" s="2"/>
      <c r="GC197" s="2"/>
      <c r="GD197" s="2"/>
      <c r="GE197" s="2"/>
      <c r="GF197" s="2"/>
      <c r="GG197" s="2"/>
      <c r="GH197" s="2"/>
      <c r="GI197" s="2"/>
      <c r="GJ197" s="2"/>
      <c r="GK197" s="2"/>
      <c r="GL197" s="2"/>
      <c r="GM197" s="2"/>
      <c r="GN197" s="2"/>
      <c r="GO197" s="2"/>
      <c r="GP197" s="2"/>
      <c r="GQ197" s="2"/>
      <c r="GR197" s="2"/>
      <c r="GS197" s="2"/>
      <c r="GT197" s="2"/>
      <c r="GU197" s="2"/>
      <c r="GV197" s="2"/>
      <c r="GW197" s="2"/>
      <c r="GX197" s="2"/>
      <c r="GY197" s="2"/>
      <c r="GZ197" s="2"/>
      <c r="HA197" s="2"/>
      <c r="HB197" s="2"/>
      <c r="HC197" s="2"/>
      <c r="HD197" s="2"/>
      <c r="HE197" s="2"/>
      <c r="HF197" s="2"/>
      <c r="HG197" s="2"/>
      <c r="HH197" s="2"/>
      <c r="HI197" s="2"/>
      <c r="HJ197" s="2"/>
      <c r="HK197" s="2"/>
      <c r="HL197" s="2"/>
      <c r="HM197" s="2"/>
      <c r="HN197" s="2"/>
      <c r="HO197" s="2"/>
      <c r="HP197" s="2"/>
      <c r="HQ197" s="2"/>
      <c r="HR197" s="2"/>
      <c r="HS197" s="2"/>
      <c r="HT197" s="2"/>
      <c r="HU197" s="2"/>
      <c r="HV197" s="2"/>
      <c r="HW197" s="2"/>
      <c r="HX197" s="2"/>
      <c r="HY197" s="2"/>
      <c r="HZ197" s="2"/>
      <c r="IA197" s="2"/>
      <c r="IB197" s="2"/>
      <c r="IC197" s="2"/>
      <c r="ID197" s="2"/>
      <c r="IE197" s="2"/>
      <c r="IF197" s="2"/>
      <c r="IG197" s="2"/>
      <c r="IH197" s="2"/>
      <c r="II197" s="2"/>
      <c r="IJ197" s="2"/>
      <c r="IK197" s="2"/>
      <c r="IL197" s="2"/>
      <c r="IM197" s="2"/>
      <c r="IN197" s="2"/>
      <c r="IO197" s="2"/>
      <c r="IP197" s="2"/>
      <c r="IQ197" s="2"/>
      <c r="IR197" s="2"/>
      <c r="IS197" s="2"/>
      <c r="IT197" s="2"/>
      <c r="IU197" s="2"/>
      <c r="IV197" s="2"/>
    </row>
    <row r="198" spans="1:256" x14ac:dyDescent="0.35">
      <c r="A198" s="2"/>
      <c r="B198" s="2"/>
      <c r="C198" s="2"/>
      <c r="D198" s="2"/>
      <c r="E198" s="2"/>
      <c r="F198" s="2"/>
      <c r="G198" s="2"/>
      <c r="H198" s="2"/>
      <c r="I198" s="2"/>
      <c r="K198" s="2"/>
      <c r="L198" s="2"/>
      <c r="M198" s="2"/>
      <c r="N198" s="2"/>
      <c r="O198" s="2"/>
      <c r="P198" s="2"/>
      <c r="Q198" s="6"/>
      <c r="R198" s="1">
        <f>SUM(K198:O198)</f>
        <v>0</v>
      </c>
    </row>
    <row r="199" spans="1:256" ht="12.7" x14ac:dyDescent="0.4">
      <c r="A199" s="2"/>
      <c r="B199" s="2"/>
      <c r="C199" s="2"/>
      <c r="D199" s="2"/>
      <c r="E199" s="2"/>
      <c r="F199" s="2"/>
      <c r="G199" s="2"/>
      <c r="H199" s="2"/>
      <c r="I199" s="2"/>
      <c r="K199" s="2"/>
      <c r="L199" s="2"/>
      <c r="M199" s="2"/>
      <c r="N199" s="2"/>
      <c r="O199" s="2"/>
      <c r="P199" s="2"/>
      <c r="Q199" s="5"/>
      <c r="R199" s="1">
        <f>SUM(K199:O199)</f>
        <v>0</v>
      </c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56" x14ac:dyDescent="0.35">
      <c r="A200" s="2"/>
      <c r="B200" s="2"/>
      <c r="C200" s="2"/>
      <c r="D200" s="2"/>
      <c r="E200" s="2"/>
      <c r="F200" s="2"/>
      <c r="G200" s="2"/>
      <c r="H200" s="2"/>
      <c r="I200" s="2"/>
      <c r="K200" s="2"/>
      <c r="L200" s="2"/>
      <c r="M200" s="2"/>
      <c r="N200" s="2"/>
      <c r="O200" s="2"/>
      <c r="P200" s="2"/>
      <c r="Q200" s="3"/>
      <c r="R200" s="3"/>
    </row>
    <row r="201" spans="1:256" x14ac:dyDescent="0.35">
      <c r="A201" s="2"/>
      <c r="B201" s="2"/>
      <c r="C201" s="2"/>
      <c r="D201" s="2"/>
      <c r="E201" s="2"/>
      <c r="F201" s="2"/>
      <c r="G201" s="2"/>
      <c r="H201" s="2"/>
      <c r="I201" s="2"/>
      <c r="K201" s="2"/>
      <c r="L201" s="2"/>
      <c r="M201" s="2"/>
      <c r="N201" s="2"/>
      <c r="O201" s="2"/>
      <c r="P201" s="2"/>
    </row>
    <row r="202" spans="1:256" x14ac:dyDescent="0.35">
      <c r="A202" s="2"/>
      <c r="B202" s="2"/>
      <c r="C202" s="2"/>
      <c r="D202" s="2"/>
      <c r="E202" s="2"/>
      <c r="F202" s="2"/>
      <c r="G202" s="2"/>
      <c r="H202" s="2"/>
      <c r="I202" s="2"/>
      <c r="K202" s="2"/>
      <c r="L202" s="2"/>
      <c r="M202" s="2"/>
      <c r="N202" s="2"/>
      <c r="O202" s="2"/>
      <c r="P202" s="2"/>
    </row>
    <row r="203" spans="1:256" x14ac:dyDescent="0.35">
      <c r="A203" s="2"/>
      <c r="B203" s="2"/>
      <c r="C203" s="2"/>
      <c r="D203" s="2"/>
      <c r="E203" s="2"/>
      <c r="F203" s="2"/>
      <c r="G203" s="2"/>
      <c r="H203" s="2"/>
      <c r="I203" s="2"/>
      <c r="K203" s="2"/>
      <c r="L203" s="2"/>
      <c r="M203" s="2"/>
      <c r="N203" s="2"/>
      <c r="O203" s="2"/>
      <c r="P203" s="2"/>
    </row>
    <row r="204" spans="1:256" x14ac:dyDescent="0.35">
      <c r="A204" s="2"/>
      <c r="B204" s="2"/>
      <c r="C204" s="2"/>
      <c r="D204" s="2"/>
      <c r="E204" s="2"/>
      <c r="F204" s="2"/>
      <c r="G204" s="2"/>
      <c r="H204" s="2"/>
      <c r="I204" s="2"/>
      <c r="K204" s="2"/>
      <c r="L204" s="2"/>
      <c r="M204" s="2"/>
      <c r="N204" s="2"/>
      <c r="O204" s="2"/>
      <c r="P204" s="2"/>
    </row>
    <row r="205" spans="1:256" x14ac:dyDescent="0.35">
      <c r="A205" s="2"/>
      <c r="B205" s="2"/>
      <c r="C205" s="2"/>
      <c r="D205" s="2"/>
      <c r="E205" s="2"/>
      <c r="F205" s="2"/>
      <c r="G205" s="2"/>
      <c r="H205" s="2"/>
      <c r="I205" s="2"/>
      <c r="K205" s="2"/>
      <c r="L205" s="2"/>
      <c r="M205" s="2"/>
      <c r="N205" s="2"/>
      <c r="O205" s="2"/>
      <c r="P205" s="2"/>
    </row>
    <row r="206" spans="1:256" x14ac:dyDescent="0.35">
      <c r="A206" s="2"/>
      <c r="B206" s="2"/>
      <c r="C206" s="2"/>
      <c r="D206" s="2"/>
      <c r="E206" s="2"/>
      <c r="F206" s="2"/>
      <c r="G206" s="2"/>
      <c r="H206" s="2"/>
      <c r="I206" s="2"/>
      <c r="K206" s="2"/>
      <c r="L206" s="2"/>
      <c r="M206" s="2"/>
      <c r="N206" s="2"/>
      <c r="O206" s="2"/>
      <c r="P206" s="2"/>
    </row>
    <row r="207" spans="1:256" x14ac:dyDescent="0.35">
      <c r="A207" s="2"/>
      <c r="B207" s="2"/>
      <c r="C207" s="2"/>
      <c r="D207" s="2"/>
      <c r="E207" s="2"/>
      <c r="F207" s="2"/>
      <c r="G207" s="2"/>
      <c r="H207" s="2"/>
      <c r="I207" s="2"/>
      <c r="K207" s="2"/>
      <c r="L207" s="2"/>
      <c r="M207" s="2"/>
      <c r="N207" s="2"/>
      <c r="O207" s="2"/>
      <c r="P207" s="2"/>
    </row>
    <row r="208" spans="1:256" x14ac:dyDescent="0.35">
      <c r="A208" s="2"/>
      <c r="B208" s="2"/>
      <c r="C208" s="2"/>
      <c r="D208" s="2"/>
      <c r="E208" s="2"/>
      <c r="F208" s="2"/>
      <c r="G208" s="2"/>
      <c r="H208" s="2"/>
      <c r="I208" s="2"/>
      <c r="K208" s="2"/>
      <c r="L208" s="2"/>
      <c r="M208" s="2"/>
      <c r="N208" s="2"/>
      <c r="O208" s="2"/>
      <c r="P208" s="2"/>
    </row>
    <row r="209" spans="1:16" x14ac:dyDescent="0.35">
      <c r="A209" s="2"/>
      <c r="B209" s="2"/>
      <c r="C209" s="2"/>
      <c r="D209" s="2"/>
      <c r="E209" s="2"/>
      <c r="F209" s="2"/>
      <c r="G209" s="2"/>
      <c r="H209" s="2"/>
      <c r="I209" s="2"/>
      <c r="K209" s="2"/>
      <c r="L209" s="2"/>
      <c r="M209" s="2"/>
      <c r="N209" s="2"/>
      <c r="O209" s="2"/>
      <c r="P209" s="2"/>
    </row>
    <row r="210" spans="1:16" x14ac:dyDescent="0.35">
      <c r="A210" s="2"/>
      <c r="B210" s="2"/>
      <c r="C210" s="2"/>
      <c r="D210" s="2"/>
      <c r="E210" s="2"/>
      <c r="F210" s="2"/>
      <c r="G210" s="2"/>
      <c r="H210" s="2"/>
      <c r="I210" s="2"/>
      <c r="K210" s="2"/>
      <c r="L210" s="2"/>
      <c r="M210" s="2"/>
      <c r="N210" s="2"/>
      <c r="O210" s="2"/>
      <c r="P210" s="2"/>
    </row>
    <row r="211" spans="1:16" x14ac:dyDescent="0.35">
      <c r="A211" s="2"/>
      <c r="B211" s="2"/>
      <c r="C211" s="2"/>
      <c r="D211" s="2"/>
      <c r="E211" s="2"/>
      <c r="F211" s="2"/>
      <c r="G211" s="2"/>
      <c r="H211" s="2"/>
      <c r="I211" s="2"/>
      <c r="K211" s="2"/>
      <c r="L211" s="2"/>
      <c r="M211" s="2"/>
      <c r="N211" s="2"/>
      <c r="O211" s="2"/>
      <c r="P211" s="2"/>
    </row>
    <row r="212" spans="1:16" x14ac:dyDescent="0.35">
      <c r="A212" s="2"/>
      <c r="B212" s="2"/>
      <c r="C212" s="2"/>
      <c r="D212" s="2"/>
      <c r="E212" s="2"/>
      <c r="F212" s="2"/>
      <c r="G212" s="2"/>
      <c r="H212" s="2"/>
      <c r="I212" s="2"/>
      <c r="K212" s="2"/>
      <c r="L212" s="2"/>
      <c r="M212" s="2"/>
      <c r="N212" s="2"/>
      <c r="O212" s="2"/>
      <c r="P212" s="2"/>
    </row>
    <row r="213" spans="1:16" x14ac:dyDescent="0.35">
      <c r="A213" s="2"/>
      <c r="B213" s="2"/>
      <c r="C213" s="2"/>
      <c r="D213" s="2"/>
      <c r="E213" s="2"/>
      <c r="F213" s="2"/>
      <c r="G213" s="2"/>
      <c r="H213" s="2"/>
      <c r="I213" s="2"/>
      <c r="K213" s="2"/>
      <c r="L213" s="2"/>
      <c r="M213" s="2"/>
      <c r="N213" s="2"/>
      <c r="O213" s="2"/>
      <c r="P213" s="2"/>
    </row>
    <row r="214" spans="1:16" x14ac:dyDescent="0.35">
      <c r="A214" s="2"/>
      <c r="B214" s="2"/>
      <c r="C214" s="2"/>
      <c r="D214" s="2"/>
      <c r="E214" s="2"/>
      <c r="F214" s="2"/>
      <c r="G214" s="2"/>
      <c r="H214" s="2"/>
      <c r="I214" s="2"/>
      <c r="K214" s="2"/>
      <c r="L214" s="2"/>
      <c r="M214" s="2"/>
      <c r="N214" s="2"/>
      <c r="O214" s="2"/>
      <c r="P214" s="2"/>
    </row>
    <row r="215" spans="1:16" x14ac:dyDescent="0.35">
      <c r="A215" s="2"/>
      <c r="B215" s="2"/>
      <c r="C215" s="2"/>
      <c r="D215" s="2"/>
      <c r="E215" s="2"/>
      <c r="F215" s="2"/>
      <c r="G215" s="2"/>
      <c r="H215" s="2"/>
      <c r="I215" s="2"/>
      <c r="K215" s="2"/>
      <c r="L215" s="2"/>
      <c r="M215" s="2"/>
      <c r="N215" s="2"/>
      <c r="O215" s="2"/>
      <c r="P215" s="2"/>
    </row>
    <row r="216" spans="1:16" x14ac:dyDescent="0.35">
      <c r="A216" s="2"/>
      <c r="B216" s="2"/>
      <c r="C216" s="2"/>
      <c r="D216" s="2"/>
      <c r="E216" s="2"/>
      <c r="F216" s="2"/>
      <c r="G216" s="2"/>
      <c r="H216" s="2"/>
      <c r="I216" s="2"/>
      <c r="K216" s="2"/>
      <c r="L216" s="2"/>
      <c r="M216" s="2"/>
      <c r="N216" s="2"/>
      <c r="O216" s="2"/>
      <c r="P216" s="2"/>
    </row>
    <row r="217" spans="1:16" x14ac:dyDescent="0.35">
      <c r="A217" s="2"/>
      <c r="B217" s="2"/>
      <c r="C217" s="2"/>
      <c r="D217" s="2"/>
      <c r="E217" s="2"/>
      <c r="F217" s="2"/>
      <c r="G217" s="2"/>
      <c r="H217" s="2"/>
      <c r="I217" s="2"/>
      <c r="K217" s="2"/>
      <c r="L217" s="2"/>
      <c r="M217" s="2"/>
      <c r="N217" s="2"/>
      <c r="O217" s="2"/>
      <c r="P217" s="2"/>
    </row>
    <row r="218" spans="1:16" x14ac:dyDescent="0.35">
      <c r="A218" s="2"/>
      <c r="B218" s="2"/>
      <c r="C218" s="2"/>
      <c r="D218" s="2"/>
      <c r="E218" s="2"/>
      <c r="F218" s="2"/>
      <c r="G218" s="2"/>
      <c r="H218" s="2"/>
      <c r="I218" s="2"/>
      <c r="K218" s="2"/>
      <c r="L218" s="2"/>
      <c r="M218" s="2"/>
      <c r="N218" s="2"/>
      <c r="O218" s="2"/>
      <c r="P218" s="2"/>
    </row>
    <row r="219" spans="1:16" x14ac:dyDescent="0.35">
      <c r="A219" s="2"/>
      <c r="B219" s="2"/>
      <c r="C219" s="2"/>
      <c r="D219" s="2"/>
      <c r="E219" s="2"/>
      <c r="F219" s="2"/>
      <c r="G219" s="2"/>
      <c r="H219" s="2"/>
      <c r="I219" s="2"/>
      <c r="K219" s="2"/>
      <c r="L219" s="2"/>
      <c r="M219" s="2"/>
      <c r="N219" s="2"/>
      <c r="O219" s="2"/>
      <c r="P219" s="2"/>
    </row>
    <row r="220" spans="1:16" x14ac:dyDescent="0.35">
      <c r="A220" s="2"/>
      <c r="B220" s="2"/>
      <c r="C220" s="2"/>
      <c r="D220" s="2"/>
      <c r="E220" s="2"/>
      <c r="F220" s="2"/>
      <c r="G220" s="2"/>
      <c r="H220" s="2"/>
      <c r="I220" s="2"/>
      <c r="K220" s="2"/>
      <c r="L220" s="2"/>
      <c r="M220" s="2"/>
      <c r="N220" s="2"/>
      <c r="O220" s="2"/>
      <c r="P220" s="2"/>
    </row>
    <row r="221" spans="1:16" x14ac:dyDescent="0.35">
      <c r="A221" s="2"/>
      <c r="B221" s="2"/>
      <c r="C221" s="2"/>
      <c r="D221" s="2"/>
      <c r="E221" s="2"/>
      <c r="F221" s="2"/>
      <c r="G221" s="2"/>
      <c r="H221" s="2"/>
      <c r="I221" s="2"/>
      <c r="K221" s="2"/>
      <c r="L221" s="2"/>
      <c r="M221" s="2"/>
      <c r="N221" s="2"/>
      <c r="O221" s="2"/>
      <c r="P221" s="2"/>
    </row>
    <row r="222" spans="1:16" x14ac:dyDescent="0.35">
      <c r="A222" s="2"/>
      <c r="B222" s="2"/>
      <c r="C222" s="2"/>
      <c r="D222" s="2"/>
      <c r="E222" s="2"/>
      <c r="F222" s="2"/>
      <c r="G222" s="2"/>
      <c r="H222" s="2"/>
      <c r="I222" s="2"/>
      <c r="K222" s="2"/>
      <c r="L222" s="2"/>
      <c r="M222" s="2"/>
      <c r="N222" s="2"/>
      <c r="O222" s="2"/>
      <c r="P222" s="2"/>
    </row>
    <row r="223" spans="1:16" x14ac:dyDescent="0.35">
      <c r="A223" s="2"/>
      <c r="B223" s="2"/>
      <c r="C223" s="2"/>
      <c r="D223" s="2"/>
      <c r="E223" s="2"/>
      <c r="F223" s="2"/>
      <c r="G223" s="2"/>
      <c r="H223" s="2"/>
      <c r="I223" s="2"/>
      <c r="K223" s="2"/>
      <c r="L223" s="2"/>
      <c r="M223" s="2"/>
      <c r="N223" s="2"/>
      <c r="O223" s="2"/>
      <c r="P223" s="2"/>
    </row>
    <row r="224" spans="1:16" x14ac:dyDescent="0.35">
      <c r="A224" s="2"/>
      <c r="B224" s="2"/>
      <c r="C224" s="2"/>
      <c r="D224" s="2"/>
      <c r="E224" s="2"/>
      <c r="F224" s="2"/>
      <c r="G224" s="2"/>
      <c r="H224" s="2"/>
      <c r="I224" s="2"/>
      <c r="K224" s="2"/>
      <c r="L224" s="2"/>
      <c r="M224" s="2"/>
      <c r="N224" s="2"/>
      <c r="O224" s="2"/>
      <c r="P224" s="2"/>
    </row>
    <row r="225" spans="1:16" x14ac:dyDescent="0.35">
      <c r="A225" s="2"/>
      <c r="B225" s="2"/>
      <c r="C225" s="2"/>
      <c r="D225" s="2"/>
      <c r="E225" s="2"/>
      <c r="F225" s="2"/>
      <c r="G225" s="2"/>
      <c r="H225" s="2"/>
      <c r="I225" s="2"/>
      <c r="K225" s="2"/>
      <c r="L225" s="2"/>
      <c r="M225" s="2"/>
      <c r="N225" s="2"/>
      <c r="O225" s="2"/>
      <c r="P225" s="2"/>
    </row>
    <row r="226" spans="1:16" x14ac:dyDescent="0.35">
      <c r="A226" s="2"/>
      <c r="B226" s="2"/>
      <c r="C226" s="2"/>
      <c r="D226" s="2"/>
      <c r="E226" s="2"/>
      <c r="F226" s="2"/>
      <c r="G226" s="2"/>
      <c r="H226" s="2"/>
      <c r="I226" s="2"/>
      <c r="K226" s="2"/>
      <c r="L226" s="2"/>
      <c r="M226" s="2"/>
      <c r="N226" s="2"/>
      <c r="O226" s="2"/>
      <c r="P226" s="2"/>
    </row>
    <row r="227" spans="1:16" x14ac:dyDescent="0.35">
      <c r="A227" s="2"/>
      <c r="B227" s="2"/>
      <c r="C227" s="2"/>
      <c r="D227" s="2"/>
      <c r="E227" s="2"/>
      <c r="F227" s="2"/>
      <c r="G227" s="2"/>
      <c r="H227" s="2"/>
      <c r="I227" s="2"/>
      <c r="K227" s="2"/>
      <c r="L227" s="2"/>
      <c r="M227" s="2"/>
      <c r="N227" s="2"/>
      <c r="O227" s="2"/>
      <c r="P227" s="2"/>
    </row>
    <row r="228" spans="1:16" x14ac:dyDescent="0.35">
      <c r="A228" s="2"/>
      <c r="B228" s="2"/>
      <c r="C228" s="2"/>
      <c r="D228" s="2"/>
      <c r="E228" s="2"/>
      <c r="F228" s="2"/>
      <c r="G228" s="2"/>
      <c r="H228" s="2"/>
      <c r="I228" s="2"/>
      <c r="K228" s="2"/>
      <c r="L228" s="2"/>
      <c r="M228" s="2"/>
      <c r="N228" s="2"/>
      <c r="O228" s="2"/>
      <c r="P228" s="2"/>
    </row>
    <row r="229" spans="1:16" x14ac:dyDescent="0.35">
      <c r="A229" s="2"/>
      <c r="B229" s="2"/>
      <c r="C229" s="2"/>
      <c r="D229" s="2"/>
      <c r="E229" s="2"/>
      <c r="F229" s="2"/>
      <c r="G229" s="2"/>
      <c r="H229" s="2"/>
      <c r="I229" s="2"/>
      <c r="K229" s="2"/>
      <c r="L229" s="2"/>
      <c r="M229" s="2"/>
      <c r="N229" s="2"/>
      <c r="O229" s="2"/>
      <c r="P229" s="2"/>
    </row>
    <row r="230" spans="1:16" x14ac:dyDescent="0.35">
      <c r="A230" s="2"/>
      <c r="B230" s="2"/>
      <c r="C230" s="2"/>
      <c r="D230" s="2"/>
      <c r="E230" s="2"/>
      <c r="F230" s="2"/>
      <c r="G230" s="2"/>
      <c r="H230" s="2"/>
      <c r="I230" s="2"/>
      <c r="K230" s="2"/>
      <c r="L230" s="2"/>
      <c r="M230" s="2"/>
      <c r="N230" s="2"/>
      <c r="O230" s="2"/>
      <c r="P230" s="2"/>
    </row>
    <row r="231" spans="1:16" x14ac:dyDescent="0.35">
      <c r="A231" s="2"/>
      <c r="B231" s="2"/>
      <c r="C231" s="2"/>
      <c r="D231" s="2"/>
      <c r="E231" s="2"/>
      <c r="F231" s="2"/>
      <c r="G231" s="2"/>
      <c r="H231" s="2"/>
      <c r="I231" s="2"/>
      <c r="K231" s="2"/>
      <c r="L231" s="2"/>
      <c r="M231" s="2"/>
      <c r="N231" s="2"/>
      <c r="O231" s="2"/>
      <c r="P231" s="2"/>
    </row>
    <row r="232" spans="1:16" x14ac:dyDescent="0.35">
      <c r="A232" s="2"/>
      <c r="B232" s="2"/>
      <c r="C232" s="2"/>
      <c r="D232" s="2"/>
      <c r="E232" s="2"/>
      <c r="F232" s="2"/>
      <c r="G232" s="2"/>
      <c r="H232" s="2"/>
      <c r="I232" s="2"/>
      <c r="K232" s="2"/>
      <c r="L232" s="2"/>
      <c r="M232" s="2"/>
      <c r="N232" s="2"/>
      <c r="O232" s="2"/>
      <c r="P232" s="2"/>
    </row>
    <row r="233" spans="1:16" x14ac:dyDescent="0.35">
      <c r="A233" s="2"/>
      <c r="B233" s="2"/>
      <c r="C233" s="2"/>
      <c r="D233" s="2"/>
      <c r="E233" s="2"/>
      <c r="F233" s="2"/>
      <c r="G233" s="2"/>
      <c r="H233" s="2"/>
      <c r="I233" s="2"/>
      <c r="K233" s="2"/>
      <c r="L233" s="2"/>
      <c r="M233" s="2"/>
      <c r="N233" s="2"/>
      <c r="O233" s="2"/>
      <c r="P233" s="2"/>
    </row>
    <row r="234" spans="1:16" x14ac:dyDescent="0.35">
      <c r="A234" s="2"/>
      <c r="B234" s="2"/>
      <c r="C234" s="2"/>
      <c r="D234" s="2"/>
      <c r="E234" s="2"/>
      <c r="F234" s="2"/>
      <c r="G234" s="2"/>
      <c r="H234" s="2"/>
      <c r="I234" s="2"/>
      <c r="K234" s="2"/>
      <c r="L234" s="2"/>
      <c r="M234" s="2"/>
      <c r="N234" s="2"/>
      <c r="O234" s="2"/>
      <c r="P234" s="2"/>
    </row>
    <row r="235" spans="1:16" x14ac:dyDescent="0.35">
      <c r="A235" s="2"/>
      <c r="B235" s="2"/>
      <c r="C235" s="2"/>
      <c r="D235" s="2"/>
      <c r="E235" s="2"/>
      <c r="F235" s="2"/>
      <c r="G235" s="2"/>
      <c r="H235" s="2"/>
      <c r="I235" s="2"/>
      <c r="K235" s="2"/>
      <c r="L235" s="2"/>
      <c r="M235" s="2"/>
      <c r="N235" s="2"/>
      <c r="O235" s="2"/>
      <c r="P235" s="2"/>
    </row>
    <row r="236" spans="1:16" x14ac:dyDescent="0.35">
      <c r="A236" s="2"/>
      <c r="B236" s="2"/>
      <c r="C236" s="2"/>
      <c r="D236" s="2"/>
      <c r="E236" s="2"/>
      <c r="F236" s="2"/>
      <c r="G236" s="2"/>
      <c r="H236" s="2"/>
      <c r="I236" s="2"/>
      <c r="K236" s="2"/>
      <c r="L236" s="2"/>
      <c r="M236" s="2"/>
      <c r="N236" s="2"/>
      <c r="O236" s="2"/>
      <c r="P236" s="2"/>
    </row>
    <row r="237" spans="1:16" x14ac:dyDescent="0.35">
      <c r="A237" s="2"/>
      <c r="B237" s="2"/>
      <c r="C237" s="2"/>
      <c r="D237" s="2"/>
      <c r="E237" s="2"/>
      <c r="F237" s="2"/>
      <c r="G237" s="2"/>
      <c r="H237" s="2"/>
      <c r="I237" s="2"/>
      <c r="K237" s="2"/>
      <c r="L237" s="2"/>
      <c r="M237" s="2"/>
      <c r="N237" s="2"/>
      <c r="O237" s="2"/>
      <c r="P237" s="2"/>
    </row>
    <row r="238" spans="1:16" x14ac:dyDescent="0.35">
      <c r="A238" s="2"/>
      <c r="B238" s="2"/>
      <c r="C238" s="2"/>
      <c r="D238" s="2"/>
      <c r="E238" s="2"/>
      <c r="F238" s="2"/>
      <c r="G238" s="2"/>
      <c r="H238" s="2"/>
      <c r="I238" s="2"/>
      <c r="K238" s="2"/>
      <c r="L238" s="2"/>
      <c r="M238" s="2"/>
      <c r="N238" s="2"/>
      <c r="O238" s="2"/>
      <c r="P238" s="2"/>
    </row>
    <row r="239" spans="1:16" x14ac:dyDescent="0.35">
      <c r="A239" s="2"/>
      <c r="B239" s="2"/>
      <c r="C239" s="2"/>
      <c r="D239" s="2"/>
      <c r="E239" s="2"/>
      <c r="F239" s="2"/>
      <c r="G239" s="2"/>
      <c r="H239" s="2"/>
      <c r="I239" s="2"/>
      <c r="K239" s="2"/>
      <c r="L239" s="2"/>
      <c r="M239" s="2"/>
      <c r="N239" s="2"/>
      <c r="O239" s="2"/>
      <c r="P239" s="2"/>
    </row>
    <row r="240" spans="1:16" x14ac:dyDescent="0.35">
      <c r="A240" s="2"/>
      <c r="B240" s="2"/>
      <c r="C240" s="2"/>
      <c r="D240" s="2"/>
      <c r="E240" s="2"/>
      <c r="F240" s="2"/>
      <c r="G240" s="2"/>
      <c r="H240" s="2"/>
      <c r="I240" s="2"/>
      <c r="K240" s="2"/>
      <c r="L240" s="2"/>
      <c r="M240" s="2"/>
      <c r="N240" s="2"/>
      <c r="O240" s="2"/>
      <c r="P240" s="2"/>
    </row>
    <row r="241" spans="1:16" x14ac:dyDescent="0.35">
      <c r="A241" s="2"/>
      <c r="B241" s="2"/>
      <c r="C241" s="2"/>
      <c r="D241" s="2"/>
      <c r="E241" s="2"/>
      <c r="F241" s="2"/>
      <c r="G241" s="2"/>
      <c r="H241" s="2"/>
      <c r="I241" s="2"/>
      <c r="K241" s="2"/>
      <c r="L241" s="2"/>
      <c r="M241" s="2"/>
      <c r="N241" s="2"/>
      <c r="O241" s="2"/>
      <c r="P241" s="2"/>
    </row>
    <row r="242" spans="1:16" x14ac:dyDescent="0.35">
      <c r="A242" s="2"/>
      <c r="B242" s="2"/>
      <c r="C242" s="2"/>
      <c r="D242" s="2"/>
      <c r="E242" s="2"/>
      <c r="F242" s="2"/>
      <c r="G242" s="2"/>
      <c r="H242" s="2"/>
      <c r="I242" s="2"/>
      <c r="K242" s="2"/>
      <c r="L242" s="2"/>
      <c r="M242" s="2"/>
      <c r="N242" s="2"/>
      <c r="O242" s="2"/>
      <c r="P242" s="2"/>
    </row>
    <row r="243" spans="1:16" x14ac:dyDescent="0.35">
      <c r="A243" s="2"/>
      <c r="B243" s="2"/>
      <c r="C243" s="2"/>
      <c r="D243" s="2"/>
      <c r="E243" s="2"/>
      <c r="F243" s="2"/>
      <c r="G243" s="2"/>
      <c r="H243" s="2"/>
      <c r="I243" s="2"/>
      <c r="K243" s="2"/>
      <c r="L243" s="2"/>
      <c r="M243" s="2"/>
      <c r="N243" s="2"/>
      <c r="O243" s="2"/>
      <c r="P243" s="2"/>
    </row>
    <row r="244" spans="1:16" x14ac:dyDescent="0.35">
      <c r="A244" s="2"/>
      <c r="B244" s="2"/>
      <c r="C244" s="2"/>
      <c r="D244" s="2"/>
      <c r="E244" s="2"/>
      <c r="F244" s="2"/>
      <c r="G244" s="2"/>
      <c r="H244" s="2"/>
      <c r="I244" s="2"/>
      <c r="K244" s="2"/>
      <c r="L244" s="2"/>
      <c r="M244" s="2"/>
      <c r="N244" s="2"/>
      <c r="O244" s="2"/>
      <c r="P244" s="2"/>
    </row>
    <row r="245" spans="1:16" x14ac:dyDescent="0.35">
      <c r="A245" s="2"/>
      <c r="B245" s="2"/>
      <c r="C245" s="2"/>
      <c r="D245" s="2"/>
      <c r="E245" s="2"/>
      <c r="F245" s="2"/>
      <c r="G245" s="2"/>
      <c r="H245" s="2"/>
      <c r="I245" s="2"/>
      <c r="K245" s="2"/>
      <c r="L245" s="2"/>
      <c r="M245" s="2"/>
      <c r="N245" s="2"/>
      <c r="O245" s="2"/>
      <c r="P245" s="2"/>
    </row>
    <row r="246" spans="1:16" x14ac:dyDescent="0.35">
      <c r="A246" s="2"/>
      <c r="B246" s="2"/>
      <c r="C246" s="2"/>
      <c r="D246" s="2"/>
      <c r="E246" s="2"/>
      <c r="F246" s="2"/>
      <c r="G246" s="2"/>
      <c r="H246" s="2"/>
      <c r="I246" s="2"/>
      <c r="K246" s="2"/>
      <c r="L246" s="2"/>
      <c r="M246" s="2"/>
      <c r="N246" s="2"/>
      <c r="O246" s="2"/>
      <c r="P246" s="2"/>
    </row>
    <row r="247" spans="1:16" x14ac:dyDescent="0.35">
      <c r="A247" s="2"/>
      <c r="B247" s="2"/>
      <c r="C247" s="2"/>
      <c r="D247" s="2"/>
      <c r="E247" s="2"/>
      <c r="F247" s="2"/>
      <c r="G247" s="2"/>
      <c r="H247" s="2"/>
      <c r="I247" s="2"/>
      <c r="K247" s="2"/>
      <c r="L247" s="2"/>
      <c r="M247" s="2"/>
      <c r="N247" s="2"/>
      <c r="O247" s="2"/>
      <c r="P247" s="2"/>
    </row>
    <row r="248" spans="1:16" x14ac:dyDescent="0.35">
      <c r="A248" s="2"/>
      <c r="B248" s="2"/>
      <c r="C248" s="2"/>
      <c r="D248" s="2"/>
      <c r="E248" s="2"/>
      <c r="F248" s="2"/>
      <c r="G248" s="2"/>
      <c r="H248" s="2"/>
      <c r="I248" s="2"/>
      <c r="K248" s="2"/>
      <c r="L248" s="2"/>
      <c r="M248" s="2"/>
      <c r="N248" s="2"/>
      <c r="O248" s="2"/>
      <c r="P248" s="2"/>
    </row>
    <row r="249" spans="1:16" x14ac:dyDescent="0.35">
      <c r="A249" s="2"/>
      <c r="B249" s="2"/>
      <c r="C249" s="2"/>
      <c r="D249" s="2"/>
      <c r="E249" s="2"/>
      <c r="F249" s="2"/>
      <c r="G249" s="2"/>
      <c r="H249" s="2"/>
      <c r="I249" s="2"/>
      <c r="K249" s="2"/>
      <c r="L249" s="2"/>
      <c r="M249" s="2"/>
      <c r="N249" s="2"/>
      <c r="O249" s="2"/>
      <c r="P249" s="2"/>
    </row>
    <row r="250" spans="1:16" x14ac:dyDescent="0.35">
      <c r="A250" s="2"/>
      <c r="B250" s="2"/>
      <c r="C250" s="2"/>
      <c r="D250" s="2"/>
      <c r="E250" s="2"/>
      <c r="F250" s="2"/>
      <c r="G250" s="2"/>
      <c r="H250" s="2"/>
      <c r="I250" s="2"/>
      <c r="K250" s="2"/>
      <c r="L250" s="2"/>
      <c r="M250" s="2"/>
      <c r="N250" s="2"/>
      <c r="O250" s="2"/>
      <c r="P250" s="2"/>
    </row>
    <row r="251" spans="1:16" x14ac:dyDescent="0.35">
      <c r="A251" s="2"/>
      <c r="B251" s="2"/>
      <c r="C251" s="2"/>
      <c r="D251" s="2"/>
      <c r="E251" s="2"/>
      <c r="F251" s="2"/>
      <c r="G251" s="2"/>
      <c r="H251" s="2"/>
      <c r="I251" s="2"/>
      <c r="K251" s="2"/>
      <c r="L251" s="2"/>
      <c r="M251" s="2"/>
      <c r="N251" s="2"/>
      <c r="O251" s="2"/>
      <c r="P251" s="2"/>
    </row>
    <row r="252" spans="1:16" x14ac:dyDescent="0.35">
      <c r="A252" s="2"/>
      <c r="B252" s="2"/>
      <c r="C252" s="2"/>
      <c r="D252" s="2"/>
      <c r="E252" s="2"/>
      <c r="F252" s="2"/>
      <c r="G252" s="2"/>
      <c r="H252" s="2"/>
      <c r="I252" s="2"/>
      <c r="K252" s="2"/>
      <c r="L252" s="2"/>
      <c r="M252" s="2"/>
      <c r="N252" s="2"/>
      <c r="O252" s="2"/>
      <c r="P252" s="2"/>
    </row>
    <row r="253" spans="1:16" x14ac:dyDescent="0.35">
      <c r="A253" s="2"/>
      <c r="B253" s="2"/>
      <c r="C253" s="2"/>
      <c r="D253" s="2"/>
      <c r="E253" s="2"/>
      <c r="F253" s="2"/>
      <c r="G253" s="2"/>
      <c r="H253" s="2"/>
      <c r="I253" s="2"/>
      <c r="K253" s="2"/>
      <c r="L253" s="2"/>
      <c r="M253" s="2"/>
      <c r="N253" s="2"/>
      <c r="O253" s="2"/>
      <c r="P253" s="2"/>
    </row>
    <row r="254" spans="1:16" x14ac:dyDescent="0.35">
      <c r="A254" s="2"/>
      <c r="B254" s="2"/>
      <c r="C254" s="2"/>
      <c r="D254" s="2"/>
      <c r="E254" s="2"/>
      <c r="F254" s="2"/>
      <c r="G254" s="2"/>
      <c r="H254" s="2"/>
      <c r="I254" s="2"/>
      <c r="K254" s="2"/>
      <c r="L254" s="2"/>
      <c r="M254" s="2"/>
      <c r="N254" s="2"/>
      <c r="O254" s="2"/>
      <c r="P254" s="2"/>
    </row>
    <row r="255" spans="1:16" x14ac:dyDescent="0.35">
      <c r="A255" s="2"/>
      <c r="B255" s="2"/>
      <c r="C255" s="2"/>
      <c r="D255" s="2"/>
      <c r="E255" s="2"/>
      <c r="F255" s="2"/>
      <c r="G255" s="2"/>
      <c r="H255" s="2"/>
      <c r="I255" s="2"/>
      <c r="K255" s="2"/>
      <c r="L255" s="2"/>
      <c r="M255" s="2"/>
      <c r="N255" s="2"/>
      <c r="O255" s="2"/>
      <c r="P255" s="2"/>
    </row>
    <row r="256" spans="1:16" x14ac:dyDescent="0.35">
      <c r="A256" s="2"/>
      <c r="B256" s="2"/>
      <c r="C256" s="2"/>
      <c r="D256" s="2"/>
      <c r="E256" s="2"/>
      <c r="F256" s="2"/>
      <c r="G256" s="2"/>
      <c r="H256" s="2"/>
      <c r="I256" s="2"/>
      <c r="K256" s="2"/>
      <c r="L256" s="2"/>
      <c r="M256" s="2"/>
      <c r="N256" s="2"/>
      <c r="O256" s="2"/>
      <c r="P256" s="2"/>
    </row>
    <row r="257" spans="1:16" x14ac:dyDescent="0.35">
      <c r="A257" s="2"/>
      <c r="B257" s="2"/>
      <c r="C257" s="2"/>
      <c r="D257" s="2"/>
      <c r="E257" s="2"/>
      <c r="F257" s="2"/>
      <c r="G257" s="2"/>
      <c r="H257" s="2"/>
      <c r="I257" s="2"/>
      <c r="K257" s="2"/>
      <c r="L257" s="2"/>
      <c r="M257" s="2"/>
      <c r="N257" s="2"/>
      <c r="O257" s="2"/>
      <c r="P257" s="2"/>
    </row>
    <row r="258" spans="1:16" x14ac:dyDescent="0.35">
      <c r="A258" s="2"/>
      <c r="B258" s="2"/>
      <c r="C258" s="2"/>
      <c r="D258" s="2"/>
      <c r="E258" s="2"/>
      <c r="F258" s="2"/>
      <c r="G258" s="2"/>
      <c r="H258" s="2"/>
      <c r="I258" s="2"/>
      <c r="K258" s="2"/>
      <c r="L258" s="2"/>
      <c r="M258" s="2"/>
      <c r="N258" s="2"/>
      <c r="O258" s="2"/>
      <c r="P258" s="2"/>
    </row>
    <row r="259" spans="1:16" x14ac:dyDescent="0.35">
      <c r="A259" s="2"/>
      <c r="B259" s="2"/>
      <c r="C259" s="2"/>
      <c r="D259" s="2"/>
      <c r="E259" s="2"/>
      <c r="F259" s="2"/>
      <c r="G259" s="2"/>
      <c r="H259" s="2"/>
      <c r="I259" s="2"/>
      <c r="K259" s="2"/>
      <c r="L259" s="2"/>
      <c r="M259" s="2"/>
      <c r="N259" s="2"/>
      <c r="O259" s="2"/>
      <c r="P259" s="2"/>
    </row>
    <row r="260" spans="1:16" x14ac:dyDescent="0.35">
      <c r="A260" s="2"/>
      <c r="B260" s="2"/>
      <c r="C260" s="2"/>
      <c r="D260" s="2"/>
      <c r="E260" s="2"/>
      <c r="F260" s="2"/>
      <c r="G260" s="2"/>
      <c r="H260" s="2"/>
      <c r="I260" s="2"/>
      <c r="K260" s="2"/>
      <c r="L260" s="2"/>
      <c r="M260" s="2"/>
      <c r="N260" s="2"/>
      <c r="O260" s="2"/>
      <c r="P260" s="2"/>
    </row>
    <row r="261" spans="1:16" x14ac:dyDescent="0.35">
      <c r="A261" s="2"/>
      <c r="B261" s="2"/>
      <c r="C261" s="2"/>
      <c r="D261" s="2"/>
      <c r="E261" s="2"/>
      <c r="F261" s="2"/>
      <c r="G261" s="2"/>
      <c r="H261" s="2"/>
      <c r="I261" s="2"/>
      <c r="K261" s="2"/>
      <c r="L261" s="2"/>
      <c r="M261" s="2"/>
      <c r="N261" s="2"/>
      <c r="O261" s="2"/>
      <c r="P261" s="2"/>
    </row>
    <row r="262" spans="1:16" x14ac:dyDescent="0.35">
      <c r="A262" s="2"/>
      <c r="B262" s="2"/>
      <c r="C262" s="2"/>
      <c r="D262" s="2"/>
      <c r="E262" s="2"/>
      <c r="F262" s="2"/>
      <c r="G262" s="2"/>
      <c r="H262" s="2"/>
      <c r="I262" s="2"/>
      <c r="K262" s="2"/>
      <c r="L262" s="2"/>
      <c r="M262" s="2"/>
      <c r="N262" s="2"/>
      <c r="O262" s="2"/>
      <c r="P262" s="2"/>
    </row>
    <row r="263" spans="1:16" x14ac:dyDescent="0.35">
      <c r="A263" s="2"/>
      <c r="B263" s="2"/>
      <c r="C263" s="2"/>
      <c r="D263" s="2"/>
      <c r="E263" s="2"/>
      <c r="F263" s="2"/>
      <c r="G263" s="2"/>
      <c r="H263" s="2"/>
      <c r="I263" s="2"/>
      <c r="K263" s="2"/>
      <c r="L263" s="2"/>
      <c r="M263" s="2"/>
      <c r="N263" s="2"/>
      <c r="O263" s="2"/>
      <c r="P263" s="2"/>
    </row>
    <row r="264" spans="1:16" x14ac:dyDescent="0.35">
      <c r="A264" s="2"/>
      <c r="B264" s="2"/>
      <c r="C264" s="2"/>
      <c r="D264" s="2"/>
      <c r="E264" s="2"/>
      <c r="F264" s="2"/>
      <c r="G264" s="2"/>
      <c r="H264" s="2"/>
      <c r="I264" s="2"/>
      <c r="K264" s="2"/>
      <c r="L264" s="2"/>
      <c r="M264" s="2"/>
      <c r="N264" s="2"/>
      <c r="O264" s="2"/>
      <c r="P264" s="2"/>
    </row>
    <row r="265" spans="1:16" x14ac:dyDescent="0.35">
      <c r="A265" s="2"/>
      <c r="B265" s="2"/>
      <c r="C265" s="2"/>
      <c r="D265" s="2"/>
      <c r="E265" s="2"/>
      <c r="F265" s="2"/>
      <c r="G265" s="2"/>
      <c r="H265" s="2"/>
      <c r="I265" s="2"/>
      <c r="K265" s="2"/>
      <c r="L265" s="2"/>
      <c r="M265" s="2"/>
      <c r="N265" s="2"/>
      <c r="O265" s="2"/>
      <c r="P265" s="2"/>
    </row>
    <row r="266" spans="1:16" x14ac:dyDescent="0.35">
      <c r="A266" s="2"/>
      <c r="B266" s="2"/>
      <c r="C266" s="2"/>
      <c r="D266" s="2"/>
      <c r="E266" s="2"/>
      <c r="F266" s="2"/>
      <c r="G266" s="2"/>
      <c r="H266" s="2"/>
      <c r="I266" s="2"/>
      <c r="K266" s="2"/>
      <c r="L266" s="2"/>
      <c r="M266" s="2"/>
      <c r="N266" s="2"/>
      <c r="O266" s="2"/>
      <c r="P266" s="2"/>
    </row>
    <row r="267" spans="1:16" x14ac:dyDescent="0.35">
      <c r="A267" s="2"/>
      <c r="B267" s="2"/>
      <c r="C267" s="2"/>
      <c r="D267" s="2"/>
      <c r="E267" s="2"/>
      <c r="F267" s="2"/>
      <c r="G267" s="2"/>
      <c r="H267" s="2"/>
      <c r="I267" s="2"/>
      <c r="K267" s="2"/>
      <c r="L267" s="2"/>
      <c r="M267" s="2"/>
      <c r="N267" s="2"/>
      <c r="O267" s="2"/>
      <c r="P267" s="2"/>
    </row>
    <row r="268" spans="1:16" x14ac:dyDescent="0.35">
      <c r="A268" s="2"/>
      <c r="B268" s="2"/>
      <c r="C268" s="2"/>
      <c r="D268" s="2"/>
      <c r="E268" s="2"/>
      <c r="F268" s="2"/>
      <c r="G268" s="2"/>
      <c r="H268" s="2"/>
      <c r="I268" s="2"/>
      <c r="K268" s="2"/>
      <c r="L268" s="2"/>
      <c r="M268" s="2"/>
      <c r="N268" s="2"/>
      <c r="O268" s="2"/>
      <c r="P268" s="2"/>
    </row>
    <row r="269" spans="1:16" x14ac:dyDescent="0.35">
      <c r="A269" s="2"/>
      <c r="B269" s="2"/>
      <c r="C269" s="2"/>
      <c r="D269" s="2"/>
      <c r="E269" s="2"/>
      <c r="F269" s="2"/>
      <c r="G269" s="2"/>
      <c r="H269" s="2"/>
      <c r="I269" s="2"/>
      <c r="K269" s="2"/>
      <c r="L269" s="2"/>
      <c r="M269" s="2"/>
      <c r="N269" s="2"/>
      <c r="O269" s="2"/>
      <c r="P269" s="2"/>
    </row>
    <row r="270" spans="1:16" x14ac:dyDescent="0.35">
      <c r="A270" s="2"/>
      <c r="B270" s="2"/>
      <c r="C270" s="2"/>
      <c r="D270" s="2"/>
      <c r="E270" s="2"/>
      <c r="F270" s="2"/>
      <c r="G270" s="2"/>
      <c r="H270" s="2"/>
      <c r="I270" s="2"/>
      <c r="K270" s="2"/>
      <c r="L270" s="2"/>
      <c r="M270" s="2"/>
      <c r="N270" s="2"/>
      <c r="O270" s="2"/>
      <c r="P270" s="2"/>
    </row>
    <row r="271" spans="1:16" x14ac:dyDescent="0.35">
      <c r="A271" s="2"/>
      <c r="B271" s="2"/>
      <c r="C271" s="2"/>
      <c r="D271" s="2"/>
      <c r="E271" s="2"/>
      <c r="F271" s="2"/>
      <c r="G271" s="2"/>
      <c r="H271" s="2"/>
      <c r="I271" s="2"/>
      <c r="K271" s="2"/>
      <c r="L271" s="2"/>
      <c r="M271" s="2"/>
      <c r="N271" s="2"/>
      <c r="O271" s="2"/>
      <c r="P271" s="2"/>
    </row>
    <row r="272" spans="1:16" x14ac:dyDescent="0.35">
      <c r="A272" s="2"/>
      <c r="B272" s="2"/>
      <c r="C272" s="2"/>
      <c r="D272" s="2"/>
      <c r="E272" s="2"/>
      <c r="F272" s="2"/>
      <c r="G272" s="2"/>
      <c r="H272" s="2"/>
      <c r="I272" s="2"/>
      <c r="K272" s="2"/>
      <c r="L272" s="2"/>
      <c r="M272" s="2"/>
      <c r="N272" s="2"/>
      <c r="O272" s="2"/>
      <c r="P272" s="2"/>
    </row>
    <row r="273" spans="1:16" x14ac:dyDescent="0.35">
      <c r="A273" s="2"/>
      <c r="B273" s="2"/>
      <c r="C273" s="2"/>
      <c r="D273" s="2"/>
      <c r="E273" s="2"/>
      <c r="F273" s="2"/>
      <c r="G273" s="2"/>
      <c r="H273" s="2"/>
      <c r="I273" s="2"/>
      <c r="K273" s="2"/>
      <c r="L273" s="2"/>
      <c r="M273" s="2"/>
      <c r="N273" s="2"/>
      <c r="O273" s="2"/>
      <c r="P273" s="2"/>
    </row>
    <row r="274" spans="1:16" x14ac:dyDescent="0.35">
      <c r="A274" s="2"/>
      <c r="B274" s="2"/>
      <c r="C274" s="2"/>
      <c r="D274" s="2"/>
      <c r="E274" s="2"/>
      <c r="F274" s="2"/>
      <c r="G274" s="2"/>
      <c r="H274" s="2"/>
      <c r="I274" s="2"/>
      <c r="K274" s="2"/>
      <c r="L274" s="2"/>
      <c r="M274" s="2"/>
      <c r="N274" s="2"/>
      <c r="O274" s="2"/>
      <c r="P274" s="2"/>
    </row>
    <row r="275" spans="1:16" x14ac:dyDescent="0.35">
      <c r="A275" s="2"/>
      <c r="B275" s="2"/>
      <c r="C275" s="2"/>
      <c r="D275" s="2"/>
      <c r="E275" s="2"/>
      <c r="F275" s="2"/>
      <c r="G275" s="2"/>
      <c r="H275" s="2"/>
      <c r="I275" s="2"/>
      <c r="K275" s="2"/>
      <c r="L275" s="2"/>
      <c r="M275" s="2"/>
      <c r="N275" s="2"/>
      <c r="O275" s="2"/>
      <c r="P275" s="2"/>
    </row>
  </sheetData>
  <printOptions horizontalCentered="1"/>
  <pageMargins left="0" right="0.15" top="1.1000000000000001" bottom="0.45" header="0.5" footer="0.23"/>
  <pageSetup paperSize="5" scale="85" fitToWidth="2" orientation="portrait" horizontalDpi="4294967292" verticalDpi="300" r:id="rId1"/>
  <headerFooter alignWithMargins="0">
    <oddHeader xml:space="preserve">&amp;L&amp;"Times New Roman,Bold"&amp;12REVISED AS OF &amp;D&amp;C&amp;"Times New Roman,Bold"UNIVERSITY of SOUTHERN CALIFORNIA
Statement of Activities
USC, Norris, REDC,  USC Care, AMI-USC, ICT Productions and APF
Restated for Publication &amp;R
</oddHeader>
    <oddFooter>&amp;Cpage &amp;P+1&amp;R&amp;Z&amp;F\&amp;A : &amp;D</oddFooter>
  </headerFooter>
  <colBreaks count="1" manualBreakCount="1">
    <brk id="6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72"/>
  <sheetViews>
    <sheetView showZeros="0" topLeftCell="A8" zoomScaleNormal="100" workbookViewId="0">
      <pane xSplit="1" ySplit="6" topLeftCell="B14" activePane="bottomRight" state="frozen"/>
      <selection activeCell="A8" sqref="A8"/>
      <selection pane="topRight" activeCell="B8" sqref="B8"/>
      <selection pane="bottomLeft" activeCell="A14" sqref="A14"/>
      <selection pane="bottomRight" activeCell="A27" sqref="A27:XFD27"/>
    </sheetView>
  </sheetViews>
  <sheetFormatPr defaultColWidth="9.1171875" defaultRowHeight="10.35" x14ac:dyDescent="0.35"/>
  <cols>
    <col min="1" max="1" width="35.87890625" style="1" customWidth="1"/>
    <col min="2" max="9" width="15.29296875" style="1" customWidth="1"/>
    <col min="10" max="10" width="2.41015625" style="2" customWidth="1"/>
    <col min="11" max="12" width="14.41015625" style="1" customWidth="1"/>
    <col min="13" max="13" width="16.1171875" style="1" customWidth="1"/>
    <col min="14" max="14" width="12.703125" style="1" customWidth="1"/>
    <col min="15" max="15" width="13.1171875" style="1" customWidth="1"/>
    <col min="16" max="20" width="12.703125" style="1" customWidth="1"/>
    <col min="21" max="21" width="13.1171875" style="1" customWidth="1"/>
    <col min="22" max="22" width="12.703125" style="1" customWidth="1"/>
    <col min="23" max="27" width="11.87890625" style="1" customWidth="1"/>
    <col min="28" max="32" width="15.29296875" style="1" customWidth="1"/>
    <col min="33" max="16384" width="9.1171875" style="1"/>
  </cols>
  <sheetData>
    <row r="1" spans="1:26" x14ac:dyDescent="0.35">
      <c r="A1" s="2"/>
    </row>
    <row r="3" spans="1:26" x14ac:dyDescent="0.35">
      <c r="M3" s="2"/>
    </row>
    <row r="4" spans="1:26" x14ac:dyDescent="0.35">
      <c r="M4" s="2"/>
    </row>
    <row r="5" spans="1:26" x14ac:dyDescent="0.35">
      <c r="B5" s="2"/>
      <c r="I5" s="82"/>
      <c r="J5" s="81"/>
      <c r="K5" s="81"/>
      <c r="L5" s="81"/>
      <c r="M5" s="68" t="s">
        <v>87</v>
      </c>
    </row>
    <row r="6" spans="1:26" ht="9.75" customHeight="1" thickBot="1" x14ac:dyDescent="0.4">
      <c r="A6" s="2"/>
      <c r="B6" s="2"/>
      <c r="C6" s="70"/>
      <c r="D6" s="70"/>
      <c r="E6" s="71"/>
      <c r="F6" s="70"/>
      <c r="G6" s="70"/>
      <c r="H6" s="71"/>
      <c r="I6" s="80"/>
      <c r="J6" s="80"/>
      <c r="K6" s="80"/>
      <c r="L6" s="80"/>
      <c r="M6" s="79" t="s">
        <v>88</v>
      </c>
      <c r="N6" s="2"/>
      <c r="O6" s="2"/>
      <c r="P6" s="2"/>
      <c r="Q6" s="2"/>
      <c r="R6" s="2"/>
      <c r="S6" s="2"/>
      <c r="T6" s="2"/>
      <c r="U6" s="2"/>
      <c r="V6" s="2"/>
      <c r="W6" s="2"/>
    </row>
    <row r="7" spans="1:26" ht="9.75" customHeight="1" x14ac:dyDescent="0.35">
      <c r="A7" s="2"/>
      <c r="B7" s="78"/>
      <c r="C7" s="70"/>
      <c r="D7" s="70"/>
      <c r="E7" s="71"/>
      <c r="F7" s="70"/>
      <c r="G7" s="70"/>
      <c r="H7" s="71"/>
      <c r="I7" s="63"/>
      <c r="J7" s="63"/>
      <c r="K7" s="63"/>
      <c r="L7" s="63"/>
      <c r="M7" s="77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6" ht="9.75" customHeight="1" x14ac:dyDescent="0.35">
      <c r="A8" s="2"/>
      <c r="B8" s="78" t="s">
        <v>73</v>
      </c>
      <c r="C8" s="70"/>
      <c r="D8" s="70"/>
      <c r="E8" s="71"/>
      <c r="F8" s="70"/>
      <c r="G8" s="70"/>
      <c r="H8" s="71"/>
      <c r="I8" s="63"/>
      <c r="J8" s="63"/>
      <c r="K8" s="63"/>
      <c r="L8" s="63"/>
      <c r="M8" s="77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6" ht="9.75" customHeight="1" x14ac:dyDescent="0.35">
      <c r="A9" s="2"/>
      <c r="B9" s="76" t="s">
        <v>62</v>
      </c>
      <c r="C9" s="70"/>
      <c r="D9" s="70"/>
      <c r="E9" s="71"/>
      <c r="F9" s="70"/>
      <c r="G9" s="70"/>
      <c r="H9" s="71"/>
      <c r="I9" s="63"/>
      <c r="J9" s="63"/>
      <c r="K9" s="63"/>
      <c r="L9" s="63"/>
      <c r="M9" s="63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6" ht="9.75" customHeight="1" x14ac:dyDescent="0.35">
      <c r="A10" s="2"/>
      <c r="B10" s="11"/>
      <c r="C10" s="11"/>
      <c r="D10" s="75" t="s">
        <v>85</v>
      </c>
      <c r="E10" s="74"/>
      <c r="F10" s="11"/>
      <c r="G10" s="11"/>
      <c r="H10" s="74"/>
      <c r="I10" s="73"/>
      <c r="J10" s="63"/>
      <c r="K10" s="63"/>
      <c r="L10" s="63"/>
      <c r="M10" s="63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6" ht="9.75" customHeight="1" x14ac:dyDescent="0.35">
      <c r="A11" s="2"/>
      <c r="B11" s="13"/>
      <c r="C11" s="13"/>
      <c r="D11" s="72" t="s">
        <v>84</v>
      </c>
      <c r="E11" s="67" t="s">
        <v>83</v>
      </c>
      <c r="F11" s="13"/>
      <c r="G11" s="2"/>
      <c r="H11" s="71"/>
      <c r="I11" s="68" t="s">
        <v>71</v>
      </c>
      <c r="J11" s="63"/>
      <c r="K11" s="68" t="s">
        <v>82</v>
      </c>
      <c r="L11" s="69" t="s">
        <v>81</v>
      </c>
      <c r="M11" s="63"/>
      <c r="N11" s="2"/>
      <c r="O11" s="2"/>
      <c r="P11" s="2"/>
      <c r="Q11" s="2"/>
      <c r="R11" s="2"/>
      <c r="S11" s="2"/>
      <c r="T11" s="2"/>
      <c r="U11" s="2"/>
      <c r="V11" s="2"/>
      <c r="W11" s="2"/>
      <c r="X11" s="13"/>
      <c r="Y11" s="13" t="s">
        <v>80</v>
      </c>
      <c r="Z11" s="70"/>
    </row>
    <row r="12" spans="1:26" ht="9.75" customHeight="1" x14ac:dyDescent="0.35">
      <c r="A12" s="2"/>
      <c r="B12" s="13" t="s">
        <v>79</v>
      </c>
      <c r="C12" s="13" t="s">
        <v>78</v>
      </c>
      <c r="D12" s="67" t="s">
        <v>77</v>
      </c>
      <c r="E12" s="67" t="s">
        <v>77</v>
      </c>
      <c r="F12" s="13" t="s">
        <v>76</v>
      </c>
      <c r="G12" s="13" t="s">
        <v>75</v>
      </c>
      <c r="H12" s="13" t="s">
        <v>74</v>
      </c>
      <c r="I12" s="69" t="s">
        <v>73</v>
      </c>
      <c r="J12" s="63"/>
      <c r="K12" s="68" t="s">
        <v>72</v>
      </c>
      <c r="L12" s="68" t="s">
        <v>72</v>
      </c>
      <c r="M12" s="68" t="s">
        <v>71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13"/>
      <c r="Y12" s="13"/>
      <c r="Z12" s="13" t="s">
        <v>70</v>
      </c>
    </row>
    <row r="13" spans="1:26" ht="9.75" customHeight="1" x14ac:dyDescent="0.35">
      <c r="A13" s="2"/>
      <c r="B13" s="66" t="s">
        <v>69</v>
      </c>
      <c r="C13" s="66" t="s">
        <v>68</v>
      </c>
      <c r="D13" s="67" t="s">
        <v>67</v>
      </c>
      <c r="E13" s="66" t="s">
        <v>66</v>
      </c>
      <c r="F13" s="66" t="s">
        <v>65</v>
      </c>
      <c r="G13" s="66" t="s">
        <v>64</v>
      </c>
      <c r="H13" s="66" t="s">
        <v>63</v>
      </c>
      <c r="I13" s="65" t="s">
        <v>62</v>
      </c>
      <c r="J13" s="63"/>
      <c r="K13" s="65" t="s">
        <v>62</v>
      </c>
      <c r="L13" s="65" t="s">
        <v>62</v>
      </c>
      <c r="M13" s="65" t="s">
        <v>62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13"/>
      <c r="Y13" s="13"/>
      <c r="Z13" s="13" t="s">
        <v>61</v>
      </c>
    </row>
    <row r="14" spans="1:26" ht="9.75" customHeight="1" x14ac:dyDescent="0.35">
      <c r="A14" s="33" t="s">
        <v>60</v>
      </c>
      <c r="D14" s="9"/>
      <c r="I14" s="64"/>
      <c r="J14" s="63"/>
      <c r="K14" s="62"/>
      <c r="L14" s="62"/>
      <c r="M14" s="6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6" ht="9.75" customHeight="1" x14ac:dyDescent="0.35">
      <c r="A15" s="6" t="s">
        <v>59</v>
      </c>
      <c r="B15" s="30">
        <f>ROUND(('[2]Changes FY08'!B15),-3)</f>
        <v>1000289000</v>
      </c>
      <c r="C15" s="20">
        <f>ROUND(('[2]Changes FY08'!C15),-3)</f>
        <v>0</v>
      </c>
      <c r="D15" s="20">
        <f>ROUND(('[2]Changes FY08'!D15),-3)</f>
        <v>0</v>
      </c>
      <c r="E15" s="20">
        <f>ROUND(('[2]Changes FY08'!E15),-3)</f>
        <v>0</v>
      </c>
      <c r="F15" s="20">
        <f>ROUND(('[2]Changes FY08'!F15),-3)</f>
        <v>0</v>
      </c>
      <c r="G15" s="20">
        <f>ROUND(('[2]Changes FY08'!G15),-3)</f>
        <v>0</v>
      </c>
      <c r="H15" s="20">
        <f>ROUND(('[2]Changes FY08'!H15),-3)</f>
        <v>0</v>
      </c>
      <c r="I15" s="32">
        <f t="shared" ref="I15:I29" si="0">SUM(B15:H15)</f>
        <v>1000289000</v>
      </c>
      <c r="J15" s="28"/>
      <c r="K15" s="29">
        <f>ROUND(('[2]Changes FY08'!K15),-3)</f>
        <v>0</v>
      </c>
      <c r="L15" s="29">
        <f>ROUND(('[2]Changes FY08'!L15),-3)</f>
        <v>0</v>
      </c>
      <c r="M15" s="32">
        <f t="shared" ref="M15:M31" si="1">SUM(I15:L15)</f>
        <v>1000289000</v>
      </c>
      <c r="N15" s="2"/>
      <c r="O15" s="2"/>
      <c r="P15" s="2"/>
      <c r="Q15" s="2"/>
      <c r="R15" s="2"/>
      <c r="S15" s="2"/>
      <c r="T15" s="2"/>
      <c r="U15" s="2"/>
      <c r="V15" s="2"/>
      <c r="W15" s="2"/>
      <c r="Z15" s="1" t="e">
        <f>SUM(O15+#REF!+M15+R15+T15+X15)</f>
        <v>#REF!</v>
      </c>
    </row>
    <row r="16" spans="1:26" ht="9.75" customHeight="1" x14ac:dyDescent="0.35">
      <c r="A16" s="6" t="s">
        <v>58</v>
      </c>
      <c r="B16" s="20">
        <f>ROUND(('[2]Changes FY08'!B16),-3)</f>
        <v>-294308000</v>
      </c>
      <c r="C16" s="20">
        <f>ROUND(('[2]Changes FY08'!C16),-3)</f>
        <v>0</v>
      </c>
      <c r="D16" s="20">
        <f>ROUND(('[2]Changes FY08'!D16),-3)</f>
        <v>0</v>
      </c>
      <c r="E16" s="20">
        <f>ROUND(('[2]Changes FY08'!E16),-3)</f>
        <v>0</v>
      </c>
      <c r="F16" s="20">
        <f>ROUND(('[2]Changes FY08'!F16),-3)</f>
        <v>0</v>
      </c>
      <c r="G16" s="20">
        <f>ROUND(('[2]Changes FY08'!G16),-3)</f>
        <v>0</v>
      </c>
      <c r="H16" s="20">
        <f>ROUND(('[2]Changes FY08'!H16),-3)</f>
        <v>0</v>
      </c>
      <c r="I16" s="28">
        <f t="shared" si="0"/>
        <v>-294308000</v>
      </c>
      <c r="J16" s="28"/>
      <c r="K16" s="29">
        <f>ROUND(('[2]Changes FY08'!K16),-3)</f>
        <v>0</v>
      </c>
      <c r="L16" s="29">
        <f>ROUND(('[2]Changes FY08'!L16),-3)</f>
        <v>0</v>
      </c>
      <c r="M16" s="28">
        <f t="shared" si="1"/>
        <v>-294308000</v>
      </c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6" ht="9.75" customHeight="1" x14ac:dyDescent="0.35">
      <c r="A17" s="61" t="s">
        <v>57</v>
      </c>
      <c r="B17" s="60">
        <f>B16+B15</f>
        <v>705981000</v>
      </c>
      <c r="C17" s="20">
        <f>ROUND(('[2]Changes FY08'!C17),-3)</f>
        <v>0</v>
      </c>
      <c r="D17" s="20">
        <f>ROUND(('[2]Changes FY08'!D17),-3)</f>
        <v>0</v>
      </c>
      <c r="E17" s="20">
        <f>ROUND(('[2]Changes FY08'!E17),-3)</f>
        <v>0</v>
      </c>
      <c r="F17" s="20">
        <f>ROUND(('[2]Changes FY08'!F17),-3)</f>
        <v>0</v>
      </c>
      <c r="G17" s="20">
        <f>ROUND(('[2]Changes FY08'!G17),-3)</f>
        <v>0</v>
      </c>
      <c r="H17" s="20">
        <f>ROUND(('[2]Changes FY08'!H17),-3)</f>
        <v>0</v>
      </c>
      <c r="I17" s="58">
        <f t="shared" si="0"/>
        <v>705981000</v>
      </c>
      <c r="J17" s="59"/>
      <c r="K17" s="29">
        <f>ROUND(('[2]Changes FY08'!K17),-3)</f>
        <v>0</v>
      </c>
      <c r="L17" s="29">
        <f>ROUND(('[2]Changes FY08'!L17),-3)</f>
        <v>0</v>
      </c>
      <c r="M17" s="58">
        <f t="shared" si="1"/>
        <v>705981000</v>
      </c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6" ht="9.75" customHeight="1" x14ac:dyDescent="0.35">
      <c r="A18" s="6" t="s">
        <v>56</v>
      </c>
      <c r="B18" s="20">
        <f>ROUND(('[2]Changes FY08'!B18),-3)</f>
        <v>38692000</v>
      </c>
      <c r="C18" s="20">
        <f>ROUND(('[2]Changes FY08'!C18),-3)</f>
        <v>0</v>
      </c>
      <c r="D18" s="30">
        <f>ROUND(('[2]Changes FY08'!D18),-3)</f>
        <v>33965000</v>
      </c>
      <c r="E18" s="20">
        <f>ROUND(('[2]Changes FY08'!E18),-3)</f>
        <v>0</v>
      </c>
      <c r="F18" s="20">
        <f>ROUND(('[2]Changes FY08'!F18),-3)</f>
        <v>0</v>
      </c>
      <c r="G18" s="20">
        <f>ROUND(('[2]Changes FY08'!G18),-3)</f>
        <v>0</v>
      </c>
      <c r="H18" s="20">
        <f>ROUND(('[2]Changes FY08'!H18),-3)</f>
        <v>0</v>
      </c>
      <c r="I18" s="28">
        <f t="shared" si="0"/>
        <v>72657000</v>
      </c>
      <c r="J18" s="28"/>
      <c r="K18" s="29">
        <f>ROUND(('[2]Changes FY08'!K18),-3)</f>
        <v>0</v>
      </c>
      <c r="L18" s="31">
        <f>ROUND(('[2]Changes FY08'!L18),-3)+1000</f>
        <v>316000</v>
      </c>
      <c r="M18" s="28">
        <f t="shared" si="1"/>
        <v>72973000</v>
      </c>
      <c r="N18" s="2"/>
      <c r="O18" s="2"/>
      <c r="P18" s="2"/>
      <c r="Q18" s="2"/>
      <c r="R18" s="2"/>
      <c r="S18" s="2"/>
      <c r="T18" s="2"/>
      <c r="U18" s="2"/>
      <c r="V18" s="2"/>
      <c r="W18" s="2"/>
      <c r="Z18" s="1" t="e">
        <f>SUM(O18+#REF!+M18+R18+T18+X18)</f>
        <v>#REF!</v>
      </c>
    </row>
    <row r="19" spans="1:26" ht="9.75" customHeight="1" x14ac:dyDescent="0.35">
      <c r="A19" s="6" t="s">
        <v>55</v>
      </c>
      <c r="B19" s="20">
        <f>ROUND(('[2]Changes FY08'!B19),-3)</f>
        <v>11104000</v>
      </c>
      <c r="C19" s="20">
        <f>ROUND(('[2]Changes FY08'!C19),-3)</f>
        <v>0</v>
      </c>
      <c r="D19" s="20">
        <f>ROUND(('[2]Changes FY08'!D19),-3)</f>
        <v>2704000</v>
      </c>
      <c r="E19" s="30">
        <f>ROUND(('[2]Changes FY08'!E19),-3)</f>
        <v>11520000</v>
      </c>
      <c r="F19" s="20">
        <f>ROUND(('[2]Changes FY08'!F19),-3)</f>
        <v>0</v>
      </c>
      <c r="G19" s="20">
        <f>ROUND(('[2]Changes FY08'!G19),-3)</f>
        <v>0</v>
      </c>
      <c r="H19" s="20">
        <f>ROUND(('[2]Changes FY08'!H19),-3)</f>
        <v>-279000</v>
      </c>
      <c r="I19" s="28">
        <f t="shared" si="0"/>
        <v>25049000</v>
      </c>
      <c r="J19" s="28"/>
      <c r="K19" s="31">
        <f>ROUND(('[2]Changes FY08'!K19),-3)</f>
        <v>3000</v>
      </c>
      <c r="L19" s="29">
        <f>ROUND(('[2]Changes FY08'!L19),-3)</f>
        <v>199000</v>
      </c>
      <c r="M19" s="28">
        <f t="shared" si="1"/>
        <v>25251000</v>
      </c>
      <c r="N19" s="2"/>
      <c r="O19" s="2"/>
      <c r="P19" s="2"/>
      <c r="Q19" s="2"/>
      <c r="R19" s="2"/>
      <c r="S19" s="2"/>
      <c r="T19" s="2"/>
      <c r="U19" s="2"/>
      <c r="V19" s="2"/>
      <c r="W19" s="2"/>
      <c r="Z19" s="1" t="e">
        <f>SUM(O19+#REF!+M19+R19+T19+X19)</f>
        <v>#REF!</v>
      </c>
    </row>
    <row r="20" spans="1:26" ht="9.75" customHeight="1" x14ac:dyDescent="0.35">
      <c r="A20" s="6" t="s">
        <v>54</v>
      </c>
      <c r="B20" s="20">
        <f>ROUND(('[2]Changes FY08'!B20),-3)</f>
        <v>0</v>
      </c>
      <c r="C20" s="20">
        <f>ROUND(('[2]Changes FY08'!C20),-3)</f>
        <v>0</v>
      </c>
      <c r="D20" s="20">
        <f>ROUND(('[2]Changes FY08'!D20),-3)</f>
        <v>-10659000</v>
      </c>
      <c r="E20" s="20">
        <f>ROUND(('[2]Changes FY08'!E20),-3)</f>
        <v>-4287000</v>
      </c>
      <c r="F20" s="20">
        <f>ROUND(('[2]Changes FY08'!F20),-3)</f>
        <v>0</v>
      </c>
      <c r="G20" s="30">
        <f>ROUND(('[2]Changes FY08'!G20),-3)+1000</f>
        <v>-128059000</v>
      </c>
      <c r="H20" s="20">
        <f>ROUND(('[2]Changes FY08'!H20),-3)</f>
        <v>0</v>
      </c>
      <c r="I20" s="28">
        <f t="shared" si="0"/>
        <v>-143005000</v>
      </c>
      <c r="J20" s="28"/>
      <c r="K20" s="29">
        <f>ROUND(('[2]Changes FY08'!K20),-3)</f>
        <v>-4786000</v>
      </c>
      <c r="L20" s="29">
        <f>ROUND(('[2]Changes FY08'!L20),-3)</f>
        <v>-11664000</v>
      </c>
      <c r="M20" s="28">
        <f t="shared" si="1"/>
        <v>-159455000</v>
      </c>
      <c r="N20" s="2"/>
      <c r="O20" s="2"/>
      <c r="P20" s="2"/>
      <c r="Q20" s="2"/>
      <c r="R20" s="2"/>
      <c r="S20" s="2"/>
      <c r="T20" s="2"/>
      <c r="U20" s="2"/>
      <c r="V20" s="2"/>
      <c r="W20" s="2"/>
      <c r="Z20" s="1" t="e">
        <f>SUM(O20+#REF!+M20+R20+T20+X20)</f>
        <v>#REF!</v>
      </c>
    </row>
    <row r="21" spans="1:26" ht="9.75" customHeight="1" x14ac:dyDescent="0.35">
      <c r="A21" s="6" t="s">
        <v>53</v>
      </c>
      <c r="B21" s="20">
        <f>ROUND(('[2]Changes FY08'!B21),-3)</f>
        <v>0</v>
      </c>
      <c r="C21" s="20">
        <f>ROUND(('[2]Changes FY08'!C21),-3)</f>
        <v>0</v>
      </c>
      <c r="D21" s="20">
        <f>ROUND(('[2]Changes FY08'!D21),-3)</f>
        <v>240061000</v>
      </c>
      <c r="E21" s="20">
        <f>ROUND(('[2]Changes FY08'!E21),-3)</f>
        <v>0</v>
      </c>
      <c r="F21" s="20">
        <f>ROUND(('[2]Changes FY08'!F21),-3)</f>
        <v>0</v>
      </c>
      <c r="G21" s="20">
        <f>ROUND(('[2]Changes FY08'!G21),-3)</f>
        <v>0</v>
      </c>
      <c r="H21" s="20">
        <f>ROUND(('[2]Changes FY08'!H21),-3)</f>
        <v>0</v>
      </c>
      <c r="I21" s="28">
        <f t="shared" si="0"/>
        <v>240061000</v>
      </c>
      <c r="J21" s="28"/>
      <c r="K21" s="29">
        <f>ROUND(('[2]Changes FY08'!K21),-3)</f>
        <v>0</v>
      </c>
      <c r="L21" s="29">
        <f>ROUND(('[2]Changes FY08'!L21),-3)</f>
        <v>0</v>
      </c>
      <c r="M21" s="28">
        <f t="shared" si="1"/>
        <v>240061000</v>
      </c>
      <c r="N21" s="2"/>
      <c r="O21" s="2"/>
      <c r="P21" s="2"/>
      <c r="Q21" s="2"/>
      <c r="R21" s="2"/>
      <c r="S21" s="2"/>
      <c r="T21" s="2"/>
      <c r="U21" s="2"/>
      <c r="V21" s="2"/>
      <c r="W21" s="2"/>
      <c r="Z21" s="1" t="e">
        <f>SUM(O21+#REF!+M21+R21+T21+X21)</f>
        <v>#REF!</v>
      </c>
    </row>
    <row r="22" spans="1:26" ht="9.75" customHeight="1" x14ac:dyDescent="0.35">
      <c r="A22" s="6" t="s">
        <v>52</v>
      </c>
      <c r="B22" s="20">
        <f>ROUND(('[2]Changes FY08'!B22),-3)</f>
        <v>103956000</v>
      </c>
      <c r="C22" s="20">
        <f>ROUND(('[2]Changes FY08'!C22),-3)</f>
        <v>0</v>
      </c>
      <c r="D22" s="20">
        <f>ROUND(('[2]Changes FY08'!D22),-3)</f>
        <v>0</v>
      </c>
      <c r="E22" s="20">
        <f>ROUND(('[2]Changes FY08'!E22),-3)</f>
        <v>0</v>
      </c>
      <c r="F22" s="20">
        <f>ROUND(('[2]Changes FY08'!F22),-3)</f>
        <v>0</v>
      </c>
      <c r="G22" s="20">
        <f>ROUND(('[2]Changes FY08'!G22),-3)</f>
        <v>0</v>
      </c>
      <c r="H22" s="20">
        <f>ROUND(('[2]Changes FY08'!H22),-3)</f>
        <v>0</v>
      </c>
      <c r="I22" s="28">
        <f t="shared" si="0"/>
        <v>103956000</v>
      </c>
      <c r="J22" s="28"/>
      <c r="K22" s="29">
        <f>ROUND(('[2]Changes FY08'!K22),-3)</f>
        <v>0</v>
      </c>
      <c r="L22" s="29">
        <f>ROUND(('[2]Changes FY08'!L22),-3)</f>
        <v>0</v>
      </c>
      <c r="M22" s="28">
        <f t="shared" si="1"/>
        <v>103956000</v>
      </c>
      <c r="N22" s="2"/>
      <c r="O22" s="2"/>
      <c r="P22" s="2"/>
      <c r="Q22" s="2"/>
      <c r="R22" s="2"/>
      <c r="S22" s="2"/>
      <c r="T22" s="2"/>
      <c r="U22" s="2"/>
      <c r="V22" s="2"/>
      <c r="W22" s="2"/>
      <c r="Z22" s="1" t="e">
        <f>SUM(O22+#REF!+M22+R22+T22+X22)</f>
        <v>#REF!</v>
      </c>
    </row>
    <row r="23" spans="1:26" ht="9.75" customHeight="1" x14ac:dyDescent="0.35">
      <c r="A23" s="6" t="s">
        <v>51</v>
      </c>
      <c r="B23" s="20">
        <f>ROUND(('[2]Changes FY08'!B23),-3)</f>
        <v>50615000</v>
      </c>
      <c r="C23" s="20">
        <f>ROUND(('[2]Changes FY08'!C23),-3)</f>
        <v>0</v>
      </c>
      <c r="D23" s="20">
        <f>ROUND(('[2]Changes FY08'!D23),-3)</f>
        <v>206814000</v>
      </c>
      <c r="E23" s="20">
        <f>ROUND(('[2]Changes FY08'!E23),-3)+1000</f>
        <v>50717000</v>
      </c>
      <c r="F23" s="30">
        <f>ROUND(('[2]Changes FY08'!F23),-3)</f>
        <v>92000</v>
      </c>
      <c r="G23" s="20">
        <f>ROUND(('[2]Changes FY08'!G23),-3)</f>
        <v>0</v>
      </c>
      <c r="H23" s="20">
        <f>ROUND(('[2]Changes FY08'!H23),-3)</f>
        <v>0</v>
      </c>
      <c r="I23" s="28">
        <f t="shared" si="0"/>
        <v>308238000</v>
      </c>
      <c r="J23" s="28"/>
      <c r="K23" s="29">
        <f>ROUND(('[2]Changes FY08'!K23),-3)</f>
        <v>49306000</v>
      </c>
      <c r="L23" s="29">
        <f>ROUND(('[2]Changes FY08'!L23),-3)</f>
        <v>52561000</v>
      </c>
      <c r="M23" s="28">
        <f t="shared" si="1"/>
        <v>410105000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Z23" s="1" t="e">
        <f>SUM(O23+#REF!+M23+R23+T23+X23)</f>
        <v>#REF!</v>
      </c>
    </row>
    <row r="24" spans="1:26" ht="9.75" customHeight="1" x14ac:dyDescent="0.35">
      <c r="A24" s="6" t="s">
        <v>50</v>
      </c>
      <c r="B24" s="20">
        <f>ROUND(('[2]Changes FY08'!B24),-3)</f>
        <v>32057000</v>
      </c>
      <c r="C24" s="20">
        <f>ROUND(('[2]Changes FY08'!C24),-3)</f>
        <v>0</v>
      </c>
      <c r="D24" s="20">
        <f>ROUND(('[2]Changes FY08'!D24),-3)</f>
        <v>0</v>
      </c>
      <c r="E24" s="20">
        <f>ROUND(('[2]Changes FY08'!E24),-3)</f>
        <v>0</v>
      </c>
      <c r="F24" s="20">
        <f>ROUND(('[2]Changes FY08'!F24),-3)</f>
        <v>0</v>
      </c>
      <c r="G24" s="20">
        <f>ROUND(('[2]Changes FY08'!G24),-3)</f>
        <v>0</v>
      </c>
      <c r="H24" s="20">
        <f>ROUND(('[2]Changes FY08'!H24),-3)</f>
        <v>0</v>
      </c>
      <c r="I24" s="28">
        <f t="shared" si="0"/>
        <v>32057000</v>
      </c>
      <c r="J24" s="28"/>
      <c r="K24" s="29">
        <f>ROUND(('[2]Changes FY08'!K24),-3)</f>
        <v>0</v>
      </c>
      <c r="L24" s="29">
        <f>ROUND(('[2]Changes FY08'!L24),-3)</f>
        <v>0</v>
      </c>
      <c r="M24" s="28">
        <f t="shared" si="1"/>
        <v>32057000</v>
      </c>
      <c r="N24" s="2"/>
      <c r="O24" s="2"/>
      <c r="P24" s="2"/>
      <c r="Q24" s="2"/>
      <c r="R24" s="2"/>
      <c r="S24" s="2"/>
      <c r="T24" s="2"/>
      <c r="U24" s="2"/>
      <c r="V24" s="2"/>
      <c r="W24" s="2"/>
      <c r="Z24" s="1" t="e">
        <f>SUM(O24+#REF!+M24+R24+T24+X24)</f>
        <v>#REF!</v>
      </c>
    </row>
    <row r="25" spans="1:26" ht="9.75" customHeight="1" x14ac:dyDescent="0.35">
      <c r="A25" s="6" t="s">
        <v>49</v>
      </c>
      <c r="B25" s="20">
        <f>ROUND(('[2]Changes FY08'!B25),-3)-1000</f>
        <v>223125000</v>
      </c>
      <c r="C25" s="20">
        <f>ROUND(('[2]Changes FY08'!C25),-3)</f>
        <v>0</v>
      </c>
      <c r="D25" s="20">
        <f>ROUND(('[2]Changes FY08'!D25),-3)</f>
        <v>0</v>
      </c>
      <c r="E25" s="20">
        <f>ROUND(('[2]Changes FY08'!E25),-3)</f>
        <v>0</v>
      </c>
      <c r="F25" s="20">
        <f>ROUND(('[2]Changes FY08'!F25),-3)</f>
        <v>0</v>
      </c>
      <c r="G25" s="20">
        <f>ROUND(('[2]Changes FY08'!G25),-3)</f>
        <v>0</v>
      </c>
      <c r="H25" s="20">
        <f>ROUND(('[2]Changes FY08'!H25),-3)</f>
        <v>0</v>
      </c>
      <c r="I25" s="28">
        <f t="shared" si="0"/>
        <v>223125000</v>
      </c>
      <c r="J25" s="28"/>
      <c r="K25" s="29">
        <f>ROUND(('[2]Changes FY08'!K25),-3)</f>
        <v>0</v>
      </c>
      <c r="L25" s="29">
        <f>ROUND(('[2]Changes FY08'!L25),-3)</f>
        <v>0</v>
      </c>
      <c r="M25" s="28">
        <f t="shared" si="1"/>
        <v>223125000</v>
      </c>
      <c r="N25" s="2"/>
      <c r="O25" s="2"/>
      <c r="P25" s="2"/>
      <c r="Q25" s="2"/>
      <c r="R25" s="2"/>
      <c r="S25" s="2"/>
      <c r="T25" s="2"/>
      <c r="U25" s="2"/>
      <c r="V25" s="2"/>
      <c r="W25" s="2"/>
      <c r="Z25" s="1" t="e">
        <f>SUM(O25+#REF!+M25+R25+T25+X25)</f>
        <v>#REF!</v>
      </c>
    </row>
    <row r="26" spans="1:26" ht="9.75" customHeight="1" x14ac:dyDescent="0.35">
      <c r="A26" s="6" t="s">
        <v>48</v>
      </c>
      <c r="B26" s="20">
        <f>ROUND(('[2]Changes FY08'!B26),-3)</f>
        <v>0</v>
      </c>
      <c r="C26" s="30">
        <f>ROUND(('[2]Changes FY08'!C26),-3)</f>
        <v>81201000</v>
      </c>
      <c r="D26" s="20">
        <f>ROUND(('[2]Changes FY08'!D26),-3)</f>
        <v>0</v>
      </c>
      <c r="E26" s="20">
        <f>ROUND(('[2]Changes FY08'!E26),-3)</f>
        <v>0</v>
      </c>
      <c r="F26" s="20">
        <f>ROUND(('[2]Changes FY08'!F26),-3)</f>
        <v>0</v>
      </c>
      <c r="G26" s="20">
        <f>ROUND(('[2]Changes FY08'!G26),-3)</f>
        <v>0</v>
      </c>
      <c r="H26" s="20">
        <f>ROUND(('[2]Changes FY08'!H26),-3)</f>
        <v>0</v>
      </c>
      <c r="I26" s="28">
        <f t="shared" si="0"/>
        <v>81201000</v>
      </c>
      <c r="J26" s="28"/>
      <c r="K26" s="29">
        <f>ROUND(('[2]Changes FY08'!K26),-3)</f>
        <v>0</v>
      </c>
      <c r="L26" s="29">
        <f>ROUND(('[2]Changes FY08'!L26),-3)</f>
        <v>0</v>
      </c>
      <c r="M26" s="28">
        <f t="shared" si="1"/>
        <v>81201000</v>
      </c>
      <c r="N26" s="2"/>
      <c r="O26" s="2"/>
      <c r="P26" s="2"/>
      <c r="Q26" s="2"/>
      <c r="R26" s="2"/>
      <c r="S26" s="2"/>
      <c r="T26" s="2"/>
      <c r="U26" s="2"/>
      <c r="V26" s="2"/>
      <c r="W26" s="2"/>
      <c r="Z26" s="1" t="e">
        <f>SUM(O26+#REF!+M26+R26+T26+X26)</f>
        <v>#REF!</v>
      </c>
    </row>
    <row r="27" spans="1:26" ht="9.75" customHeight="1" x14ac:dyDescent="0.35">
      <c r="A27" s="6" t="s">
        <v>47</v>
      </c>
      <c r="B27" s="20">
        <f>ROUND(('[2]Changes FY08'!B27),-3)</f>
        <v>0</v>
      </c>
      <c r="C27" s="20">
        <f>ROUND(('[2]Changes FY08'!C27),-3)</f>
        <v>75251000</v>
      </c>
      <c r="D27" s="20">
        <f>ROUND(('[2]Changes FY08'!D27),-3)</f>
        <v>0</v>
      </c>
      <c r="E27" s="20">
        <f>ROUND(('[2]Changes FY08'!E27),-3)</f>
        <v>0</v>
      </c>
      <c r="F27" s="20">
        <f>ROUND(('[2]Changes FY08'!F27),-3)</f>
        <v>0</v>
      </c>
      <c r="G27" s="20">
        <f>ROUND(('[2]Changes FY08'!G27),-3)</f>
        <v>0</v>
      </c>
      <c r="H27" s="20">
        <f>ROUND(('[2]Changes FY08'!H27),-3)</f>
        <v>0</v>
      </c>
      <c r="I27" s="28">
        <f t="shared" si="0"/>
        <v>75251000</v>
      </c>
      <c r="J27" s="28"/>
      <c r="K27" s="29">
        <f>ROUND(('[2]Changes FY08'!K27),-3)</f>
        <v>0</v>
      </c>
      <c r="L27" s="29">
        <f>ROUND(('[2]Changes FY08'!L27),-3)</f>
        <v>0</v>
      </c>
      <c r="M27" s="28">
        <f t="shared" si="1"/>
        <v>75251000</v>
      </c>
      <c r="N27" s="2"/>
      <c r="O27" s="2"/>
      <c r="P27" s="2"/>
      <c r="Q27" s="2"/>
      <c r="R27" s="2"/>
      <c r="S27" s="2"/>
      <c r="T27" s="2"/>
      <c r="U27" s="2"/>
      <c r="V27" s="2"/>
      <c r="W27" s="2"/>
      <c r="Z27" s="1" t="e">
        <f>SUM(O27+#REF!+M27+R27+T27+X27)</f>
        <v>#REF!</v>
      </c>
    </row>
    <row r="28" spans="1:26" s="2" customFormat="1" ht="10.5" customHeight="1" x14ac:dyDescent="0.35">
      <c r="A28" s="2" t="s">
        <v>46</v>
      </c>
      <c r="B28" s="20">
        <f>ROUND(('[2]Changes FY08'!B28),-3)</f>
        <v>0</v>
      </c>
      <c r="C28" s="20">
        <f>ROUND(('[2]Changes FY08'!C28),-3)</f>
        <v>0</v>
      </c>
      <c r="D28" s="20">
        <f>ROUND(('[2]Changes FY08'!D28),-3)</f>
        <v>912000</v>
      </c>
      <c r="E28" s="20">
        <f>ROUND(('[2]Changes FY08'!E28),-3)</f>
        <v>0</v>
      </c>
      <c r="F28" s="20">
        <f>ROUND(('[2]Changes FY08'!F28),-3)</f>
        <v>-877000</v>
      </c>
      <c r="G28" s="20">
        <f>ROUND(('[2]Changes FY08'!G28),-3)</f>
        <v>0</v>
      </c>
      <c r="H28" s="20">
        <f>ROUND(('[2]Changes FY08'!H28),-3)</f>
        <v>0</v>
      </c>
      <c r="I28" s="28">
        <f t="shared" si="0"/>
        <v>35000</v>
      </c>
      <c r="J28" s="28"/>
      <c r="K28" s="29">
        <f>ROUND(('[2]Changes FY08'!K28),-3)</f>
        <v>0</v>
      </c>
      <c r="L28" s="29">
        <f>ROUND(('[2]Changes FY08'!L28),-3)</f>
        <v>0</v>
      </c>
      <c r="M28" s="28">
        <f t="shared" si="1"/>
        <v>35000</v>
      </c>
    </row>
    <row r="29" spans="1:26" ht="9.75" customHeight="1" x14ac:dyDescent="0.35">
      <c r="A29" s="6" t="s">
        <v>45</v>
      </c>
      <c r="B29" s="20">
        <f>ROUND(('[2]Changes FY08'!B29),-3)</f>
        <v>73978000</v>
      </c>
      <c r="C29" s="20">
        <f>ROUND(('[2]Changes FY08'!C29),-3)</f>
        <v>0</v>
      </c>
      <c r="D29" s="20">
        <f>ROUND(('[2]Changes FY08'!D29),-3)</f>
        <v>12095000</v>
      </c>
      <c r="E29" s="20">
        <f>ROUND(('[2]Changes FY08'!E29),-3)</f>
        <v>0</v>
      </c>
      <c r="F29" s="20">
        <f>ROUND(('[2]Changes FY08'!F29),-3)</f>
        <v>414000</v>
      </c>
      <c r="G29" s="20">
        <f>ROUND(('[2]Changes FY08'!G29),-3)</f>
        <v>0</v>
      </c>
      <c r="H29" s="20">
        <f>ROUND(('[2]Changes FY08'!H29),-3)</f>
        <v>0</v>
      </c>
      <c r="I29" s="28">
        <f t="shared" si="0"/>
        <v>86487000</v>
      </c>
      <c r="J29" s="28"/>
      <c r="K29" s="29">
        <f>ROUND(('[2]Changes FY08'!K29),-3)</f>
        <v>0</v>
      </c>
      <c r="L29" s="29">
        <f>ROUND(('[2]Changes FY08'!L29),-3)</f>
        <v>0</v>
      </c>
      <c r="M29" s="28">
        <f t="shared" si="1"/>
        <v>86487000</v>
      </c>
      <c r="N29" s="2"/>
      <c r="O29" s="2"/>
      <c r="P29" s="2"/>
      <c r="Q29" s="2"/>
      <c r="R29" s="2"/>
      <c r="S29" s="2"/>
      <c r="T29" s="2"/>
      <c r="U29" s="2"/>
      <c r="V29" s="2"/>
      <c r="W29" s="2"/>
      <c r="Z29" s="1" t="e">
        <f>SUM(O29+#REF!+M29+R29+T29+X29)</f>
        <v>#REF!</v>
      </c>
    </row>
    <row r="30" spans="1:26" ht="9.75" customHeight="1" x14ac:dyDescent="0.35">
      <c r="A30" s="6" t="s">
        <v>44</v>
      </c>
      <c r="B30" s="20">
        <f>ROUND(('[2]Changes FY08'!B30),-3)</f>
        <v>0</v>
      </c>
      <c r="C30" s="20">
        <f>ROUND(('[2]Changes FY08'!C30),-3)</f>
        <v>0</v>
      </c>
      <c r="D30" s="20">
        <f>ROUND(('[2]Changes FY08'!D30),-3)</f>
        <v>0</v>
      </c>
      <c r="E30" s="20">
        <f>ROUND(('[2]Changes FY08'!E30),-3)</f>
        <v>0</v>
      </c>
      <c r="F30" s="20">
        <f>ROUND(('[2]Changes FY08'!F30),-3)</f>
        <v>0</v>
      </c>
      <c r="G30" s="20">
        <f>ROUND(('[2]Changes FY08'!G30),-3)</f>
        <v>0</v>
      </c>
      <c r="H30" s="20">
        <f>ROUND(('[2]Changes FY08'!H30),-3)</f>
        <v>0</v>
      </c>
      <c r="I30" s="28"/>
      <c r="J30" s="28"/>
      <c r="K30" s="29">
        <f>ROUND(('[2]Changes FY08'!K30),-3)</f>
        <v>3992000</v>
      </c>
      <c r="L30" s="29">
        <f>ROUND(('[2]Changes FY08'!L30),-3)</f>
        <v>1356000</v>
      </c>
      <c r="M30" s="28">
        <f t="shared" si="1"/>
        <v>5348000</v>
      </c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6" ht="9.75" customHeight="1" x14ac:dyDescent="0.35">
      <c r="A31" s="6" t="s">
        <v>43</v>
      </c>
      <c r="B31" s="20">
        <f>ROUND(('[2]Changes FY08'!B31),-3)</f>
        <v>0</v>
      </c>
      <c r="C31" s="20">
        <f>ROUND(('[2]Changes FY08'!C31),-3)</f>
        <v>0</v>
      </c>
      <c r="D31" s="20">
        <f>ROUND(('[2]Changes FY08'!D31),-3)</f>
        <v>33824000</v>
      </c>
      <c r="E31" s="20">
        <f>ROUND(('[2]Changes FY08'!E31),-3)</f>
        <v>5620000</v>
      </c>
      <c r="F31" s="20">
        <f>ROUND(('[2]Changes FY08'!F31),-3)</f>
        <v>0</v>
      </c>
      <c r="G31" s="20">
        <f>ROUND(('[2]Changes FY08'!G31),-3)</f>
        <v>-4754000</v>
      </c>
      <c r="H31" s="20">
        <f>ROUND(('[2]Changes FY08'!H31),-3)</f>
        <v>0</v>
      </c>
      <c r="I31" s="28">
        <f>SUM(B31:H31)</f>
        <v>34690000</v>
      </c>
      <c r="J31" s="28"/>
      <c r="K31" s="29">
        <f>ROUND(('[2]Changes FY08'!K31),-3)</f>
        <v>-43078000</v>
      </c>
      <c r="L31" s="29">
        <f>ROUND(('[2]Changes FY08'!L31),-3)</f>
        <v>8388000</v>
      </c>
      <c r="M31" s="28">
        <f t="shared" si="1"/>
        <v>0</v>
      </c>
      <c r="N31" s="2"/>
      <c r="O31" s="2"/>
      <c r="P31" s="2"/>
      <c r="Q31" s="2"/>
      <c r="R31" s="2"/>
      <c r="S31" s="2"/>
      <c r="T31" s="2"/>
      <c r="U31" s="2"/>
      <c r="V31" s="2"/>
      <c r="W31" s="2"/>
      <c r="Z31" s="1" t="e">
        <f>SUM(O31+#REF!+M31+R31+T31+X31)</f>
        <v>#REF!</v>
      </c>
    </row>
    <row r="32" spans="1:26" ht="12.95" customHeight="1" x14ac:dyDescent="0.35">
      <c r="A32" s="37" t="s">
        <v>42</v>
      </c>
      <c r="B32" s="57">
        <f t="shared" ref="B32:M32" si="2">SUM(B17:B31)</f>
        <v>1239508000</v>
      </c>
      <c r="C32" s="57">
        <f t="shared" si="2"/>
        <v>156452000</v>
      </c>
      <c r="D32" s="57">
        <f t="shared" si="2"/>
        <v>519716000</v>
      </c>
      <c r="E32" s="57">
        <f t="shared" si="2"/>
        <v>63570000</v>
      </c>
      <c r="F32" s="57">
        <f t="shared" si="2"/>
        <v>-371000</v>
      </c>
      <c r="G32" s="57">
        <f t="shared" si="2"/>
        <v>-132813000</v>
      </c>
      <c r="H32" s="57">
        <f t="shared" si="2"/>
        <v>-279000</v>
      </c>
      <c r="I32" s="56">
        <f t="shared" si="2"/>
        <v>1845783000</v>
      </c>
      <c r="J32" s="56">
        <f t="shared" si="2"/>
        <v>0</v>
      </c>
      <c r="K32" s="56">
        <f t="shared" si="2"/>
        <v>5437000</v>
      </c>
      <c r="L32" s="56">
        <f t="shared" si="2"/>
        <v>51156000</v>
      </c>
      <c r="M32" s="56">
        <f t="shared" si="2"/>
        <v>1902376000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5"/>
      <c r="Y32" s="5"/>
      <c r="Z32" s="1" t="e">
        <f>SUM(O32+#REF!+M32+R32+T32+X32)</f>
        <v>#REF!</v>
      </c>
    </row>
    <row r="33" spans="1:27" ht="12.95" customHeight="1" x14ac:dyDescent="0.35">
      <c r="A33" s="54"/>
      <c r="B33" s="53"/>
      <c r="C33" s="53"/>
      <c r="D33" s="53"/>
      <c r="E33" s="53"/>
      <c r="F33" s="53"/>
      <c r="G33" s="53"/>
      <c r="H33" s="53"/>
      <c r="I33" s="43"/>
      <c r="J33" s="28"/>
      <c r="K33" s="43"/>
      <c r="L33" s="43"/>
      <c r="M33" s="43"/>
      <c r="N33" s="2"/>
      <c r="O33" s="2"/>
      <c r="P33" s="2"/>
      <c r="Q33" s="2"/>
      <c r="R33" s="2"/>
      <c r="S33" s="2"/>
      <c r="T33" s="2"/>
      <c r="U33" s="2"/>
      <c r="V33" s="2"/>
      <c r="W33" s="2"/>
      <c r="X33" s="5"/>
      <c r="Y33" s="5"/>
    </row>
    <row r="34" spans="1:27" ht="9.75" customHeight="1" x14ac:dyDescent="0.35">
      <c r="A34" s="33" t="s">
        <v>41</v>
      </c>
      <c r="B34" s="20"/>
      <c r="C34" s="20"/>
      <c r="D34" s="20"/>
      <c r="E34" s="20"/>
      <c r="F34" s="20"/>
      <c r="G34" s="20"/>
      <c r="H34" s="20"/>
      <c r="I34" s="28"/>
      <c r="J34" s="28"/>
      <c r="K34" s="28"/>
      <c r="L34" s="28"/>
      <c r="M34" s="28"/>
      <c r="N34" s="2"/>
      <c r="O34" s="2"/>
      <c r="P34" s="2"/>
      <c r="Q34" s="2"/>
      <c r="R34" s="2"/>
      <c r="S34" s="2"/>
      <c r="T34" s="2"/>
      <c r="U34" s="2"/>
      <c r="V34" s="2"/>
      <c r="W34" s="2"/>
      <c r="Z34" s="1" t="e">
        <f>SUM(O34+#REF!+M34+R34+T34+X34)</f>
        <v>#REF!</v>
      </c>
    </row>
    <row r="35" spans="1:27" s="2" customFormat="1" ht="9.75" customHeight="1" x14ac:dyDescent="0.35">
      <c r="A35" s="6" t="s">
        <v>40</v>
      </c>
      <c r="B35" s="20">
        <f>ROUND(('[2]Changes FY08'!B35),-3)</f>
        <v>1187475000</v>
      </c>
      <c r="C35" s="20">
        <f>ROUND(('[2]Changes FY08'!C35),-3)</f>
        <v>0</v>
      </c>
      <c r="D35" s="20">
        <f>ROUND(('[2]Changes FY08'!D35),-3)</f>
        <v>470538000</v>
      </c>
      <c r="E35" s="20">
        <f>ROUND(('[2]Changes FY08'!E35),-3)</f>
        <v>0</v>
      </c>
      <c r="F35" s="20">
        <f>ROUND(('[2]Changes FY08'!F35),-3)</f>
        <v>0</v>
      </c>
      <c r="G35" s="20">
        <f>ROUND(('[2]Changes FY08'!G35),-3)</f>
        <v>0</v>
      </c>
      <c r="H35" s="20">
        <f>ROUND(('[2]Changes FY08'!H35),-3)</f>
        <v>0</v>
      </c>
      <c r="I35" s="28">
        <f>SUM(B35:H35)</f>
        <v>1658013000</v>
      </c>
      <c r="J35" s="28"/>
      <c r="K35" s="29">
        <f>ROUND(('[2]Changes FY08'!K35),-3)</f>
        <v>0</v>
      </c>
      <c r="L35" s="29">
        <f>ROUND(('[2]Changes FY08'!L35),-3)</f>
        <v>0</v>
      </c>
      <c r="M35" s="28">
        <f>SUM(I35:L35)</f>
        <v>1658013000</v>
      </c>
    </row>
    <row r="36" spans="1:27" s="2" customFormat="1" ht="9.75" customHeight="1" x14ac:dyDescent="0.35">
      <c r="A36" s="2" t="s">
        <v>39</v>
      </c>
      <c r="B36" s="20">
        <f>ROUND(('[2]Changes FY08'!B36),-3)</f>
        <v>0</v>
      </c>
      <c r="C36" s="20">
        <f>ROUND(('[2]Changes FY08'!C36),-3)</f>
        <v>149402000</v>
      </c>
      <c r="D36" s="20">
        <f>ROUND(('[2]Changes FY08'!D36),-3)</f>
        <v>0</v>
      </c>
      <c r="E36" s="20">
        <f>ROUND(('[2]Changes FY08'!E36),-3)</f>
        <v>0</v>
      </c>
      <c r="F36" s="20">
        <f>ROUND(('[2]Changes FY08'!F36),-3)</f>
        <v>0</v>
      </c>
      <c r="G36" s="20">
        <f>ROUND(('[2]Changes FY08'!G36),-3)</f>
        <v>0</v>
      </c>
      <c r="H36" s="20">
        <f>ROUND(('[2]Changes FY08'!H36),-3)</f>
        <v>0</v>
      </c>
      <c r="I36" s="28">
        <f>SUM(B36:H36)</f>
        <v>149402000</v>
      </c>
      <c r="J36" s="28"/>
      <c r="K36" s="29">
        <f>ROUND(('[2]Changes FY08'!K36),-3)</f>
        <v>0</v>
      </c>
      <c r="L36" s="29">
        <f>ROUND(('[2]Changes FY08'!L36),-3)</f>
        <v>0</v>
      </c>
      <c r="M36" s="28">
        <f>SUM(I36:L36)</f>
        <v>149402000</v>
      </c>
    </row>
    <row r="37" spans="1:27" ht="9.75" customHeight="1" x14ac:dyDescent="0.35">
      <c r="A37" s="6" t="s">
        <v>38</v>
      </c>
      <c r="B37" s="20">
        <f>ROUND(('[2]Changes FY08'!B37),-3)</f>
        <v>0</v>
      </c>
      <c r="C37" s="20">
        <f>ROUND(('[2]Changes FY08'!C37),-3)</f>
        <v>0</v>
      </c>
      <c r="D37" s="20">
        <f>ROUND(('[2]Changes FY08'!D37),-3)</f>
        <v>0</v>
      </c>
      <c r="E37" s="20">
        <f>ROUND(('[2]Changes FY08'!E37),-3)</f>
        <v>0</v>
      </c>
      <c r="F37" s="20">
        <f>ROUND(('[2]Changes FY08'!F37),-3)</f>
        <v>103629000</v>
      </c>
      <c r="G37" s="20">
        <f>ROUND(('[2]Changes FY08'!G37),-3)</f>
        <v>0</v>
      </c>
      <c r="H37" s="20">
        <f>ROUND(('[2]Changes FY08'!H37),-3)</f>
        <v>0</v>
      </c>
      <c r="I37" s="28">
        <f>SUM(B37:H37)</f>
        <v>103629000</v>
      </c>
      <c r="J37" s="28"/>
      <c r="K37" s="29">
        <f>ROUND(('[2]Changes FY08'!K37),-3)</f>
        <v>0</v>
      </c>
      <c r="L37" s="29">
        <f>ROUND(('[2]Changes FY08'!L37),-3)</f>
        <v>0</v>
      </c>
      <c r="M37" s="28">
        <f>SUM(I37:L37)</f>
        <v>103629000</v>
      </c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7" ht="9.75" customHeight="1" x14ac:dyDescent="0.35">
      <c r="A38" s="6" t="s">
        <v>37</v>
      </c>
      <c r="B38" s="20">
        <f>ROUND(('[2]Changes FY08'!B38),-3)</f>
        <v>0</v>
      </c>
      <c r="C38" s="20">
        <f>ROUND(('[2]Changes FY08'!C38),-3)</f>
        <v>0</v>
      </c>
      <c r="D38" s="20">
        <f>ROUND(('[2]Changes FY08'!D38),-3)</f>
        <v>0</v>
      </c>
      <c r="E38" s="20">
        <f>ROUND(('[2]Changes FY08'!E38),-3)</f>
        <v>22485000</v>
      </c>
      <c r="F38" s="20">
        <f>ROUND(('[2]Changes FY08'!F38),-3)</f>
        <v>0</v>
      </c>
      <c r="G38" s="20">
        <f>ROUND(('[2]Changes FY08'!G38),-3)</f>
        <v>0</v>
      </c>
      <c r="H38" s="20">
        <f>ROUND(('[2]Changes FY08'!H38),-3)</f>
        <v>0</v>
      </c>
      <c r="I38" s="28">
        <f>SUM(B38:H38)</f>
        <v>22485000</v>
      </c>
      <c r="J38" s="28"/>
      <c r="K38" s="29">
        <f>ROUND(('[2]Changes FY08'!K38),-3)</f>
        <v>0</v>
      </c>
      <c r="L38" s="29">
        <f>ROUND(('[2]Changes FY08'!L38),-3)</f>
        <v>0</v>
      </c>
      <c r="M38" s="28">
        <f>SUM(I38:L38)</f>
        <v>22485000</v>
      </c>
      <c r="N38" s="2"/>
      <c r="O38" s="2"/>
      <c r="P38" s="2"/>
      <c r="Q38" s="2"/>
      <c r="R38" s="2"/>
      <c r="S38" s="2"/>
      <c r="T38" s="2"/>
      <c r="U38" s="2"/>
      <c r="V38" s="2"/>
      <c r="W38" s="2"/>
      <c r="Z38" s="1" t="e">
        <f>SUM(O38+#REF!+M38+R38+T38+X38)</f>
        <v>#REF!</v>
      </c>
    </row>
    <row r="39" spans="1:27" ht="9.75" customHeight="1" x14ac:dyDescent="0.35">
      <c r="A39" s="6" t="s">
        <v>36</v>
      </c>
      <c r="B39" s="20">
        <f>ROUND(('[2]Changes FY08'!B39),-3)</f>
        <v>0</v>
      </c>
      <c r="C39" s="20">
        <f>ROUND(('[2]Changes FY08'!C39),-3)</f>
        <v>0</v>
      </c>
      <c r="D39" s="20">
        <f>ROUND(('[2]Changes FY08'!D39),-3)</f>
        <v>0</v>
      </c>
      <c r="E39" s="20">
        <f>ROUND(('[2]Changes FY08'!E39),-3)</f>
        <v>0</v>
      </c>
      <c r="F39" s="20">
        <f>ROUND(('[2]Changes FY08'!F39),-3)</f>
        <v>0</v>
      </c>
      <c r="G39" s="20">
        <f>ROUND(('[2]Changes FY08'!G39),-3)</f>
        <v>0</v>
      </c>
      <c r="H39" s="20">
        <f>ROUND(('[2]Changes FY08'!H39),-3)</f>
        <v>0</v>
      </c>
      <c r="I39" s="28">
        <f>SUM(B39:H39)</f>
        <v>0</v>
      </c>
      <c r="J39" s="28"/>
      <c r="K39" s="29">
        <f>ROUND(('[2]Changes FY08'!K39),-3)</f>
        <v>0</v>
      </c>
      <c r="L39" s="29">
        <f>ROUND(('[2]Changes FY08'!L39),-3)</f>
        <v>0</v>
      </c>
      <c r="M39" s="28">
        <f>SUM(I39:L39)</f>
        <v>0</v>
      </c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7" s="9" customFormat="1" ht="12" customHeight="1" x14ac:dyDescent="0.35">
      <c r="A40" s="37" t="s">
        <v>35</v>
      </c>
      <c r="B40" s="57">
        <f t="shared" ref="B40:I40" si="3">SUM(B35:B39)</f>
        <v>1187475000</v>
      </c>
      <c r="C40" s="57">
        <f t="shared" si="3"/>
        <v>149402000</v>
      </c>
      <c r="D40" s="57">
        <f t="shared" si="3"/>
        <v>470538000</v>
      </c>
      <c r="E40" s="57">
        <f t="shared" si="3"/>
        <v>22485000</v>
      </c>
      <c r="F40" s="57">
        <f t="shared" si="3"/>
        <v>103629000</v>
      </c>
      <c r="G40" s="57">
        <f t="shared" si="3"/>
        <v>0</v>
      </c>
      <c r="H40" s="57">
        <f t="shared" si="3"/>
        <v>0</v>
      </c>
      <c r="I40" s="56">
        <f t="shared" si="3"/>
        <v>1933529000</v>
      </c>
      <c r="J40" s="28">
        <f>SUM(J35:J38)</f>
        <v>0</v>
      </c>
      <c r="K40" s="56">
        <f>SUM(K35:K38)</f>
        <v>0</v>
      </c>
      <c r="L40" s="56">
        <f>SUM(L35:L38)</f>
        <v>0</v>
      </c>
      <c r="M40" s="56">
        <f>SUM(M35:M39)</f>
        <v>1933529000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36"/>
      <c r="Y40" s="36"/>
      <c r="Z40" s="9" t="e">
        <f>SUM(O40+#REF!+M40+R40+T40+X40)</f>
        <v>#REF!</v>
      </c>
      <c r="AA40" s="36" t="e">
        <f>SUM(#REF!)</f>
        <v>#REF!</v>
      </c>
    </row>
    <row r="41" spans="1:27" s="15" customFormat="1" ht="12" customHeight="1" x14ac:dyDescent="0.35">
      <c r="A41" s="55"/>
      <c r="B41" s="53"/>
      <c r="C41" s="53"/>
      <c r="D41" s="53"/>
      <c r="E41" s="53"/>
      <c r="F41" s="53"/>
      <c r="G41" s="53"/>
      <c r="H41" s="53"/>
      <c r="I41" s="43"/>
      <c r="J41" s="28"/>
      <c r="K41" s="43"/>
      <c r="L41" s="43"/>
      <c r="M41" s="43"/>
      <c r="N41" s="2"/>
      <c r="O41" s="2"/>
      <c r="P41" s="2"/>
      <c r="Q41" s="2"/>
      <c r="R41" s="2"/>
      <c r="S41" s="2"/>
      <c r="T41" s="2"/>
      <c r="U41" s="2"/>
      <c r="V41" s="2"/>
      <c r="W41" s="2"/>
      <c r="X41" s="42"/>
      <c r="Y41" s="42"/>
      <c r="AA41" s="42"/>
    </row>
    <row r="42" spans="1:27" s="15" customFormat="1" ht="9.75" customHeight="1" x14ac:dyDescent="0.35">
      <c r="A42" s="54" t="s">
        <v>34</v>
      </c>
      <c r="B42" s="53"/>
      <c r="C42" s="53"/>
      <c r="D42" s="53"/>
      <c r="E42" s="53"/>
      <c r="F42" s="53"/>
      <c r="G42" s="53"/>
      <c r="H42" s="53"/>
      <c r="I42" s="43"/>
      <c r="J42" s="28"/>
      <c r="K42" s="28"/>
      <c r="L42" s="28"/>
      <c r="M42" s="28"/>
      <c r="N42" s="2"/>
      <c r="O42" s="2"/>
      <c r="P42" s="2"/>
      <c r="Q42" s="2"/>
      <c r="R42" s="2"/>
      <c r="S42" s="2"/>
      <c r="T42" s="2"/>
      <c r="U42" s="2"/>
      <c r="V42" s="2"/>
      <c r="W42" s="2"/>
      <c r="X42" s="42"/>
      <c r="Y42" s="42"/>
      <c r="AA42" s="42"/>
    </row>
    <row r="43" spans="1:27" ht="12" customHeight="1" x14ac:dyDescent="0.35">
      <c r="A43" s="6" t="s">
        <v>33</v>
      </c>
      <c r="B43" s="20">
        <f>ROUND(('[2]Changes FY08'!B43),-3)</f>
        <v>-21904000</v>
      </c>
      <c r="C43" s="20">
        <f>ROUND(('[2]Changes FY08'!C43),-3)</f>
        <v>-1145000</v>
      </c>
      <c r="D43" s="20">
        <f>ROUND(('[2]Changes FY08'!D43),-3)</f>
        <v>-1488000</v>
      </c>
      <c r="E43" s="20">
        <f>ROUND(('[2]Changes FY08'!E43),-3)</f>
        <v>24537000</v>
      </c>
      <c r="F43" s="20">
        <f>ROUND(('[2]Changes FY08'!F43),-3)</f>
        <v>0</v>
      </c>
      <c r="G43" s="20">
        <f>ROUND(('[2]Changes FY08'!G43),-3)</f>
        <v>0</v>
      </c>
      <c r="H43" s="20">
        <f>ROUND(('[2]Changes FY08'!H43),-3)</f>
        <v>0</v>
      </c>
      <c r="I43" s="28">
        <f t="shared" ref="I43:I51" si="4">SUM(B43:H43)</f>
        <v>0</v>
      </c>
      <c r="J43" s="28"/>
      <c r="K43" s="29">
        <f>ROUND(('[2]Changes FY08'!K43),-3)</f>
        <v>0</v>
      </c>
      <c r="L43" s="29">
        <f>ROUND(('[2]Changes FY08'!L43),-3)</f>
        <v>0</v>
      </c>
      <c r="M43" s="28">
        <f t="shared" ref="M43:M51" si="5">SUM(I43:L43)</f>
        <v>0</v>
      </c>
      <c r="N43" s="2"/>
      <c r="O43" s="2"/>
      <c r="P43" s="2"/>
      <c r="Q43" s="2"/>
      <c r="R43" s="2"/>
      <c r="S43" s="2"/>
      <c r="T43" s="2"/>
      <c r="U43" s="2"/>
      <c r="V43" s="2"/>
      <c r="W43" s="2"/>
      <c r="Z43" s="1" t="e">
        <f>SUM(O43+#REF!+M43+R43+T43+X43)</f>
        <v>#REF!</v>
      </c>
    </row>
    <row r="44" spans="1:27" ht="9.75" customHeight="1" x14ac:dyDescent="0.35">
      <c r="A44" s="6" t="s">
        <v>32</v>
      </c>
      <c r="B44" s="20">
        <f>ROUND(('[2]Changes FY08'!B44),-3)</f>
        <v>0</v>
      </c>
      <c r="C44" s="20">
        <f>ROUND(('[2]Changes FY08'!C44),-3)</f>
        <v>0</v>
      </c>
      <c r="D44" s="20">
        <f>ROUND(('[2]Changes FY08'!D44),-3)</f>
        <v>0</v>
      </c>
      <c r="E44" s="20">
        <f>ROUND(('[2]Changes FY08'!E44),-3)</f>
        <v>0</v>
      </c>
      <c r="F44" s="20">
        <f>ROUND(('[2]Changes FY08'!F44),-3)</f>
        <v>0</v>
      </c>
      <c r="G44" s="20">
        <f>ROUND(('[2]Changes FY08'!G44),-3)</f>
        <v>0</v>
      </c>
      <c r="H44" s="20">
        <f>ROUND(('[2]Changes FY08'!H44),-3)</f>
        <v>0</v>
      </c>
      <c r="I44" s="28">
        <f t="shared" si="4"/>
        <v>0</v>
      </c>
      <c r="J44" s="28"/>
      <c r="K44" s="29">
        <f>ROUND(('[2]Changes FY08'!K44),-3)</f>
        <v>0</v>
      </c>
      <c r="L44" s="29">
        <f>ROUND(('[2]Changes FY08'!L44),-3)</f>
        <v>0</v>
      </c>
      <c r="M44" s="28">
        <f t="shared" si="5"/>
        <v>0</v>
      </c>
      <c r="N44" s="2"/>
      <c r="O44" s="2"/>
      <c r="P44" s="2"/>
      <c r="Q44" s="2"/>
      <c r="R44" s="2"/>
      <c r="S44" s="2"/>
      <c r="T44" s="2"/>
      <c r="U44" s="2"/>
      <c r="V44" s="2"/>
      <c r="W44" s="2"/>
      <c r="Z44" s="1" t="e">
        <f>SUM(O44+#REF!+M44+R44+T44+X44)</f>
        <v>#REF!</v>
      </c>
    </row>
    <row r="45" spans="1:27" ht="9.75" customHeight="1" x14ac:dyDescent="0.35">
      <c r="A45" s="6" t="s">
        <v>31</v>
      </c>
      <c r="B45" s="20">
        <f>ROUND(('[2]Changes FY08'!B45),-3)</f>
        <v>-14352000</v>
      </c>
      <c r="C45" s="20">
        <f>ROUND(('[2]Changes FY08'!C45),-3)</f>
        <v>0</v>
      </c>
      <c r="D45" s="20">
        <f>ROUND(('[2]Changes FY08'!D45),-3)</f>
        <v>0</v>
      </c>
      <c r="E45" s="20">
        <f>ROUND(('[2]Changes FY08'!E45),-3)</f>
        <v>0</v>
      </c>
      <c r="F45" s="20">
        <f>ROUND(('[2]Changes FY08'!F45),-3)</f>
        <v>0</v>
      </c>
      <c r="G45" s="20">
        <f>ROUND(('[2]Changes FY08'!G45),-3)</f>
        <v>14352000</v>
      </c>
      <c r="H45" s="20">
        <f>ROUND(('[2]Changes FY08'!H45),-3)</f>
        <v>0</v>
      </c>
      <c r="I45" s="28">
        <f t="shared" si="4"/>
        <v>0</v>
      </c>
      <c r="J45" s="28"/>
      <c r="K45" s="29">
        <f>ROUND(('[2]Changes FY08'!K45),-3)</f>
        <v>0</v>
      </c>
      <c r="L45" s="29">
        <f>ROUND(('[2]Changes FY08'!L45),-3)</f>
        <v>0</v>
      </c>
      <c r="M45" s="28">
        <f t="shared" si="5"/>
        <v>0</v>
      </c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7" ht="9.75" customHeight="1" x14ac:dyDescent="0.35">
      <c r="A46" s="6" t="s">
        <v>30</v>
      </c>
      <c r="B46" s="20">
        <f>ROUND(('[2]Changes FY08'!B46),-3)</f>
        <v>-17418000</v>
      </c>
      <c r="C46" s="20">
        <f>ROUND(('[2]Changes FY08'!C46),-3)</f>
        <v>-1593000</v>
      </c>
      <c r="D46" s="20">
        <f>ROUND(('[2]Changes FY08'!D46),-3)</f>
        <v>-36000</v>
      </c>
      <c r="E46" s="20">
        <f>ROUND(('[2]Changes FY08'!E46),-3)</f>
        <v>19047000</v>
      </c>
      <c r="F46" s="20">
        <f>ROUND(('[2]Changes FY08'!F46),-3)</f>
        <v>0</v>
      </c>
      <c r="G46" s="20">
        <f>ROUND(('[2]Changes FY08'!G46),-3)</f>
        <v>0</v>
      </c>
      <c r="H46" s="20">
        <f>ROUND(('[2]Changes FY08'!H46),-3)</f>
        <v>0</v>
      </c>
      <c r="I46" s="28">
        <f t="shared" si="4"/>
        <v>0</v>
      </c>
      <c r="J46" s="28"/>
      <c r="K46" s="29">
        <f>ROUND(('[2]Changes FY08'!K46),-3)</f>
        <v>0</v>
      </c>
      <c r="L46" s="29">
        <f>ROUND(('[2]Changes FY08'!L46),-3)</f>
        <v>0</v>
      </c>
      <c r="M46" s="28">
        <f t="shared" si="5"/>
        <v>0</v>
      </c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7" ht="9.75" customHeight="1" x14ac:dyDescent="0.35">
      <c r="A47" s="6" t="s">
        <v>29</v>
      </c>
      <c r="B47" s="20">
        <f>ROUND(('[2]Changes FY08'!B47),-3)</f>
        <v>30686000</v>
      </c>
      <c r="C47" s="20">
        <f>ROUND(('[2]Changes FY08'!C47),-3)</f>
        <v>0</v>
      </c>
      <c r="D47" s="20">
        <f>ROUND(('[2]Changes FY08'!D47),-3)</f>
        <v>41591000</v>
      </c>
      <c r="E47" s="20">
        <f>ROUND(('[2]Changes FY08'!E47),-3)</f>
        <v>0</v>
      </c>
      <c r="F47" s="20">
        <f>ROUND(('[2]Changes FY08'!F47),-3)</f>
        <v>0</v>
      </c>
      <c r="G47" s="20">
        <f>ROUND(('[2]Changes FY08'!G47),-3)</f>
        <v>-72277000</v>
      </c>
      <c r="H47" s="20">
        <f>ROUND(('[2]Changes FY08'!H47),-3)</f>
        <v>0</v>
      </c>
      <c r="I47" s="28">
        <f t="shared" si="4"/>
        <v>0</v>
      </c>
      <c r="J47" s="28"/>
      <c r="K47" s="29">
        <f>ROUND(('[2]Changes FY08'!K47),-3)</f>
        <v>0</v>
      </c>
      <c r="L47" s="29">
        <f>ROUND(('[2]Changes FY08'!L47),-3)</f>
        <v>0</v>
      </c>
      <c r="M47" s="28">
        <f t="shared" si="5"/>
        <v>0</v>
      </c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7" ht="9.75" customHeight="1" x14ac:dyDescent="0.35">
      <c r="A48" s="6" t="s">
        <v>28</v>
      </c>
      <c r="B48" s="20">
        <f>ROUND(('[2]Changes FY08'!B48),-3)</f>
        <v>47705000</v>
      </c>
      <c r="C48" s="20">
        <f>ROUND(('[2]Changes FY08'!C48),-3)</f>
        <v>-19000</v>
      </c>
      <c r="D48" s="20">
        <f>ROUND(('[2]Changes FY08'!D48),-3)</f>
        <v>-47686000</v>
      </c>
      <c r="E48" s="20">
        <f>ROUND(('[2]Changes FY08'!E48),-3)</f>
        <v>0</v>
      </c>
      <c r="F48" s="20">
        <f>ROUND(('[2]Changes FY08'!F48),-3)</f>
        <v>0</v>
      </c>
      <c r="G48" s="20">
        <f>ROUND(('[2]Changes FY08'!G48),-3)</f>
        <v>0</v>
      </c>
      <c r="H48" s="20">
        <f>ROUND(('[2]Changes FY08'!H48),-3)</f>
        <v>0</v>
      </c>
      <c r="I48" s="28">
        <f t="shared" si="4"/>
        <v>0</v>
      </c>
      <c r="J48" s="28"/>
      <c r="K48" s="29">
        <f>ROUND(('[2]Changes FY08'!K48),-3)</f>
        <v>0</v>
      </c>
      <c r="L48" s="29">
        <f>ROUND(('[2]Changes FY08'!L48),-3)</f>
        <v>0</v>
      </c>
      <c r="M48" s="28">
        <f t="shared" si="5"/>
        <v>0</v>
      </c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8" ht="9.75" customHeight="1" x14ac:dyDescent="0.35">
      <c r="A49" s="52" t="s">
        <v>27</v>
      </c>
      <c r="B49" s="20">
        <f>ROUND(('[2]Changes FY08'!B49),-3)</f>
        <v>-54825000</v>
      </c>
      <c r="C49" s="20">
        <f>ROUND(('[2]Changes FY08'!C49),-3)</f>
        <v>-2430000</v>
      </c>
      <c r="D49" s="20">
        <f>ROUND(('[2]Changes FY08'!D49),-3)-1000</f>
        <v>-34292000</v>
      </c>
      <c r="E49" s="20">
        <f>ROUND(('[2]Changes FY08'!E49),-3)</f>
        <v>83412000</v>
      </c>
      <c r="F49" s="20">
        <f>ROUND(('[2]Changes FY08'!F49),-3)</f>
        <v>0</v>
      </c>
      <c r="G49" s="20">
        <f>ROUND(('[2]Changes FY08'!G49),-3)</f>
        <v>8135000</v>
      </c>
      <c r="H49" s="20">
        <f>ROUND(('[2]Changes FY08'!H49),-3)</f>
        <v>0</v>
      </c>
      <c r="I49" s="28">
        <f t="shared" si="4"/>
        <v>0</v>
      </c>
      <c r="J49" s="28"/>
      <c r="K49" s="29">
        <f>ROUND(('[2]Changes FY08'!K49),-3)</f>
        <v>0</v>
      </c>
      <c r="L49" s="29">
        <f>ROUND(('[2]Changes FY08'!L49),-3)</f>
        <v>0</v>
      </c>
      <c r="M49" s="28">
        <f t="shared" si="5"/>
        <v>0</v>
      </c>
      <c r="N49" s="2"/>
      <c r="O49" s="2"/>
      <c r="P49" s="2"/>
      <c r="Q49" s="2"/>
      <c r="R49" s="2"/>
      <c r="S49" s="2"/>
      <c r="T49" s="2"/>
      <c r="U49" s="2"/>
      <c r="V49" s="2"/>
      <c r="W49" s="2"/>
      <c r="Z49" s="1" t="e">
        <f>SUM(O49+#REF!+M49+R49+T49+X49)</f>
        <v>#REF!</v>
      </c>
    </row>
    <row r="50" spans="1:28" ht="9.75" customHeight="1" x14ac:dyDescent="0.35">
      <c r="A50" s="52" t="s">
        <v>26</v>
      </c>
      <c r="B50" s="20">
        <f>ROUND(('[2]Changes FY08'!B50),-3)</f>
        <v>0</v>
      </c>
      <c r="C50" s="20">
        <f>ROUND(('[2]Changes FY08'!C50),-3)</f>
        <v>0</v>
      </c>
      <c r="D50" s="20">
        <f>ROUND(('[2]Changes FY08'!D50),-3)</f>
        <v>0</v>
      </c>
      <c r="E50" s="20">
        <f>ROUND(('[2]Changes FY08'!E50),-3)</f>
        <v>0</v>
      </c>
      <c r="F50" s="20">
        <f>ROUND(('[2]Changes FY08'!F50),-3)</f>
        <v>0</v>
      </c>
      <c r="G50" s="20">
        <f>ROUND(('[2]Changes FY08'!G50),-3)</f>
        <v>0</v>
      </c>
      <c r="H50" s="20">
        <f>ROUND(('[2]Changes FY08'!H50),-3)</f>
        <v>0</v>
      </c>
      <c r="I50" s="28">
        <f t="shared" si="4"/>
        <v>0</v>
      </c>
      <c r="J50" s="28"/>
      <c r="K50" s="29"/>
      <c r="L50" s="29"/>
      <c r="M50" s="28">
        <f t="shared" si="5"/>
        <v>0</v>
      </c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8" ht="9.75" customHeight="1" x14ac:dyDescent="0.35">
      <c r="A51" s="6" t="s">
        <v>25</v>
      </c>
      <c r="B51" s="20">
        <f>ROUND(('[2]Changes FY08'!B51),-3)</f>
        <v>-21819000</v>
      </c>
      <c r="C51" s="20">
        <f>ROUND(('[2]Changes FY08'!C51),-3)</f>
        <v>-155000</v>
      </c>
      <c r="D51" s="20">
        <f>ROUND(('[2]Changes FY08'!D51),-3)-1000</f>
        <v>7044000</v>
      </c>
      <c r="E51" s="20">
        <f>ROUND(('[2]Changes FY08'!E51),-3)</f>
        <v>-144440000</v>
      </c>
      <c r="F51" s="20">
        <f>ROUND(('[2]Changes FY08'!F51),-3)+1000</f>
        <v>159370000</v>
      </c>
      <c r="G51" s="20">
        <f>ROUND(('[2]Changes FY08'!G51),-3)</f>
        <v>0</v>
      </c>
      <c r="H51" s="20">
        <f>ROUND(('[2]Changes FY08'!H51),-3)</f>
        <v>0</v>
      </c>
      <c r="I51" s="28">
        <f t="shared" si="4"/>
        <v>0</v>
      </c>
      <c r="J51" s="28"/>
      <c r="K51" s="29">
        <f>ROUND(('[2]Changes FY08'!K51),-3)</f>
        <v>0</v>
      </c>
      <c r="L51" s="29">
        <f>ROUND(('[2]Changes FY08'!L51),-3)</f>
        <v>0</v>
      </c>
      <c r="M51" s="28">
        <f t="shared" si="5"/>
        <v>0</v>
      </c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8" s="15" customFormat="1" ht="11.7" x14ac:dyDescent="0.4">
      <c r="A52" s="49" t="s">
        <v>21</v>
      </c>
      <c r="B52" s="83">
        <f t="shared" ref="B52:I52" si="6">+B32-B40+SUM(B43:B51)</f>
        <v>106000</v>
      </c>
      <c r="C52" s="83">
        <f t="shared" si="6"/>
        <v>1708000</v>
      </c>
      <c r="D52" s="83">
        <f t="shared" si="6"/>
        <v>14311000</v>
      </c>
      <c r="E52" s="83">
        <f t="shared" si="6"/>
        <v>23641000</v>
      </c>
      <c r="F52" s="83">
        <f t="shared" si="6"/>
        <v>55370000</v>
      </c>
      <c r="G52" s="83">
        <f t="shared" si="6"/>
        <v>-182603000</v>
      </c>
      <c r="H52" s="83">
        <f t="shared" si="6"/>
        <v>-279000</v>
      </c>
      <c r="I52" s="56">
        <f t="shared" si="6"/>
        <v>-87746000</v>
      </c>
      <c r="J52" s="47"/>
      <c r="K52" s="56">
        <f>+K32-K40+SUM(K43:K51)</f>
        <v>5437000</v>
      </c>
      <c r="L52" s="56">
        <f>+L32-L40+SUM(L43:L51)</f>
        <v>51156000</v>
      </c>
      <c r="M52" s="56">
        <f>+M32-M40+SUM(M43:M51)</f>
        <v>-31153000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42"/>
      <c r="Y52" s="42"/>
    </row>
    <row r="53" spans="1:28" s="15" customFormat="1" ht="11.35" x14ac:dyDescent="0.35">
      <c r="A53" s="45" t="s">
        <v>20</v>
      </c>
      <c r="B53" s="40">
        <f>ROUND(('[2]Changes FY08'!B53),-3)</f>
        <v>-106000</v>
      </c>
      <c r="C53" s="44">
        <f>ROUND(('[2]Changes FY08'!C53),-3)</f>
        <v>0</v>
      </c>
      <c r="D53" s="40">
        <f>ROUND(('[2]Changes FY08'!D53),-3)</f>
        <v>106000</v>
      </c>
      <c r="E53" s="44">
        <f>ROUND(('[2]Changes FY08'!E53),-3)</f>
        <v>0</v>
      </c>
      <c r="F53" s="44">
        <f>ROUND(('[2]Changes FY08'!F53),-3)</f>
        <v>0</v>
      </c>
      <c r="G53" s="44">
        <f>ROUND(('[2]Changes FY08'!G53),-3)</f>
        <v>0</v>
      </c>
      <c r="H53" s="44">
        <f>ROUND(('[2]Changes FY08'!H53),-3)</f>
        <v>0</v>
      </c>
      <c r="I53" s="28">
        <f>SUM(B53:H53)</f>
        <v>0</v>
      </c>
      <c r="J53" s="28"/>
      <c r="K53" s="28"/>
      <c r="L53" s="43"/>
      <c r="M53" s="28">
        <f>SUM(I53:L53)</f>
        <v>0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42"/>
      <c r="Y53" s="42"/>
    </row>
    <row r="54" spans="1:28" ht="12" customHeight="1" x14ac:dyDescent="0.35">
      <c r="A54" s="41" t="s">
        <v>19</v>
      </c>
      <c r="B54" s="40">
        <f>ROUND(('[2]Changes FY08'!B54),-3)</f>
        <v>0</v>
      </c>
      <c r="C54" s="40">
        <f>ROUND(('[2]Changes FY08'!C54),-3)+1000</f>
        <v>-28609000</v>
      </c>
      <c r="D54" s="40">
        <f>ROUND(('[2]Changes FY08'!D54),-3)+1000</f>
        <v>494357000</v>
      </c>
      <c r="E54" s="40">
        <f>ROUND(('[2]Changes FY08'!E54),-3)-1000</f>
        <v>161579000</v>
      </c>
      <c r="F54" s="40">
        <f>ROUND(('[2]Changes FY08'!F54),-3)</f>
        <v>483079000</v>
      </c>
      <c r="G54" s="40">
        <f>ROUND(('[2]Changes FY08'!G54),-3)-1000</f>
        <v>2623904000</v>
      </c>
      <c r="H54" s="40">
        <f>ROUND(('[2]Changes FY08'!H54),-3)+1000</f>
        <v>-3195000</v>
      </c>
      <c r="I54" s="39">
        <f>SUM(B54:H54)</f>
        <v>3731115000</v>
      </c>
      <c r="J54" s="28"/>
      <c r="K54" s="38">
        <f>ROUND(('[2]Changes FY08'!K54),-3)</f>
        <v>209520000</v>
      </c>
      <c r="L54" s="38">
        <f>ROUND(('[2]Changes FY08'!L54),-3)</f>
        <v>1266961000</v>
      </c>
      <c r="M54" s="38">
        <f>SUM(I54:L54)</f>
        <v>5207596000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5"/>
      <c r="Y54" s="5"/>
      <c r="Z54" s="1" t="e">
        <f>SUM(O54+#REF!+M54+R54+T54+X54)</f>
        <v>#REF!</v>
      </c>
      <c r="AA54" s="1">
        <f>Y55</f>
        <v>0</v>
      </c>
      <c r="AB54" s="1">
        <f>Y54</f>
        <v>0</v>
      </c>
    </row>
    <row r="55" spans="1:28" s="9" customFormat="1" ht="12" customHeight="1" x14ac:dyDescent="0.35">
      <c r="A55" s="37" t="s">
        <v>18</v>
      </c>
      <c r="B55" s="25">
        <f t="shared" ref="B55:M55" si="7">SUM(B52:B54)</f>
        <v>0</v>
      </c>
      <c r="C55" s="25">
        <f t="shared" si="7"/>
        <v>-26901000</v>
      </c>
      <c r="D55" s="25">
        <f t="shared" si="7"/>
        <v>508774000</v>
      </c>
      <c r="E55" s="25">
        <f t="shared" si="7"/>
        <v>185220000</v>
      </c>
      <c r="F55" s="25">
        <f t="shared" si="7"/>
        <v>538449000</v>
      </c>
      <c r="G55" s="25">
        <f t="shared" si="7"/>
        <v>2441301000</v>
      </c>
      <c r="H55" s="25">
        <f t="shared" si="7"/>
        <v>-3474000</v>
      </c>
      <c r="I55" s="23">
        <f t="shared" si="7"/>
        <v>3643369000</v>
      </c>
      <c r="J55" s="32">
        <f t="shared" si="7"/>
        <v>0</v>
      </c>
      <c r="K55" s="23">
        <f t="shared" si="7"/>
        <v>214957000</v>
      </c>
      <c r="L55" s="23">
        <f t="shared" si="7"/>
        <v>1318117000</v>
      </c>
      <c r="M55" s="23">
        <f t="shared" si="7"/>
        <v>5176443000</v>
      </c>
      <c r="N55" s="22">
        <f>M52+SUM(M53:M54)</f>
        <v>5176443000</v>
      </c>
      <c r="O55" s="2"/>
      <c r="P55" s="2"/>
      <c r="Q55" s="2"/>
      <c r="R55" s="2"/>
      <c r="S55" s="2"/>
      <c r="T55" s="2"/>
      <c r="U55" s="2"/>
      <c r="V55" s="2"/>
      <c r="W55" s="2"/>
      <c r="X55" s="36"/>
      <c r="Y55" s="36"/>
      <c r="Z55" s="9" t="e">
        <f>SUM(O55+#REF!+M55+R55+T55+X55)</f>
        <v>#REF!</v>
      </c>
      <c r="AA55" s="9">
        <f>SUM(AA53:AA54)</f>
        <v>0</v>
      </c>
      <c r="AB55" s="9">
        <f>SUM(AB53:AB54)</f>
        <v>0</v>
      </c>
    </row>
    <row r="56" spans="1:28" s="7" customFormat="1" ht="2.1" customHeight="1" x14ac:dyDescent="0.35">
      <c r="B56" s="35"/>
      <c r="C56" s="35"/>
      <c r="D56" s="35"/>
      <c r="E56" s="35"/>
      <c r="F56" s="35"/>
      <c r="G56" s="35"/>
      <c r="H56" s="35"/>
      <c r="I56" s="34"/>
      <c r="J56" s="28"/>
      <c r="K56" s="34"/>
      <c r="L56" s="34"/>
      <c r="M56" s="34"/>
      <c r="N56" s="2"/>
      <c r="O56" s="2"/>
      <c r="P56" s="2"/>
      <c r="Q56" s="2"/>
      <c r="R56" s="2"/>
      <c r="S56" s="2"/>
      <c r="T56" s="2"/>
      <c r="U56" s="2"/>
      <c r="V56" s="2"/>
      <c r="W56" s="2"/>
      <c r="X56" s="8"/>
      <c r="Y56" s="8"/>
      <c r="Z56" s="8"/>
    </row>
    <row r="57" spans="1:28" ht="9.9499999999999993" customHeight="1" x14ac:dyDescent="0.35">
      <c r="A57" s="2"/>
      <c r="B57" s="20"/>
      <c r="C57" s="20"/>
      <c r="D57" s="20"/>
      <c r="E57" s="20"/>
      <c r="F57" s="20"/>
      <c r="G57" s="20"/>
      <c r="H57" s="20"/>
      <c r="I57" s="28"/>
      <c r="J57" s="28"/>
      <c r="K57" s="28"/>
      <c r="L57" s="28"/>
      <c r="M57" s="28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8" ht="9.9499999999999993" customHeight="1" x14ac:dyDescent="0.35">
      <c r="A58" s="33" t="s">
        <v>17</v>
      </c>
      <c r="B58" s="20"/>
      <c r="C58" s="20"/>
      <c r="D58" s="20"/>
      <c r="E58" s="20"/>
      <c r="F58" s="20"/>
      <c r="G58" s="20"/>
      <c r="H58" s="20"/>
      <c r="I58" s="28"/>
      <c r="J58" s="28"/>
      <c r="K58" s="28"/>
      <c r="L58" s="28"/>
      <c r="M58" s="28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8" s="2" customFormat="1" ht="9.9499999999999993" customHeight="1" x14ac:dyDescent="0.35">
      <c r="A59" s="6" t="s">
        <v>16</v>
      </c>
      <c r="B59" s="20">
        <f>ROUND(('[2]Changes FY08'!B59),-3)</f>
        <v>0</v>
      </c>
      <c r="C59" s="30">
        <f>ROUND(('[2]Changes FY08'!C59),-3)</f>
        <v>-30417000</v>
      </c>
      <c r="D59" s="30">
        <f>ROUND(('[2]Changes FY08'!D59),-3)</f>
        <v>53094000</v>
      </c>
      <c r="E59" s="20">
        <f>ROUND(('[2]Changes FY08'!E59),-3)</f>
        <v>0</v>
      </c>
      <c r="F59" s="30">
        <f>ROUND(('[2]Changes FY08'!F59),-3)</f>
        <v>-4070000</v>
      </c>
      <c r="G59" s="20">
        <f>ROUND(('[2]Changes FY08'!G59),-3)</f>
        <v>0</v>
      </c>
      <c r="H59" s="30">
        <f>ROUND(('[2]Changes FY08'!H59),-3)</f>
        <v>-8118000</v>
      </c>
      <c r="I59" s="32">
        <f t="shared" ref="I59:I73" si="8">SUM(B59:H59)</f>
        <v>10489000</v>
      </c>
      <c r="J59" s="28"/>
      <c r="K59" s="29">
        <f>ROUND(('[2]Changes FY08'!K59),-3)</f>
        <v>0</v>
      </c>
      <c r="L59" s="29">
        <f>ROUND(('[2]Changes FY08'!L59),-3)</f>
        <v>0</v>
      </c>
      <c r="M59" s="32">
        <f t="shared" ref="M59:M73" si="9">SUM(I59:L59)</f>
        <v>10489000</v>
      </c>
    </row>
    <row r="60" spans="1:28" s="2" customFormat="1" ht="9.9499999999999993" customHeight="1" x14ac:dyDescent="0.35">
      <c r="A60" s="6" t="s">
        <v>15</v>
      </c>
      <c r="B60" s="20">
        <f>ROUND(('[2]Changes FY08'!B60),-3)</f>
        <v>0</v>
      </c>
      <c r="C60" s="20">
        <f>ROUND(('[2]Changes FY08'!C60),-3)</f>
        <v>0</v>
      </c>
      <c r="D60" s="20">
        <f>ROUND(('[2]Changes FY08'!D60),-3)</f>
        <v>306021000</v>
      </c>
      <c r="E60" s="30">
        <f>ROUND(('[2]Changes FY08'!E60),-3)</f>
        <v>114720000</v>
      </c>
      <c r="F60" s="20">
        <f>ROUND(('[2]Changes FY08'!F60),-3)</f>
        <v>0</v>
      </c>
      <c r="G60" s="20">
        <f>ROUND(('[2]Changes FY08'!G60),-3)</f>
        <v>0</v>
      </c>
      <c r="H60" s="20">
        <f>ROUND(('[2]Changes FY08'!H60),-3)</f>
        <v>4644000</v>
      </c>
      <c r="I60" s="28">
        <f t="shared" si="8"/>
        <v>425385000</v>
      </c>
      <c r="J60" s="28"/>
      <c r="K60" s="29">
        <f>ROUND(('[2]Changes FY08'!K60),-3)</f>
        <v>0</v>
      </c>
      <c r="L60" s="29">
        <f>ROUND(('[2]Changes FY08'!L60),-3)</f>
        <v>0</v>
      </c>
      <c r="M60" s="28">
        <f t="shared" si="9"/>
        <v>425385000</v>
      </c>
    </row>
    <row r="61" spans="1:28" s="2" customFormat="1" x14ac:dyDescent="0.35">
      <c r="A61" s="6" t="s">
        <v>14</v>
      </c>
      <c r="B61" s="20">
        <f>ROUND(('[2]Changes FY08'!B61),-3)</f>
        <v>0</v>
      </c>
      <c r="C61" s="20">
        <f>ROUND(('[2]Changes FY08'!C61),-3)</f>
        <v>0</v>
      </c>
      <c r="D61" s="20">
        <f>ROUND(('[2]Changes FY08'!D61),-3)</f>
        <v>0</v>
      </c>
      <c r="E61" s="20">
        <f>ROUND(('[2]Changes FY08'!E61),-3)</f>
        <v>0</v>
      </c>
      <c r="F61" s="20">
        <f>ROUND(('[2]Changes FY08'!F61),-3)</f>
        <v>0</v>
      </c>
      <c r="G61" s="20">
        <f>ROUND(('[2]Changes FY08'!G61),-3)</f>
        <v>0</v>
      </c>
      <c r="H61" s="20">
        <f>ROUND(('[2]Changes FY08'!H61),-3)</f>
        <v>0</v>
      </c>
      <c r="I61" s="28">
        <f t="shared" si="8"/>
        <v>0</v>
      </c>
      <c r="J61" s="28"/>
      <c r="K61" s="31">
        <f>ROUND(('[2]Changes FY08'!K61),-3)-1000</f>
        <v>17185000</v>
      </c>
      <c r="L61" s="31">
        <f>ROUND(('[2]Changes FY08'!L61),-3)</f>
        <v>33206000</v>
      </c>
      <c r="M61" s="28">
        <f t="shared" si="9"/>
        <v>50391000</v>
      </c>
    </row>
    <row r="62" spans="1:28" s="2" customFormat="1" ht="9.9499999999999993" customHeight="1" x14ac:dyDescent="0.35">
      <c r="A62" s="6" t="s">
        <v>13</v>
      </c>
      <c r="B62" s="20">
        <f>ROUND(('[2]Changes FY08'!B62),-3)</f>
        <v>0</v>
      </c>
      <c r="C62" s="20">
        <f>ROUND(('[2]Changes FY08'!C62),-3)</f>
        <v>0</v>
      </c>
      <c r="D62" s="20">
        <f>ROUND(('[2]Changes FY08'!D62),-3)</f>
        <v>0</v>
      </c>
      <c r="E62" s="20">
        <f>ROUND(('[2]Changes FY08'!E62),-3)</f>
        <v>0</v>
      </c>
      <c r="F62" s="20">
        <f>ROUND(('[2]Changes FY08'!F62),-3)</f>
        <v>0</v>
      </c>
      <c r="G62" s="30">
        <f>ROUND(('[2]Changes FY08'!G62),-3)</f>
        <v>0</v>
      </c>
      <c r="H62" s="20">
        <f>ROUND(('[2]Changes FY08'!H62),-3)</f>
        <v>0</v>
      </c>
      <c r="I62" s="28">
        <f t="shared" si="8"/>
        <v>0</v>
      </c>
      <c r="J62" s="28"/>
      <c r="K62" s="29">
        <f>ROUND(('[2]Changes FY08'!K62),-3)</f>
        <v>143466000</v>
      </c>
      <c r="L62" s="29">
        <f>ROUND(('[2]Changes FY08'!L62),-3)</f>
        <v>58024000</v>
      </c>
      <c r="M62" s="28">
        <f t="shared" si="9"/>
        <v>201490000</v>
      </c>
    </row>
    <row r="63" spans="1:28" s="2" customFormat="1" ht="9.9499999999999993" customHeight="1" x14ac:dyDescent="0.35">
      <c r="A63" s="6" t="s">
        <v>12</v>
      </c>
      <c r="B63" s="20">
        <f>ROUND(('[2]Changes FY08'!B63),-3)</f>
        <v>0</v>
      </c>
      <c r="C63" s="20">
        <f>ROUND(('[2]Changes FY08'!C63),-3)</f>
        <v>3516000</v>
      </c>
      <c r="D63" s="20">
        <f>ROUND(('[2]Changes FY08'!D63),-3)</f>
        <v>0</v>
      </c>
      <c r="E63" s="20">
        <f>ROUND(('[2]Changes FY08'!E63),-3)</f>
        <v>0</v>
      </c>
      <c r="F63" s="20">
        <f>ROUND(('[2]Changes FY08'!F63),-3)</f>
        <v>0</v>
      </c>
      <c r="G63" s="20">
        <f>ROUND(('[2]Changes FY08'!G63),-3)</f>
        <v>0</v>
      </c>
      <c r="H63" s="20">
        <f>ROUND(('[2]Changes FY08'!H63),-3)</f>
        <v>0</v>
      </c>
      <c r="I63" s="28">
        <f t="shared" si="8"/>
        <v>3516000</v>
      </c>
      <c r="J63" s="28"/>
      <c r="K63" s="29">
        <f>ROUND(('[2]Changes FY08'!K63),-3)</f>
        <v>0</v>
      </c>
      <c r="L63" s="29">
        <f>ROUND(('[2]Changes FY08'!L63),-3)</f>
        <v>0</v>
      </c>
      <c r="M63" s="28">
        <f t="shared" si="9"/>
        <v>3516000</v>
      </c>
    </row>
    <row r="64" spans="1:28" s="2" customFormat="1" ht="9.9499999999999993" customHeight="1" x14ac:dyDescent="0.35">
      <c r="A64" s="6" t="s">
        <v>11</v>
      </c>
      <c r="B64" s="20">
        <f>ROUND(('[2]Changes FY08'!B64),-3)</f>
        <v>0</v>
      </c>
      <c r="C64" s="20">
        <f>ROUND(('[2]Changes FY08'!C64),-3)</f>
        <v>0</v>
      </c>
      <c r="D64" s="20">
        <f>ROUND(('[2]Changes FY08'!D64),-3)</f>
        <v>149659000</v>
      </c>
      <c r="E64" s="20">
        <f>ROUND(('[2]Changes FY08'!E64),-3)</f>
        <v>0</v>
      </c>
      <c r="F64" s="20">
        <f>ROUND(('[2]Changes FY08'!F64),-3)</f>
        <v>0</v>
      </c>
      <c r="G64" s="20">
        <f>ROUND(('[2]Changes FY08'!G64),-3)</f>
        <v>0</v>
      </c>
      <c r="H64" s="20">
        <f>ROUND(('[2]Changes FY08'!H64),-3)</f>
        <v>0</v>
      </c>
      <c r="I64" s="28">
        <f t="shared" si="8"/>
        <v>149659000</v>
      </c>
      <c r="J64" s="28"/>
      <c r="K64" s="29">
        <f>ROUND(('[2]Changes FY08'!K64),-3)</f>
        <v>0</v>
      </c>
      <c r="L64" s="29">
        <f>ROUND(('[2]Changes FY08'!L64),-3)</f>
        <v>0</v>
      </c>
      <c r="M64" s="28">
        <f t="shared" si="9"/>
        <v>149659000</v>
      </c>
    </row>
    <row r="65" spans="1:14" s="2" customFormat="1" ht="9.9499999999999993" customHeight="1" x14ac:dyDescent="0.35">
      <c r="A65" s="6" t="s">
        <v>10</v>
      </c>
      <c r="B65" s="20">
        <f>ROUND(('[2]Changes FY08'!B65),-3)</f>
        <v>0</v>
      </c>
      <c r="C65" s="20">
        <f>ROUND(('[2]Changes FY08'!C65),-3)</f>
        <v>0</v>
      </c>
      <c r="D65" s="20">
        <f>ROUND(('[2]Changes FY08'!D65),-3)</f>
        <v>0</v>
      </c>
      <c r="E65" s="20">
        <f>ROUND(('[2]Changes FY08'!E65),-3)</f>
        <v>0</v>
      </c>
      <c r="F65" s="20">
        <f>ROUND(('[2]Changes FY08'!F65),-3)</f>
        <v>0</v>
      </c>
      <c r="G65" s="20">
        <f>ROUND(('[2]Changes FY08'!G65),-3)</f>
        <v>0</v>
      </c>
      <c r="H65" s="20">
        <f>ROUND(('[2]Changes FY08'!H65),-3)</f>
        <v>0</v>
      </c>
      <c r="I65" s="28">
        <f t="shared" si="8"/>
        <v>0</v>
      </c>
      <c r="J65" s="28"/>
      <c r="K65" s="29">
        <f>ROUND(('[2]Changes FY08'!K65),-3)</f>
        <v>54262000</v>
      </c>
      <c r="L65" s="29">
        <f>ROUND(('[2]Changes FY08'!L65),-3)-1000</f>
        <v>79007000</v>
      </c>
      <c r="M65" s="28">
        <f t="shared" si="9"/>
        <v>133269000</v>
      </c>
    </row>
    <row r="66" spans="1:14" s="2" customFormat="1" ht="9.9499999999999993" customHeight="1" x14ac:dyDescent="0.35">
      <c r="A66" s="6" t="s">
        <v>9</v>
      </c>
      <c r="B66" s="20">
        <f>ROUND(('[2]Changes FY08'!B66),-3)</f>
        <v>0</v>
      </c>
      <c r="C66" s="20">
        <f>ROUND(('[2]Changes FY08'!C66),-3)</f>
        <v>0</v>
      </c>
      <c r="D66" s="20">
        <f>ROUND(('[2]Changes FY08'!D66),-3)</f>
        <v>0</v>
      </c>
      <c r="E66" s="20">
        <f>ROUND(('[2]Changes FY08'!E66),-3)</f>
        <v>0</v>
      </c>
      <c r="F66" s="20">
        <f>ROUND(('[2]Changes FY08'!F66),-3)</f>
        <v>0</v>
      </c>
      <c r="G66" s="20">
        <f>ROUND(('[2]Changes FY08'!G66),-3)</f>
        <v>0</v>
      </c>
      <c r="H66" s="20">
        <f>ROUND(('[2]Changes FY08'!H66),-3)</f>
        <v>0</v>
      </c>
      <c r="I66" s="28">
        <f t="shared" si="8"/>
        <v>0</v>
      </c>
      <c r="J66" s="28"/>
      <c r="K66" s="29">
        <f>ROUND(('[2]Changes FY08'!K66),-3)</f>
        <v>44000</v>
      </c>
      <c r="L66" s="29">
        <f>ROUND(('[2]Changes FY08'!L66),-3)</f>
        <v>1147880000</v>
      </c>
      <c r="M66" s="28">
        <f t="shared" si="9"/>
        <v>1147924000</v>
      </c>
    </row>
    <row r="67" spans="1:14" s="2" customFormat="1" x14ac:dyDescent="0.35">
      <c r="A67" s="6" t="s">
        <v>8</v>
      </c>
      <c r="B67" s="20">
        <f>ROUND(('[2]Changes FY08'!B67),-3)</f>
        <v>0</v>
      </c>
      <c r="C67" s="20">
        <f>ROUND(('[2]Changes FY08'!C67),-3)</f>
        <v>0</v>
      </c>
      <c r="D67" s="20">
        <f>ROUND(('[2]Changes FY08'!D67),-3)</f>
        <v>0</v>
      </c>
      <c r="E67" s="20">
        <f>ROUND(('[2]Changes FY08'!E67),-3)</f>
        <v>0</v>
      </c>
      <c r="F67" s="20">
        <f>ROUND(('[2]Changes FY08'!F67),-3)</f>
        <v>0</v>
      </c>
      <c r="G67" s="20">
        <f>ROUND(('[2]Changes FY08'!G67),-3)</f>
        <v>0</v>
      </c>
      <c r="H67" s="20">
        <f>ROUND(('[2]Changes FY08'!H67),-3)</f>
        <v>0</v>
      </c>
      <c r="I67" s="28">
        <f t="shared" si="8"/>
        <v>0</v>
      </c>
      <c r="J67" s="28"/>
      <c r="K67" s="29">
        <f>ROUND(('[2]Changes FY08'!K67),-3)</f>
        <v>0</v>
      </c>
      <c r="L67" s="29">
        <f>ROUND(('[2]Changes FY08'!L67),-3)</f>
        <v>0</v>
      </c>
      <c r="M67" s="28">
        <f t="shared" si="9"/>
        <v>0</v>
      </c>
    </row>
    <row r="68" spans="1:14" s="2" customFormat="1" x14ac:dyDescent="0.35">
      <c r="A68" s="6" t="s">
        <v>7</v>
      </c>
      <c r="B68" s="20">
        <f>ROUND(('[2]Changes FY08'!B68),-3)</f>
        <v>0</v>
      </c>
      <c r="C68" s="20">
        <f>ROUND(('[2]Changes FY08'!C68),-3)</f>
        <v>0</v>
      </c>
      <c r="D68" s="20">
        <f>ROUND(('[2]Changes FY08'!D68),-3)</f>
        <v>0</v>
      </c>
      <c r="E68" s="20">
        <f>ROUND(('[2]Changes FY08'!E68),-3)</f>
        <v>0</v>
      </c>
      <c r="F68" s="20">
        <f>ROUND(('[2]Changes FY08'!F68),-3)</f>
        <v>0</v>
      </c>
      <c r="G68" s="20">
        <f>ROUND(('[2]Changes FY08'!G68),-3)</f>
        <v>813487000</v>
      </c>
      <c r="H68" s="20">
        <f>ROUND(('[2]Changes FY08'!H68),-3)</f>
        <v>0</v>
      </c>
      <c r="I68" s="28">
        <f t="shared" si="8"/>
        <v>813487000</v>
      </c>
      <c r="J68" s="28"/>
      <c r="K68" s="29">
        <f>ROUND(('[2]Changes FY08'!K68),-3)</f>
        <v>0</v>
      </c>
      <c r="L68" s="29">
        <f>ROUND(('[2]Changes FY08'!L68),-3)</f>
        <v>0</v>
      </c>
      <c r="M68" s="28">
        <f t="shared" si="9"/>
        <v>813487000</v>
      </c>
    </row>
    <row r="69" spans="1:14" s="2" customFormat="1" x14ac:dyDescent="0.35">
      <c r="A69" s="6" t="s">
        <v>6</v>
      </c>
      <c r="B69" s="20">
        <f>ROUND(('[2]Changes FY08'!B69),-3)</f>
        <v>0</v>
      </c>
      <c r="C69" s="20">
        <f>ROUND(('[2]Changes FY08'!C69),-3)</f>
        <v>0</v>
      </c>
      <c r="D69" s="20">
        <f>ROUND(('[2]Changes FY08'!D69),-3)</f>
        <v>0</v>
      </c>
      <c r="E69" s="20">
        <f>ROUND(('[2]Changes FY08'!E69),-3)</f>
        <v>0</v>
      </c>
      <c r="F69" s="20">
        <f>ROUND(('[2]Changes FY08'!F69),-3)</f>
        <v>0</v>
      </c>
      <c r="G69" s="20">
        <f>ROUND(('[2]Changes FY08'!G69),-3)+1000</f>
        <v>5702000</v>
      </c>
      <c r="H69" s="20">
        <f>ROUND(('[2]Changes FY08'!H69),-3)</f>
        <v>0</v>
      </c>
      <c r="I69" s="28">
        <f t="shared" si="8"/>
        <v>5702000</v>
      </c>
      <c r="J69" s="28"/>
      <c r="K69" s="29">
        <f>ROUND(('[2]Changes FY08'!K69),-3)</f>
        <v>0</v>
      </c>
      <c r="L69" s="29">
        <f>ROUND(('[2]Changes FY08'!L69),-3)</f>
        <v>0</v>
      </c>
      <c r="M69" s="28">
        <f t="shared" si="9"/>
        <v>5702000</v>
      </c>
    </row>
    <row r="70" spans="1:14" s="2" customFormat="1" x14ac:dyDescent="0.35">
      <c r="A70" s="6" t="s">
        <v>5</v>
      </c>
      <c r="B70" s="20">
        <f>ROUND(('[2]Changes FY08'!B70),-3)</f>
        <v>0</v>
      </c>
      <c r="C70" s="20">
        <f>ROUND(('[2]Changes FY08'!C70),-3)</f>
        <v>0</v>
      </c>
      <c r="D70" s="20">
        <f>ROUND(('[2]Changes FY08'!D70),-3)</f>
        <v>0</v>
      </c>
      <c r="E70" s="20">
        <f>ROUND(('[2]Changes FY08'!E70),-3)</f>
        <v>0</v>
      </c>
      <c r="F70" s="20">
        <f>ROUND(('[2]Changes FY08'!F70),-3)</f>
        <v>0</v>
      </c>
      <c r="G70" s="20">
        <f>ROUND(('[2]Changes FY08'!G70),-3)</f>
        <v>1444289000</v>
      </c>
      <c r="H70" s="20">
        <f>ROUND(('[2]Changes FY08'!H70),-3)</f>
        <v>0</v>
      </c>
      <c r="I70" s="28">
        <f t="shared" si="8"/>
        <v>1444289000</v>
      </c>
      <c r="J70" s="28"/>
      <c r="K70" s="29">
        <f>ROUND(('[2]Changes FY08'!K70),-3)</f>
        <v>0</v>
      </c>
      <c r="L70" s="29">
        <f>ROUND(('[2]Changes FY08'!L70),-3)</f>
        <v>0</v>
      </c>
      <c r="M70" s="28">
        <f t="shared" si="9"/>
        <v>1444289000</v>
      </c>
    </row>
    <row r="71" spans="1:14" s="2" customFormat="1" x14ac:dyDescent="0.35">
      <c r="A71" s="6" t="s">
        <v>4</v>
      </c>
      <c r="B71" s="20">
        <f>ROUND(('[2]Changes FY08'!B71),-3)</f>
        <v>0</v>
      </c>
      <c r="C71" s="20">
        <f>ROUND(('[2]Changes FY08'!C71),-3)</f>
        <v>0</v>
      </c>
      <c r="D71" s="20">
        <f>ROUND(('[2]Changes FY08'!D71),-3)</f>
        <v>0</v>
      </c>
      <c r="E71" s="20">
        <f>ROUND(('[2]Changes FY08'!E71),-3)</f>
        <v>0</v>
      </c>
      <c r="F71" s="20">
        <f>ROUND(('[2]Changes FY08'!F71),-3)</f>
        <v>0</v>
      </c>
      <c r="G71" s="20">
        <f>ROUND(('[2]Changes FY08'!G71),-3)</f>
        <v>177823000</v>
      </c>
      <c r="H71" s="20">
        <f>ROUND(('[2]Changes FY08'!H71),-3)</f>
        <v>0</v>
      </c>
      <c r="I71" s="28">
        <f t="shared" si="8"/>
        <v>177823000</v>
      </c>
      <c r="J71" s="28"/>
      <c r="K71" s="29">
        <f>ROUND(('[2]Changes FY08'!K71),-3)</f>
        <v>0</v>
      </c>
      <c r="L71" s="29">
        <f>ROUND(('[2]Changes FY08'!L71),-3)</f>
        <v>0</v>
      </c>
      <c r="M71" s="28">
        <f t="shared" si="9"/>
        <v>177823000</v>
      </c>
    </row>
    <row r="72" spans="1:14" s="2" customFormat="1" x14ac:dyDescent="0.35">
      <c r="A72" s="6" t="s">
        <v>3</v>
      </c>
      <c r="B72" s="20">
        <f>ROUND(('[2]Changes FY08'!B72),-3)</f>
        <v>0</v>
      </c>
      <c r="C72" s="20">
        <f>ROUND(('[2]Changes FY08'!C72),-3)</f>
        <v>0</v>
      </c>
      <c r="D72" s="20">
        <f>ROUND(('[2]Changes FY08'!D72),-3)</f>
        <v>0</v>
      </c>
      <c r="E72" s="20">
        <f>ROUND(('[2]Changes FY08'!E72),-3)</f>
        <v>70500000</v>
      </c>
      <c r="F72" s="20">
        <f>ROUND(('[2]Changes FY08'!F72),-3)</f>
        <v>0</v>
      </c>
      <c r="G72" s="20">
        <f>ROUND(('[2]Changes FY08'!G72),-3)</f>
        <v>0</v>
      </c>
      <c r="H72" s="20">
        <f>ROUND(('[2]Changes FY08'!H72),-3)</f>
        <v>0</v>
      </c>
      <c r="I72" s="28">
        <f t="shared" si="8"/>
        <v>70500000</v>
      </c>
      <c r="J72" s="28"/>
      <c r="K72" s="29">
        <f>ROUND(('[2]Changes FY08'!K72),-3)</f>
        <v>0</v>
      </c>
      <c r="L72" s="29">
        <f>ROUND(('[2]Changes FY08'!L72),-3)</f>
        <v>0</v>
      </c>
      <c r="M72" s="28">
        <f t="shared" si="9"/>
        <v>70500000</v>
      </c>
    </row>
    <row r="73" spans="1:14" s="2" customFormat="1" x14ac:dyDescent="0.35">
      <c r="A73" s="6" t="s">
        <v>2</v>
      </c>
      <c r="B73" s="20">
        <f>ROUND(('[2]Changes FY08'!B73),-3)</f>
        <v>0</v>
      </c>
      <c r="C73" s="20">
        <f>ROUND(('[2]Changes FY08'!C73),-3)</f>
        <v>0</v>
      </c>
      <c r="D73" s="20">
        <f>ROUND(('[2]Changes FY08'!D73),-3)</f>
        <v>0</v>
      </c>
      <c r="E73" s="20">
        <f>ROUND(('[2]Changes FY08'!E73),-3)</f>
        <v>0</v>
      </c>
      <c r="F73" s="20">
        <f>ROUND(('[2]Changes FY08'!F73),-3)</f>
        <v>542519000</v>
      </c>
      <c r="G73" s="20">
        <f>ROUND(('[2]Changes FY08'!G73),-3)</f>
        <v>0</v>
      </c>
      <c r="H73" s="20">
        <f>ROUND(('[2]Changes FY08'!H73),-3)</f>
        <v>0</v>
      </c>
      <c r="I73" s="28">
        <f t="shared" si="8"/>
        <v>542519000</v>
      </c>
      <c r="J73" s="28"/>
      <c r="K73" s="29">
        <f>ROUND(('[2]Changes FY08'!K73),-3)</f>
        <v>0</v>
      </c>
      <c r="L73" s="29">
        <f>ROUND(('[2]Changes FY08'!L73),-3)</f>
        <v>0</v>
      </c>
      <c r="M73" s="28">
        <f t="shared" si="9"/>
        <v>542519000</v>
      </c>
    </row>
    <row r="74" spans="1:14" s="2" customFormat="1" ht="12" thickBot="1" x14ac:dyDescent="0.45">
      <c r="A74" s="27"/>
      <c r="B74" s="26">
        <f t="shared" ref="B74:I74" si="10">SUM(B59:B73)</f>
        <v>0</v>
      </c>
      <c r="C74" s="25">
        <f t="shared" si="10"/>
        <v>-26901000</v>
      </c>
      <c r="D74" s="25">
        <f t="shared" si="10"/>
        <v>508774000</v>
      </c>
      <c r="E74" s="25">
        <f t="shared" si="10"/>
        <v>185220000</v>
      </c>
      <c r="F74" s="25">
        <f t="shared" si="10"/>
        <v>538449000</v>
      </c>
      <c r="G74" s="25">
        <f t="shared" si="10"/>
        <v>2441301000</v>
      </c>
      <c r="H74" s="25">
        <f t="shared" si="10"/>
        <v>-3474000</v>
      </c>
      <c r="I74" s="23">
        <f t="shared" si="10"/>
        <v>3643369000</v>
      </c>
      <c r="J74" s="24"/>
      <c r="K74" s="23">
        <f>SUM(K59:K73)</f>
        <v>214957000</v>
      </c>
      <c r="L74" s="23">
        <f>SUM(L59:L73)</f>
        <v>1318117000</v>
      </c>
      <c r="M74" s="23">
        <f>SUM(M59:M73)</f>
        <v>5176443000</v>
      </c>
      <c r="N74" s="22">
        <f>I74+J74+K74+L74</f>
        <v>5176443000</v>
      </c>
    </row>
    <row r="75" spans="1:14" s="2" customFormat="1" ht="10.7" thickTop="1" x14ac:dyDescent="0.35">
      <c r="A75" s="21" t="s">
        <v>1</v>
      </c>
      <c r="B75" s="19"/>
      <c r="C75" s="19"/>
      <c r="D75" s="19"/>
      <c r="E75" s="19"/>
      <c r="F75" s="19"/>
      <c r="G75" s="19"/>
      <c r="H75" s="19"/>
      <c r="I75" s="19"/>
      <c r="J75" s="20"/>
      <c r="K75" s="19"/>
      <c r="L75" s="19"/>
      <c r="M75" s="19"/>
    </row>
    <row r="76" spans="1:14" s="2" customFormat="1" x14ac:dyDescent="0.35">
      <c r="A76" s="2" t="s">
        <v>0</v>
      </c>
      <c r="B76" s="18">
        <f t="shared" ref="B76:M76" si="11">B55-B74</f>
        <v>0</v>
      </c>
      <c r="C76" s="18">
        <f t="shared" si="11"/>
        <v>0</v>
      </c>
      <c r="D76" s="18">
        <f t="shared" si="11"/>
        <v>0</v>
      </c>
      <c r="E76" s="18">
        <f t="shared" si="11"/>
        <v>0</v>
      </c>
      <c r="F76" s="18">
        <f t="shared" si="11"/>
        <v>0</v>
      </c>
      <c r="G76" s="18">
        <f t="shared" si="11"/>
        <v>0</v>
      </c>
      <c r="H76" s="18">
        <f t="shared" si="11"/>
        <v>0</v>
      </c>
      <c r="I76" s="18">
        <f t="shared" si="11"/>
        <v>0</v>
      </c>
      <c r="J76" s="18">
        <f t="shared" si="11"/>
        <v>0</v>
      </c>
      <c r="K76" s="18">
        <f t="shared" si="11"/>
        <v>0</v>
      </c>
      <c r="L76" s="18">
        <f t="shared" si="11"/>
        <v>0</v>
      </c>
      <c r="M76" s="18">
        <f t="shared" si="11"/>
        <v>0</v>
      </c>
    </row>
    <row r="77" spans="1:14" s="2" customFormat="1" x14ac:dyDescent="0.35"/>
    <row r="78" spans="1:14" s="2" customFormat="1" x14ac:dyDescent="0.35">
      <c r="D78" s="17"/>
    </row>
    <row r="79" spans="1:14" s="2" customFormat="1" x14ac:dyDescent="0.35">
      <c r="G79" s="14"/>
      <c r="H79" s="14"/>
      <c r="I79" s="14"/>
      <c r="J79" s="14"/>
      <c r="K79" s="14"/>
    </row>
    <row r="80" spans="1:14" s="2" customFormat="1" x14ac:dyDescent="0.35">
      <c r="G80" s="14"/>
      <c r="H80" s="16"/>
      <c r="I80" s="16"/>
      <c r="J80" s="14"/>
      <c r="K80" s="14"/>
    </row>
    <row r="81" spans="1:23" ht="11.1" customHeight="1" x14ac:dyDescent="0.35">
      <c r="A81" s="2"/>
      <c r="B81" s="2"/>
      <c r="C81" s="2"/>
      <c r="D81" s="2"/>
      <c r="E81" s="2"/>
      <c r="G81" s="15"/>
      <c r="H81" s="15"/>
      <c r="I81" s="15"/>
      <c r="J81" s="14"/>
      <c r="K81" s="15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x14ac:dyDescent="0.35">
      <c r="A82" s="2"/>
      <c r="B82" s="2"/>
      <c r="C82" s="2"/>
      <c r="D82" s="2"/>
      <c r="E82" s="2"/>
      <c r="G82" s="15"/>
      <c r="H82" s="15"/>
      <c r="I82" s="15"/>
      <c r="J82" s="14"/>
      <c r="K82" s="14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x14ac:dyDescent="0.35">
      <c r="A83" s="2"/>
      <c r="B83" s="2"/>
      <c r="C83" s="2"/>
      <c r="D83" s="2"/>
      <c r="E83" s="2"/>
      <c r="G83" s="15"/>
      <c r="H83" s="15"/>
      <c r="I83" s="15"/>
      <c r="J83" s="14"/>
      <c r="K83" s="15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1.1" customHeight="1" x14ac:dyDescent="0.35">
      <c r="A84" s="2"/>
      <c r="B84" s="2"/>
      <c r="C84" s="2"/>
      <c r="D84" s="2"/>
      <c r="E84" s="2"/>
      <c r="G84" s="15"/>
      <c r="H84" s="15"/>
      <c r="I84" s="15"/>
      <c r="J84" s="14"/>
      <c r="K84" s="14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x14ac:dyDescent="0.35">
      <c r="A85" s="2"/>
      <c r="B85" s="2"/>
      <c r="C85" s="2"/>
      <c r="D85" s="2"/>
      <c r="E85" s="2"/>
      <c r="G85" s="15"/>
      <c r="H85" s="15"/>
      <c r="I85" s="15"/>
      <c r="J85" s="14"/>
      <c r="K85" s="14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x14ac:dyDescent="0.35">
      <c r="A86" s="2"/>
      <c r="B86" s="2"/>
      <c r="C86" s="2"/>
      <c r="D86" s="2"/>
      <c r="E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x14ac:dyDescent="0.35">
      <c r="A87" s="2"/>
      <c r="B87" s="2"/>
      <c r="C87" s="2"/>
      <c r="D87" s="2"/>
      <c r="E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x14ac:dyDescent="0.35">
      <c r="A88" s="2"/>
      <c r="B88" s="2"/>
      <c r="C88" s="2"/>
      <c r="D88" s="2"/>
      <c r="E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x14ac:dyDescent="0.35">
      <c r="A89" s="2"/>
      <c r="B89" s="2"/>
      <c r="C89" s="2"/>
      <c r="D89" s="2"/>
      <c r="E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x14ac:dyDescent="0.35">
      <c r="A90" s="2"/>
      <c r="B90" s="2"/>
      <c r="C90" s="2"/>
      <c r="D90" s="2"/>
      <c r="E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x14ac:dyDescent="0.35">
      <c r="A91" s="2"/>
      <c r="B91" s="2"/>
      <c r="C91" s="2"/>
      <c r="D91" s="2"/>
      <c r="E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x14ac:dyDescent="0.35">
      <c r="A92" s="2"/>
      <c r="B92" s="2"/>
      <c r="C92" s="2"/>
      <c r="D92" s="2"/>
      <c r="E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x14ac:dyDescent="0.35">
      <c r="A93" s="2"/>
      <c r="B93" s="2"/>
      <c r="C93" s="2"/>
      <c r="D93" s="2"/>
      <c r="E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x14ac:dyDescent="0.35">
      <c r="A94" s="2"/>
      <c r="B94" s="2"/>
      <c r="C94" s="2"/>
      <c r="D94" s="2"/>
      <c r="E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x14ac:dyDescent="0.35">
      <c r="A95" s="2"/>
      <c r="B95" s="2"/>
      <c r="C95" s="2"/>
      <c r="D95" s="2"/>
      <c r="E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x14ac:dyDescent="0.35">
      <c r="A96" s="2"/>
      <c r="B96" s="2"/>
      <c r="C96" s="2"/>
      <c r="D96" s="2"/>
      <c r="E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x14ac:dyDescent="0.35">
      <c r="A97" s="2"/>
      <c r="B97" s="2"/>
      <c r="C97" s="2"/>
      <c r="D97" s="2"/>
      <c r="E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x14ac:dyDescent="0.35">
      <c r="A98" s="2"/>
      <c r="B98" s="2"/>
      <c r="C98" s="2"/>
      <c r="D98" s="2"/>
      <c r="E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x14ac:dyDescent="0.35">
      <c r="A99" s="2"/>
      <c r="B99" s="2"/>
      <c r="C99" s="2"/>
      <c r="D99" s="2"/>
      <c r="E99" s="2"/>
      <c r="F99" s="5"/>
      <c r="G99" s="5"/>
      <c r="H99" s="5"/>
      <c r="I99" s="5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x14ac:dyDescent="0.35">
      <c r="A100" s="2"/>
      <c r="B100" s="2"/>
      <c r="C100" s="2"/>
      <c r="D100" s="2"/>
      <c r="E100" s="2"/>
      <c r="F100" s="5"/>
      <c r="G100" s="5"/>
      <c r="H100" s="5"/>
      <c r="I100" s="5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x14ac:dyDescent="0.35">
      <c r="A101" s="2"/>
      <c r="B101" s="2"/>
      <c r="C101" s="2"/>
      <c r="D101" s="2"/>
      <c r="E101" s="2"/>
      <c r="F101" s="2"/>
      <c r="G101" s="2"/>
      <c r="H101" s="2"/>
      <c r="I101" s="13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x14ac:dyDescent="0.35">
      <c r="A102" s="2"/>
      <c r="B102" s="2"/>
      <c r="C102" s="2"/>
      <c r="D102" s="2"/>
      <c r="E102" s="2"/>
      <c r="F102" s="2"/>
      <c r="G102" s="2"/>
      <c r="H102" s="2"/>
      <c r="I102" s="13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x14ac:dyDescent="0.35">
      <c r="A103" s="2"/>
      <c r="B103" s="2"/>
      <c r="C103" s="2"/>
      <c r="D103" s="2"/>
      <c r="E103" s="2"/>
      <c r="F103" s="2"/>
      <c r="G103" s="2"/>
      <c r="H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x14ac:dyDescent="0.35">
      <c r="A104" s="2"/>
      <c r="B104" s="2"/>
      <c r="C104" s="2"/>
      <c r="D104" s="2"/>
      <c r="E104" s="2"/>
      <c r="F104" s="2"/>
      <c r="G104" s="2"/>
      <c r="H104" s="2"/>
      <c r="I104" s="1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x14ac:dyDescent="0.35">
      <c r="A105" s="2"/>
      <c r="B105" s="2"/>
      <c r="C105" s="2"/>
      <c r="D105" s="2"/>
      <c r="E105" s="2"/>
      <c r="F105" s="2"/>
      <c r="G105" s="2"/>
      <c r="H105" s="2"/>
      <c r="I105" s="1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x14ac:dyDescent="0.35">
      <c r="A106" s="2"/>
      <c r="B106" s="2"/>
      <c r="C106" s="2"/>
      <c r="D106" s="2"/>
      <c r="E106" s="2"/>
      <c r="F106" s="2"/>
      <c r="G106" s="2"/>
      <c r="H106" s="2"/>
      <c r="I106" s="1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x14ac:dyDescent="0.35">
      <c r="A107" s="2"/>
      <c r="B107" s="2"/>
      <c r="C107" s="2"/>
      <c r="D107" s="2"/>
      <c r="E107" s="2"/>
      <c r="F107" s="2"/>
      <c r="G107" s="2"/>
      <c r="H107" s="2"/>
      <c r="I107" s="1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1.1" customHeight="1" x14ac:dyDescent="0.35">
      <c r="A108" s="2"/>
      <c r="B108" s="2"/>
      <c r="C108" s="2"/>
      <c r="D108" s="2"/>
      <c r="E108" s="2"/>
      <c r="F108" s="2"/>
      <c r="G108" s="2"/>
      <c r="H108" s="2"/>
      <c r="I108" s="1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1.1" customHeight="1" x14ac:dyDescent="0.35">
      <c r="A109" s="2"/>
      <c r="B109" s="2"/>
      <c r="C109" s="2"/>
      <c r="D109" s="2"/>
      <c r="E109" s="2"/>
      <c r="F109" s="2"/>
      <c r="G109" s="2"/>
      <c r="H109" s="2"/>
      <c r="I109" s="1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1.1" customHeight="1" x14ac:dyDescent="0.35">
      <c r="A110" s="2"/>
      <c r="B110" s="2"/>
      <c r="C110" s="2"/>
      <c r="D110" s="2"/>
      <c r="E110" s="2"/>
      <c r="F110" s="2"/>
      <c r="G110" s="2"/>
      <c r="H110" s="2"/>
      <c r="I110" s="1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1.1" customHeight="1" x14ac:dyDescent="0.35">
      <c r="A111" s="2"/>
      <c r="B111" s="2"/>
      <c r="C111" s="2"/>
      <c r="D111" s="2"/>
      <c r="E111" s="2"/>
      <c r="F111" s="2"/>
      <c r="G111" s="2"/>
      <c r="H111" s="2"/>
      <c r="I111" s="1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2.1" customHeight="1" x14ac:dyDescent="0.35">
      <c r="A112" s="2"/>
      <c r="B112" s="2"/>
      <c r="C112" s="2"/>
      <c r="D112" s="2"/>
      <c r="E112" s="2"/>
      <c r="F112" s="2"/>
      <c r="G112" s="2"/>
      <c r="H112" s="2"/>
      <c r="I112" s="1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x14ac:dyDescent="0.35">
      <c r="A113" s="2"/>
      <c r="B113" s="2"/>
      <c r="C113" s="2"/>
      <c r="D113" s="2"/>
      <c r="E113" s="2"/>
      <c r="F113" s="2"/>
      <c r="G113" s="2"/>
      <c r="H113" s="2"/>
      <c r="I113" s="1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x14ac:dyDescent="0.35">
      <c r="A114" s="2"/>
      <c r="B114" s="2"/>
      <c r="C114" s="2"/>
      <c r="D114" s="2"/>
      <c r="E114" s="2"/>
      <c r="F114" s="2"/>
      <c r="G114" s="2"/>
      <c r="H114" s="2"/>
      <c r="I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x14ac:dyDescent="0.35">
      <c r="A115" s="2"/>
      <c r="B115" s="2"/>
      <c r="C115" s="2"/>
      <c r="D115" s="2"/>
      <c r="E115" s="2"/>
      <c r="F115" s="2"/>
      <c r="G115" s="2"/>
      <c r="H115" s="2"/>
      <c r="I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x14ac:dyDescent="0.35">
      <c r="A116" s="2"/>
      <c r="B116" s="2"/>
      <c r="C116" s="2"/>
      <c r="D116" s="2"/>
      <c r="E116" s="2"/>
      <c r="F116" s="2"/>
      <c r="G116" s="2"/>
      <c r="H116" s="2"/>
      <c r="I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x14ac:dyDescent="0.35">
      <c r="A117" s="2"/>
      <c r="B117" s="2"/>
      <c r="C117" s="2"/>
      <c r="D117" s="2"/>
      <c r="E117" s="2"/>
      <c r="F117" s="2"/>
      <c r="G117" s="2"/>
      <c r="H117" s="2"/>
      <c r="I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x14ac:dyDescent="0.35">
      <c r="A118" s="2"/>
      <c r="B118" s="2"/>
      <c r="C118" s="2"/>
      <c r="D118" s="2"/>
      <c r="E118" s="2"/>
      <c r="F118" s="2"/>
      <c r="G118" s="2"/>
      <c r="H118" s="2"/>
      <c r="I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x14ac:dyDescent="0.35">
      <c r="A119" s="2"/>
      <c r="B119" s="2"/>
      <c r="C119" s="2"/>
      <c r="D119" s="2"/>
      <c r="E119" s="2"/>
      <c r="F119" s="2"/>
      <c r="G119" s="2"/>
      <c r="H119" s="2"/>
      <c r="I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x14ac:dyDescent="0.35">
      <c r="A120" s="2"/>
      <c r="B120" s="2"/>
      <c r="C120" s="2"/>
      <c r="D120" s="2"/>
      <c r="E120" s="2"/>
      <c r="F120" s="2"/>
      <c r="G120" s="2"/>
      <c r="H120" s="2"/>
      <c r="I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x14ac:dyDescent="0.35">
      <c r="A121" s="2"/>
      <c r="B121" s="2"/>
      <c r="C121" s="2"/>
      <c r="D121" s="2"/>
      <c r="E121" s="2"/>
      <c r="F121" s="2"/>
      <c r="G121" s="2"/>
      <c r="H121" s="2"/>
      <c r="I121" s="2"/>
      <c r="K121" s="2"/>
      <c r="L121" s="2"/>
      <c r="M121" s="2"/>
      <c r="N121" s="2"/>
      <c r="O121" s="2"/>
      <c r="P121" s="2"/>
      <c r="Q121" s="5"/>
      <c r="R121" s="5">
        <f>SUM(R115:R120)</f>
        <v>0</v>
      </c>
    </row>
    <row r="122" spans="1:23" x14ac:dyDescent="0.35">
      <c r="A122" s="2"/>
      <c r="B122" s="2"/>
      <c r="C122" s="2"/>
      <c r="D122" s="2"/>
      <c r="E122" s="2"/>
      <c r="F122" s="2"/>
      <c r="G122" s="2"/>
      <c r="H122" s="2"/>
      <c r="I122" s="2"/>
      <c r="K122" s="2"/>
      <c r="L122" s="2"/>
      <c r="M122" s="2"/>
      <c r="N122" s="2"/>
      <c r="O122" s="2"/>
      <c r="P122" s="2"/>
      <c r="Q122" s="5"/>
      <c r="R122" s="1">
        <f t="shared" ref="R122:R136" si="12">SUM(K122:O122)</f>
        <v>0</v>
      </c>
    </row>
    <row r="123" spans="1:23" x14ac:dyDescent="0.35">
      <c r="A123" s="2"/>
      <c r="B123" s="2"/>
      <c r="C123" s="2"/>
      <c r="D123" s="2"/>
      <c r="E123" s="2"/>
      <c r="F123" s="2"/>
      <c r="G123" s="2"/>
      <c r="H123" s="2"/>
      <c r="I123" s="2"/>
      <c r="K123" s="2"/>
      <c r="L123" s="2"/>
      <c r="M123" s="2"/>
      <c r="N123" s="2"/>
      <c r="O123" s="2"/>
      <c r="P123" s="2"/>
      <c r="Q123" s="5"/>
      <c r="R123" s="1">
        <f t="shared" si="12"/>
        <v>0</v>
      </c>
    </row>
    <row r="124" spans="1:23" x14ac:dyDescent="0.35">
      <c r="A124" s="2"/>
      <c r="B124" s="2"/>
      <c r="C124" s="2"/>
      <c r="D124" s="2"/>
      <c r="E124" s="2"/>
      <c r="F124" s="2"/>
      <c r="G124" s="2"/>
      <c r="H124" s="2"/>
      <c r="I124" s="2"/>
      <c r="K124" s="2"/>
      <c r="L124" s="2"/>
      <c r="M124" s="2"/>
      <c r="N124" s="2"/>
      <c r="O124" s="2"/>
      <c r="P124" s="2"/>
      <c r="R124" s="1">
        <f t="shared" si="12"/>
        <v>0</v>
      </c>
    </row>
    <row r="125" spans="1:23" x14ac:dyDescent="0.35">
      <c r="A125" s="2"/>
      <c r="B125" s="2"/>
      <c r="C125" s="2"/>
      <c r="D125" s="2"/>
      <c r="E125" s="2"/>
      <c r="F125" s="2"/>
      <c r="G125" s="2"/>
      <c r="H125" s="2"/>
      <c r="I125" s="2"/>
      <c r="K125" s="2"/>
      <c r="L125" s="2"/>
      <c r="M125" s="2"/>
      <c r="N125" s="2"/>
      <c r="O125" s="2"/>
      <c r="P125" s="2"/>
      <c r="R125" s="1">
        <f t="shared" si="12"/>
        <v>0</v>
      </c>
    </row>
    <row r="126" spans="1:23" x14ac:dyDescent="0.35">
      <c r="A126" s="2"/>
      <c r="B126" s="2"/>
      <c r="C126" s="2"/>
      <c r="D126" s="2"/>
      <c r="E126" s="2"/>
      <c r="F126" s="2"/>
      <c r="G126" s="2"/>
      <c r="H126" s="2"/>
      <c r="I126" s="2"/>
      <c r="K126" s="2"/>
      <c r="L126" s="2"/>
      <c r="M126" s="2"/>
      <c r="N126" s="2"/>
      <c r="O126" s="2"/>
      <c r="P126" s="2"/>
      <c r="R126" s="1">
        <f t="shared" si="12"/>
        <v>0</v>
      </c>
    </row>
    <row r="127" spans="1:23" x14ac:dyDescent="0.35">
      <c r="A127" s="2"/>
      <c r="B127" s="2"/>
      <c r="C127" s="2"/>
      <c r="D127" s="2"/>
      <c r="E127" s="2"/>
      <c r="F127" s="2"/>
      <c r="G127" s="2"/>
      <c r="H127" s="2"/>
      <c r="I127" s="2"/>
      <c r="K127" s="2"/>
      <c r="L127" s="2"/>
      <c r="M127" s="2"/>
      <c r="N127" s="2"/>
      <c r="O127" s="2"/>
      <c r="P127" s="2"/>
      <c r="R127" s="1">
        <f t="shared" si="12"/>
        <v>0</v>
      </c>
    </row>
    <row r="128" spans="1:23" x14ac:dyDescent="0.35">
      <c r="A128" s="2"/>
      <c r="B128" s="2"/>
      <c r="C128" s="2"/>
      <c r="D128" s="2"/>
      <c r="E128" s="2"/>
      <c r="F128" s="2"/>
      <c r="G128" s="2"/>
      <c r="H128" s="2"/>
      <c r="I128" s="2"/>
      <c r="K128" s="2"/>
      <c r="L128" s="2"/>
      <c r="M128" s="2"/>
      <c r="N128" s="2"/>
      <c r="O128" s="2"/>
      <c r="P128" s="2"/>
      <c r="R128" s="1">
        <f t="shared" si="12"/>
        <v>0</v>
      </c>
    </row>
    <row r="129" spans="1:256" x14ac:dyDescent="0.35">
      <c r="A129" s="2"/>
      <c r="B129" s="2"/>
      <c r="C129" s="2"/>
      <c r="D129" s="2"/>
      <c r="E129" s="2"/>
      <c r="F129" s="2"/>
      <c r="G129" s="2"/>
      <c r="H129" s="2"/>
      <c r="I129" s="2"/>
      <c r="K129" s="2"/>
      <c r="L129" s="2"/>
      <c r="M129" s="2"/>
      <c r="N129" s="2"/>
      <c r="O129" s="2"/>
      <c r="P129" s="2"/>
      <c r="R129" s="1">
        <f t="shared" si="12"/>
        <v>0</v>
      </c>
    </row>
    <row r="130" spans="1:256" x14ac:dyDescent="0.35">
      <c r="A130" s="2"/>
      <c r="B130" s="2"/>
      <c r="C130" s="2"/>
      <c r="D130" s="2"/>
      <c r="E130" s="2"/>
      <c r="F130" s="2"/>
      <c r="G130" s="2"/>
      <c r="H130" s="2"/>
      <c r="I130" s="2"/>
      <c r="K130" s="2"/>
      <c r="L130" s="2"/>
      <c r="M130" s="2"/>
      <c r="N130" s="2"/>
      <c r="O130" s="2"/>
      <c r="P130" s="2"/>
      <c r="R130" s="1">
        <f t="shared" si="12"/>
        <v>0</v>
      </c>
    </row>
    <row r="131" spans="1:256" x14ac:dyDescent="0.35">
      <c r="A131" s="2"/>
      <c r="B131" s="2"/>
      <c r="C131" s="2"/>
      <c r="D131" s="2"/>
      <c r="E131" s="2"/>
      <c r="F131" s="2"/>
      <c r="G131" s="2"/>
      <c r="H131" s="2"/>
      <c r="I131" s="2"/>
      <c r="K131" s="2"/>
      <c r="L131" s="2"/>
      <c r="M131" s="2"/>
      <c r="N131" s="2"/>
      <c r="O131" s="2"/>
      <c r="P131" s="2"/>
      <c r="R131" s="1">
        <f t="shared" si="12"/>
        <v>0</v>
      </c>
    </row>
    <row r="132" spans="1:256" x14ac:dyDescent="0.35">
      <c r="A132" s="2"/>
      <c r="B132" s="2"/>
      <c r="C132" s="2"/>
      <c r="D132" s="2"/>
      <c r="E132" s="2"/>
      <c r="F132" s="2"/>
      <c r="G132" s="2"/>
      <c r="H132" s="2"/>
      <c r="I132" s="2"/>
      <c r="K132" s="2"/>
      <c r="L132" s="2"/>
      <c r="M132" s="2"/>
      <c r="N132" s="2"/>
      <c r="O132" s="2"/>
      <c r="P132" s="2"/>
      <c r="R132" s="1">
        <f t="shared" si="12"/>
        <v>0</v>
      </c>
    </row>
    <row r="133" spans="1:256" x14ac:dyDescent="0.35">
      <c r="A133" s="2"/>
      <c r="B133" s="2"/>
      <c r="C133" s="2"/>
      <c r="D133" s="2"/>
      <c r="E133" s="2"/>
      <c r="F133" s="2"/>
      <c r="G133" s="2"/>
      <c r="H133" s="2"/>
      <c r="I133" s="2"/>
      <c r="K133" s="2"/>
      <c r="L133" s="2"/>
      <c r="M133" s="2"/>
      <c r="N133" s="2"/>
      <c r="O133" s="2"/>
      <c r="P133" s="2"/>
      <c r="R133" s="1">
        <f t="shared" si="12"/>
        <v>0</v>
      </c>
    </row>
    <row r="134" spans="1:256" x14ac:dyDescent="0.35">
      <c r="A134" s="2"/>
      <c r="B134" s="2"/>
      <c r="C134" s="2"/>
      <c r="D134" s="2"/>
      <c r="E134" s="2"/>
      <c r="F134" s="2"/>
      <c r="G134" s="2"/>
      <c r="H134" s="2"/>
      <c r="I134" s="2"/>
      <c r="K134" s="2"/>
      <c r="L134" s="2"/>
      <c r="M134" s="2"/>
      <c r="N134" s="2"/>
      <c r="O134" s="2"/>
      <c r="P134" s="2"/>
      <c r="R134" s="1">
        <f t="shared" si="12"/>
        <v>0</v>
      </c>
    </row>
    <row r="135" spans="1:256" x14ac:dyDescent="0.35">
      <c r="A135" s="2"/>
      <c r="B135" s="2"/>
      <c r="C135" s="2"/>
      <c r="D135" s="2"/>
      <c r="E135" s="2"/>
      <c r="F135" s="2"/>
      <c r="G135" s="2"/>
      <c r="H135" s="2"/>
      <c r="I135" s="2"/>
      <c r="K135" s="2"/>
      <c r="L135" s="2"/>
      <c r="M135" s="2"/>
      <c r="N135" s="2"/>
      <c r="O135" s="2"/>
      <c r="P135" s="2"/>
      <c r="R135" s="1">
        <f t="shared" si="12"/>
        <v>0</v>
      </c>
    </row>
    <row r="136" spans="1:256" x14ac:dyDescent="0.35">
      <c r="A136" s="2"/>
      <c r="B136" s="2"/>
      <c r="C136" s="2"/>
      <c r="D136" s="2"/>
      <c r="E136" s="2"/>
      <c r="F136" s="2"/>
      <c r="G136" s="2"/>
      <c r="H136" s="2"/>
      <c r="I136" s="2"/>
      <c r="K136" s="2"/>
      <c r="L136" s="2"/>
      <c r="M136" s="2"/>
      <c r="N136" s="2"/>
      <c r="O136" s="2"/>
      <c r="P136" s="2"/>
      <c r="R136" s="1">
        <f t="shared" si="12"/>
        <v>0</v>
      </c>
    </row>
    <row r="137" spans="1:256" x14ac:dyDescent="0.35">
      <c r="A137" s="2"/>
      <c r="B137" s="2"/>
      <c r="C137" s="2"/>
      <c r="D137" s="2"/>
      <c r="E137" s="2"/>
      <c r="F137" s="2"/>
      <c r="G137" s="2"/>
      <c r="H137" s="2"/>
      <c r="I137" s="2"/>
      <c r="K137" s="2"/>
      <c r="L137" s="2"/>
      <c r="M137" s="2"/>
      <c r="N137" s="2"/>
      <c r="O137" s="2"/>
      <c r="P137" s="2"/>
    </row>
    <row r="138" spans="1:256" x14ac:dyDescent="0.35">
      <c r="A138" s="2"/>
      <c r="B138" s="2"/>
      <c r="C138" s="2"/>
      <c r="D138" s="2"/>
      <c r="E138" s="2"/>
      <c r="F138" s="2"/>
      <c r="G138" s="2"/>
      <c r="H138" s="2"/>
      <c r="I138" s="2"/>
      <c r="K138" s="2"/>
      <c r="L138" s="2"/>
      <c r="M138" s="2"/>
      <c r="N138" s="2"/>
      <c r="O138" s="2"/>
      <c r="P138" s="2"/>
    </row>
    <row r="139" spans="1:256" x14ac:dyDescent="0.35">
      <c r="A139" s="2"/>
      <c r="B139" s="2"/>
      <c r="C139" s="2"/>
      <c r="D139" s="2"/>
      <c r="E139" s="2"/>
      <c r="F139" s="2"/>
      <c r="G139" s="2"/>
      <c r="H139" s="2"/>
      <c r="I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</row>
    <row r="140" spans="1:256" x14ac:dyDescent="0.35">
      <c r="A140" s="2"/>
      <c r="B140" s="2"/>
      <c r="C140" s="2"/>
      <c r="D140" s="2"/>
      <c r="E140" s="2"/>
      <c r="F140" s="2"/>
      <c r="G140" s="2"/>
      <c r="H140" s="2"/>
      <c r="I140" s="2"/>
      <c r="K140" s="2"/>
      <c r="L140" s="2"/>
      <c r="M140" s="2"/>
      <c r="N140" s="2"/>
      <c r="O140" s="2"/>
      <c r="P140" s="2"/>
    </row>
    <row r="141" spans="1:256" x14ac:dyDescent="0.35">
      <c r="A141" s="2"/>
      <c r="B141" s="2"/>
      <c r="C141" s="2"/>
      <c r="D141" s="2"/>
      <c r="E141" s="2"/>
      <c r="F141" s="2"/>
      <c r="G141" s="2"/>
      <c r="H141" s="2"/>
      <c r="I141" s="2"/>
      <c r="K141" s="2"/>
      <c r="L141" s="2"/>
      <c r="M141" s="2"/>
      <c r="N141" s="2"/>
      <c r="O141" s="2"/>
      <c r="P141" s="2"/>
      <c r="R141" s="1">
        <f>SUM(K141:O141)</f>
        <v>0</v>
      </c>
    </row>
    <row r="142" spans="1:256" x14ac:dyDescent="0.35">
      <c r="A142" s="2"/>
      <c r="B142" s="2"/>
      <c r="C142" s="2"/>
      <c r="D142" s="2"/>
      <c r="E142" s="2"/>
      <c r="F142" s="2"/>
      <c r="G142" s="2"/>
      <c r="H142" s="2"/>
      <c r="I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  <c r="HR142" s="2"/>
      <c r="HS142" s="2"/>
      <c r="HT142" s="2"/>
      <c r="HU142" s="2"/>
      <c r="HV142" s="2"/>
      <c r="HW142" s="2"/>
      <c r="HX142" s="2"/>
      <c r="HY142" s="2"/>
      <c r="HZ142" s="2"/>
      <c r="IA142" s="2"/>
      <c r="IB142" s="2"/>
      <c r="IC142" s="2"/>
      <c r="ID142" s="2"/>
      <c r="IE142" s="2"/>
      <c r="IF142" s="2"/>
      <c r="IG142" s="2"/>
      <c r="IH142" s="2"/>
      <c r="II142" s="2"/>
      <c r="IJ142" s="2"/>
      <c r="IK142" s="2"/>
      <c r="IL142" s="2"/>
      <c r="IM142" s="2"/>
      <c r="IN142" s="2"/>
      <c r="IO142" s="2"/>
      <c r="IP142" s="2"/>
      <c r="IQ142" s="2"/>
      <c r="IR142" s="2"/>
      <c r="IS142" s="2"/>
      <c r="IT142" s="2"/>
      <c r="IU142" s="2"/>
      <c r="IV142" s="2"/>
    </row>
    <row r="143" spans="1:256" x14ac:dyDescent="0.35">
      <c r="A143" s="2"/>
      <c r="B143" s="2"/>
      <c r="C143" s="2"/>
      <c r="D143" s="2"/>
      <c r="E143" s="2"/>
      <c r="F143" s="2"/>
      <c r="G143" s="2"/>
      <c r="H143" s="2"/>
      <c r="I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  <c r="IV143" s="2"/>
    </row>
    <row r="144" spans="1:256" x14ac:dyDescent="0.35">
      <c r="A144" s="2"/>
      <c r="B144" s="2"/>
      <c r="C144" s="2"/>
      <c r="D144" s="2"/>
      <c r="E144" s="2"/>
      <c r="F144" s="2"/>
      <c r="G144" s="2"/>
      <c r="H144" s="2"/>
      <c r="I144" s="2"/>
      <c r="K144" s="2"/>
      <c r="L144" s="2"/>
      <c r="M144" s="2"/>
      <c r="N144" s="2"/>
      <c r="O144" s="2"/>
      <c r="P144" s="2"/>
      <c r="Q144" s="11"/>
      <c r="R144" s="9"/>
    </row>
    <row r="145" spans="1:28" ht="12.7" x14ac:dyDescent="0.4">
      <c r="A145" s="2"/>
      <c r="B145" s="2"/>
      <c r="C145" s="2"/>
      <c r="D145" s="2"/>
      <c r="E145" s="2"/>
      <c r="F145" s="2"/>
      <c r="G145" s="2"/>
      <c r="H145" s="2"/>
      <c r="I145" s="2"/>
      <c r="K145" s="2"/>
      <c r="L145" s="2"/>
      <c r="M145" s="2"/>
      <c r="N145" s="2"/>
      <c r="O145" s="2"/>
      <c r="P145" s="2"/>
      <c r="Q145" s="5"/>
      <c r="R145" s="5">
        <f>SUM(R126:R144)</f>
        <v>0</v>
      </c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x14ac:dyDescent="0.35">
      <c r="A146" s="2"/>
      <c r="B146" s="2"/>
      <c r="C146" s="2"/>
      <c r="D146" s="2"/>
      <c r="E146" s="2"/>
      <c r="F146" s="2"/>
      <c r="G146" s="2"/>
      <c r="H146" s="2"/>
      <c r="I146" s="2"/>
      <c r="K146" s="2"/>
      <c r="L146" s="2"/>
      <c r="M146" s="2"/>
      <c r="N146" s="2"/>
      <c r="O146" s="2"/>
      <c r="P146" s="2"/>
      <c r="R146" s="1">
        <f t="shared" ref="R146:R154" si="13">SUM(K146:O146)</f>
        <v>0</v>
      </c>
    </row>
    <row r="147" spans="1:28" x14ac:dyDescent="0.35">
      <c r="A147" s="2"/>
      <c r="B147" s="2"/>
      <c r="C147" s="2"/>
      <c r="D147" s="2"/>
      <c r="E147" s="2"/>
      <c r="F147" s="2"/>
      <c r="G147" s="2"/>
      <c r="H147" s="2"/>
      <c r="I147" s="2"/>
      <c r="K147" s="2"/>
      <c r="L147" s="2"/>
      <c r="M147" s="2"/>
      <c r="N147" s="2"/>
      <c r="O147" s="2"/>
      <c r="P147" s="2"/>
      <c r="R147" s="1">
        <f t="shared" si="13"/>
        <v>0</v>
      </c>
    </row>
    <row r="148" spans="1:28" x14ac:dyDescent="0.35">
      <c r="A148" s="2"/>
      <c r="B148" s="2"/>
      <c r="C148" s="2"/>
      <c r="D148" s="2"/>
      <c r="E148" s="2"/>
      <c r="F148" s="2"/>
      <c r="G148" s="2"/>
      <c r="H148" s="2"/>
      <c r="I148" s="2"/>
      <c r="K148" s="2"/>
      <c r="L148" s="2"/>
      <c r="M148" s="2"/>
      <c r="N148" s="2"/>
      <c r="O148" s="2"/>
      <c r="P148" s="2"/>
      <c r="R148" s="1">
        <f t="shared" si="13"/>
        <v>0</v>
      </c>
    </row>
    <row r="149" spans="1:28" x14ac:dyDescent="0.35">
      <c r="A149" s="2"/>
      <c r="B149" s="2"/>
      <c r="C149" s="2"/>
      <c r="D149" s="2"/>
      <c r="E149" s="2"/>
      <c r="F149" s="2"/>
      <c r="G149" s="2"/>
      <c r="H149" s="2"/>
      <c r="I149" s="2"/>
      <c r="K149" s="2"/>
      <c r="L149" s="2"/>
      <c r="M149" s="2"/>
      <c r="N149" s="2"/>
      <c r="O149" s="2"/>
      <c r="P149" s="2"/>
      <c r="R149" s="1">
        <f t="shared" si="13"/>
        <v>0</v>
      </c>
    </row>
    <row r="150" spans="1:28" x14ac:dyDescent="0.35">
      <c r="A150" s="2"/>
      <c r="B150" s="2"/>
      <c r="C150" s="2"/>
      <c r="D150" s="2"/>
      <c r="E150" s="2"/>
      <c r="F150" s="2"/>
      <c r="G150" s="2"/>
      <c r="H150" s="2"/>
      <c r="I150" s="2"/>
      <c r="K150" s="2"/>
      <c r="L150" s="2"/>
      <c r="M150" s="2"/>
      <c r="N150" s="2"/>
      <c r="O150" s="2"/>
      <c r="P150" s="2"/>
      <c r="R150" s="1">
        <f t="shared" si="13"/>
        <v>0</v>
      </c>
    </row>
    <row r="151" spans="1:28" x14ac:dyDescent="0.35">
      <c r="A151" s="2"/>
      <c r="B151" s="2"/>
      <c r="C151" s="2"/>
      <c r="D151" s="2"/>
      <c r="E151" s="2"/>
      <c r="F151" s="2"/>
      <c r="G151" s="2"/>
      <c r="H151" s="2"/>
      <c r="I151" s="2"/>
      <c r="K151" s="2"/>
      <c r="L151" s="2"/>
      <c r="M151" s="2"/>
      <c r="N151" s="2"/>
      <c r="O151" s="2"/>
      <c r="P151" s="2"/>
      <c r="R151" s="1">
        <f t="shared" si="13"/>
        <v>0</v>
      </c>
    </row>
    <row r="152" spans="1:28" x14ac:dyDescent="0.35">
      <c r="A152" s="2"/>
      <c r="B152" s="2"/>
      <c r="C152" s="2"/>
      <c r="D152" s="2"/>
      <c r="E152" s="2"/>
      <c r="F152" s="2"/>
      <c r="G152" s="2"/>
      <c r="H152" s="2"/>
      <c r="I152" s="2"/>
      <c r="K152" s="2"/>
      <c r="L152" s="2"/>
      <c r="M152" s="2"/>
      <c r="N152" s="2"/>
      <c r="O152" s="2"/>
      <c r="P152" s="2"/>
      <c r="R152" s="1">
        <f t="shared" si="13"/>
        <v>0</v>
      </c>
    </row>
    <row r="153" spans="1:28" x14ac:dyDescent="0.35">
      <c r="A153" s="2"/>
      <c r="B153" s="2"/>
      <c r="C153" s="2"/>
      <c r="D153" s="2"/>
      <c r="E153" s="2"/>
      <c r="F153" s="2"/>
      <c r="G153" s="2"/>
      <c r="H153" s="2"/>
      <c r="I153" s="2"/>
      <c r="K153" s="2"/>
      <c r="L153" s="2"/>
      <c r="M153" s="2"/>
      <c r="N153" s="2"/>
      <c r="O153" s="2"/>
      <c r="P153" s="2"/>
      <c r="R153" s="1">
        <f t="shared" si="13"/>
        <v>0</v>
      </c>
    </row>
    <row r="154" spans="1:28" x14ac:dyDescent="0.35">
      <c r="A154" s="2"/>
      <c r="B154" s="2"/>
      <c r="C154" s="2"/>
      <c r="D154" s="2"/>
      <c r="E154" s="2"/>
      <c r="F154" s="2"/>
      <c r="G154" s="2"/>
      <c r="H154" s="2"/>
      <c r="I154" s="2"/>
      <c r="K154" s="2"/>
      <c r="L154" s="2"/>
      <c r="M154" s="2"/>
      <c r="N154" s="2"/>
      <c r="O154" s="2"/>
      <c r="P154" s="2"/>
      <c r="Q154" s="11"/>
      <c r="R154" s="9">
        <f t="shared" si="13"/>
        <v>0</v>
      </c>
    </row>
    <row r="155" spans="1:28" ht="12.7" x14ac:dyDescent="0.4">
      <c r="A155" s="2"/>
      <c r="B155" s="2"/>
      <c r="C155" s="2"/>
      <c r="D155" s="2"/>
      <c r="E155" s="2"/>
      <c r="F155" s="2"/>
      <c r="G155" s="2"/>
      <c r="H155" s="2"/>
      <c r="I155" s="2"/>
      <c r="K155" s="2"/>
      <c r="L155" s="2"/>
      <c r="M155" s="2"/>
      <c r="N155" s="2"/>
      <c r="O155" s="2"/>
      <c r="P155" s="2"/>
      <c r="Q155" s="5"/>
      <c r="R155" s="5">
        <f>SUM(R145:R154)</f>
        <v>0</v>
      </c>
      <c r="S155" s="4"/>
      <c r="T155" s="4"/>
    </row>
    <row r="156" spans="1:28" x14ac:dyDescent="0.35">
      <c r="A156" s="2"/>
      <c r="B156" s="2"/>
      <c r="C156" s="2"/>
      <c r="D156" s="2"/>
      <c r="E156" s="2"/>
      <c r="F156" s="2"/>
      <c r="G156" s="2"/>
      <c r="H156" s="2"/>
      <c r="I156" s="2"/>
      <c r="K156" s="2"/>
      <c r="L156" s="2"/>
      <c r="M156" s="2"/>
      <c r="N156" s="2"/>
      <c r="O156" s="2"/>
      <c r="P156" s="2"/>
      <c r="R156" s="1">
        <f>SUM(K156:O156)</f>
        <v>0</v>
      </c>
    </row>
    <row r="157" spans="1:28" x14ac:dyDescent="0.35">
      <c r="A157" s="2"/>
      <c r="B157" s="2"/>
      <c r="C157" s="2"/>
      <c r="D157" s="2"/>
      <c r="E157" s="2"/>
      <c r="F157" s="2"/>
      <c r="G157" s="2"/>
      <c r="H157" s="2"/>
      <c r="I157" s="2"/>
      <c r="K157" s="2"/>
      <c r="L157" s="2"/>
      <c r="M157" s="2"/>
      <c r="N157" s="2"/>
      <c r="O157" s="2"/>
      <c r="P157" s="2"/>
      <c r="Q157" s="11"/>
      <c r="R157" s="9">
        <f>SUM(K157:O157)</f>
        <v>0</v>
      </c>
    </row>
    <row r="158" spans="1:28" x14ac:dyDescent="0.35">
      <c r="A158" s="2"/>
      <c r="B158" s="2"/>
      <c r="C158" s="2"/>
      <c r="D158" s="2"/>
      <c r="E158" s="2"/>
      <c r="F158" s="2"/>
      <c r="G158" s="2"/>
      <c r="H158" s="2"/>
      <c r="I158" s="2"/>
      <c r="K158" s="2"/>
      <c r="L158" s="2"/>
      <c r="M158" s="2"/>
      <c r="N158" s="2"/>
      <c r="O158" s="2"/>
      <c r="P158" s="2"/>
      <c r="Q158" s="5"/>
      <c r="R158" s="5">
        <f>R121-R155</f>
        <v>0</v>
      </c>
    </row>
    <row r="159" spans="1:28" x14ac:dyDescent="0.35">
      <c r="A159" s="2"/>
      <c r="B159" s="2"/>
      <c r="C159" s="2"/>
      <c r="D159" s="2"/>
      <c r="E159" s="2"/>
      <c r="F159" s="2"/>
      <c r="G159" s="2"/>
      <c r="H159" s="2"/>
      <c r="I159" s="2"/>
      <c r="K159" s="2"/>
      <c r="L159" s="2"/>
      <c r="M159" s="2"/>
      <c r="N159" s="2"/>
      <c r="O159" s="2"/>
      <c r="P159" s="2"/>
      <c r="R159" s="1">
        <f>SUM(K159:O159)</f>
        <v>0</v>
      </c>
    </row>
    <row r="160" spans="1:28" x14ac:dyDescent="0.35">
      <c r="A160" s="2"/>
      <c r="B160" s="2"/>
      <c r="C160" s="2"/>
      <c r="D160" s="2"/>
      <c r="E160" s="2"/>
      <c r="F160" s="2"/>
      <c r="G160" s="2"/>
      <c r="H160" s="2"/>
      <c r="I160" s="2"/>
      <c r="K160" s="2"/>
      <c r="L160" s="2"/>
      <c r="M160" s="2"/>
      <c r="N160" s="2"/>
      <c r="O160" s="2"/>
      <c r="P160" s="2"/>
      <c r="R160" s="1">
        <f>SUM(K160:O160)</f>
        <v>0</v>
      </c>
    </row>
    <row r="161" spans="1:28" x14ac:dyDescent="0.35">
      <c r="A161" s="2"/>
      <c r="B161" s="2"/>
      <c r="C161" s="2"/>
      <c r="D161" s="2"/>
      <c r="E161" s="2"/>
      <c r="F161" s="2"/>
      <c r="G161" s="2"/>
      <c r="H161" s="2"/>
      <c r="I161" s="2"/>
      <c r="K161" s="2"/>
      <c r="L161" s="2"/>
      <c r="M161" s="2"/>
      <c r="N161" s="2"/>
      <c r="O161" s="2"/>
      <c r="P161" s="2"/>
      <c r="R161" s="1">
        <f>SUM(K161:O161)</f>
        <v>0</v>
      </c>
    </row>
    <row r="162" spans="1:28" x14ac:dyDescent="0.35">
      <c r="A162" s="2"/>
      <c r="B162" s="2"/>
      <c r="C162" s="2"/>
      <c r="D162" s="2"/>
      <c r="E162" s="2"/>
      <c r="F162" s="2"/>
      <c r="G162" s="2"/>
      <c r="H162" s="2"/>
      <c r="I162" s="2"/>
      <c r="K162" s="2"/>
      <c r="L162" s="2"/>
      <c r="M162" s="2"/>
      <c r="N162" s="2"/>
      <c r="O162" s="2"/>
      <c r="P162" s="2"/>
      <c r="Q162" s="11"/>
      <c r="R162" s="9">
        <f>SUM(K162:O162)</f>
        <v>0</v>
      </c>
    </row>
    <row r="163" spans="1:28" x14ac:dyDescent="0.35">
      <c r="A163" s="2"/>
      <c r="B163" s="2"/>
      <c r="C163" s="2"/>
      <c r="D163" s="2"/>
      <c r="E163" s="2"/>
      <c r="F163" s="2"/>
      <c r="G163" s="2"/>
      <c r="H163" s="2"/>
      <c r="I163" s="2"/>
      <c r="K163" s="2"/>
      <c r="L163" s="2"/>
      <c r="M163" s="2"/>
      <c r="N163" s="2"/>
      <c r="O163" s="2"/>
      <c r="P163" s="2"/>
      <c r="Q163" s="5"/>
      <c r="R163" s="5">
        <f>SUM(R158:R162)</f>
        <v>0</v>
      </c>
    </row>
    <row r="164" spans="1:28" x14ac:dyDescent="0.35">
      <c r="A164" s="2"/>
      <c r="B164" s="2"/>
      <c r="C164" s="2"/>
      <c r="D164" s="2"/>
      <c r="E164" s="2"/>
      <c r="F164" s="2"/>
      <c r="G164" s="2"/>
      <c r="H164" s="2"/>
      <c r="I164" s="2"/>
      <c r="K164" s="2"/>
      <c r="L164" s="2"/>
      <c r="M164" s="2"/>
      <c r="N164" s="2"/>
      <c r="O164" s="2"/>
      <c r="P164" s="2"/>
      <c r="R164" s="1">
        <f t="shared" ref="R164:R169" si="14">SUM(K164:O164)</f>
        <v>0</v>
      </c>
    </row>
    <row r="165" spans="1:28" x14ac:dyDescent="0.35">
      <c r="A165" s="2"/>
      <c r="B165" s="2"/>
      <c r="C165" s="2"/>
      <c r="D165" s="2"/>
      <c r="E165" s="2"/>
      <c r="F165" s="2"/>
      <c r="G165" s="2"/>
      <c r="H165" s="2"/>
      <c r="I165" s="2"/>
      <c r="K165" s="2"/>
      <c r="L165" s="2"/>
      <c r="M165" s="2"/>
      <c r="N165" s="2"/>
      <c r="O165" s="2"/>
      <c r="P165" s="2"/>
      <c r="R165" s="1">
        <f t="shared" si="14"/>
        <v>0</v>
      </c>
    </row>
    <row r="166" spans="1:28" x14ac:dyDescent="0.35">
      <c r="A166" s="2"/>
      <c r="B166" s="2"/>
      <c r="C166" s="2"/>
      <c r="D166" s="2"/>
      <c r="E166" s="2"/>
      <c r="F166" s="2"/>
      <c r="G166" s="2"/>
      <c r="H166" s="2"/>
      <c r="I166" s="2"/>
      <c r="K166" s="2"/>
      <c r="L166" s="2"/>
      <c r="M166" s="2"/>
      <c r="N166" s="2"/>
      <c r="O166" s="2"/>
      <c r="P166" s="2"/>
      <c r="R166" s="1">
        <f t="shared" si="14"/>
        <v>0</v>
      </c>
    </row>
    <row r="167" spans="1:28" x14ac:dyDescent="0.35">
      <c r="A167" s="2"/>
      <c r="B167" s="2"/>
      <c r="C167" s="2"/>
      <c r="D167" s="2"/>
      <c r="E167" s="2"/>
      <c r="F167" s="2"/>
      <c r="G167" s="2"/>
      <c r="H167" s="2"/>
      <c r="I167" s="2"/>
      <c r="K167" s="2"/>
      <c r="L167" s="2"/>
      <c r="M167" s="2"/>
      <c r="N167" s="2"/>
      <c r="O167" s="2"/>
      <c r="P167" s="2"/>
      <c r="R167" s="1">
        <f t="shared" si="14"/>
        <v>0</v>
      </c>
    </row>
    <row r="168" spans="1:28" x14ac:dyDescent="0.35">
      <c r="A168" s="2"/>
      <c r="B168" s="2"/>
      <c r="C168" s="2"/>
      <c r="D168" s="2"/>
      <c r="E168" s="2"/>
      <c r="F168" s="2"/>
      <c r="G168" s="2"/>
      <c r="H168" s="2"/>
      <c r="I168" s="2"/>
      <c r="K168" s="2"/>
      <c r="L168" s="2"/>
      <c r="M168" s="2"/>
      <c r="N168" s="2"/>
      <c r="O168" s="2"/>
      <c r="P168" s="2"/>
      <c r="R168" s="1">
        <f t="shared" si="14"/>
        <v>0</v>
      </c>
    </row>
    <row r="169" spans="1:28" x14ac:dyDescent="0.35">
      <c r="A169" s="2"/>
      <c r="B169" s="2"/>
      <c r="C169" s="2"/>
      <c r="D169" s="2"/>
      <c r="E169" s="2"/>
      <c r="F169" s="2"/>
      <c r="G169" s="2"/>
      <c r="H169" s="2"/>
      <c r="I169" s="2"/>
      <c r="K169" s="2"/>
      <c r="L169" s="2"/>
      <c r="M169" s="2"/>
      <c r="N169" s="2"/>
      <c r="O169" s="2"/>
      <c r="P169" s="2"/>
      <c r="Q169" s="11"/>
      <c r="R169" s="9">
        <f t="shared" si="14"/>
        <v>0</v>
      </c>
    </row>
    <row r="170" spans="1:28" ht="12.7" x14ac:dyDescent="0.4">
      <c r="A170" s="2"/>
      <c r="B170" s="2"/>
      <c r="C170" s="2"/>
      <c r="D170" s="2"/>
      <c r="E170" s="2"/>
      <c r="F170" s="2"/>
      <c r="G170" s="2"/>
      <c r="H170" s="2"/>
      <c r="I170" s="2"/>
      <c r="K170" s="2"/>
      <c r="L170" s="2"/>
      <c r="M170" s="2"/>
      <c r="N170" s="2"/>
      <c r="O170" s="2"/>
      <c r="P170" s="2"/>
      <c r="Q170" s="5"/>
      <c r="R170" s="5">
        <f>SUM(R163:R169)</f>
        <v>0</v>
      </c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x14ac:dyDescent="0.35">
      <c r="A171" s="2"/>
      <c r="B171" s="2"/>
      <c r="C171" s="2"/>
      <c r="D171" s="2"/>
      <c r="E171" s="2"/>
      <c r="F171" s="2"/>
      <c r="G171" s="2"/>
      <c r="H171" s="2"/>
      <c r="I171" s="2"/>
      <c r="K171" s="2"/>
      <c r="L171" s="2"/>
      <c r="M171" s="2"/>
      <c r="N171" s="2"/>
      <c r="O171" s="2"/>
      <c r="P171" s="2"/>
      <c r="R171" s="1">
        <f t="shared" ref="R171:R193" si="15">SUM(K171:O171)</f>
        <v>0</v>
      </c>
    </row>
    <row r="172" spans="1:28" ht="12.7" x14ac:dyDescent="0.4">
      <c r="A172" s="2"/>
      <c r="B172" s="2"/>
      <c r="C172" s="2"/>
      <c r="D172" s="2"/>
      <c r="E172" s="2"/>
      <c r="F172" s="2"/>
      <c r="G172" s="2"/>
      <c r="H172" s="2"/>
      <c r="I172" s="2"/>
      <c r="K172" s="2"/>
      <c r="L172" s="2"/>
      <c r="M172" s="2"/>
      <c r="N172" s="2"/>
      <c r="O172" s="2"/>
      <c r="P172" s="2"/>
      <c r="Q172" s="5"/>
      <c r="R172" s="5">
        <f t="shared" si="15"/>
        <v>0</v>
      </c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x14ac:dyDescent="0.35">
      <c r="A173" s="2"/>
      <c r="B173" s="2"/>
      <c r="C173" s="2"/>
      <c r="D173" s="2"/>
      <c r="E173" s="2"/>
      <c r="F173" s="2"/>
      <c r="G173" s="2"/>
      <c r="H173" s="2"/>
      <c r="I173" s="2"/>
      <c r="K173" s="2"/>
      <c r="L173" s="2"/>
      <c r="M173" s="2"/>
      <c r="N173" s="2"/>
      <c r="O173" s="2"/>
      <c r="P173" s="2"/>
      <c r="Q173" s="10"/>
      <c r="R173" s="9">
        <f t="shared" si="15"/>
        <v>0</v>
      </c>
    </row>
    <row r="174" spans="1:28" ht="12.7" x14ac:dyDescent="0.4">
      <c r="A174" s="2"/>
      <c r="B174" s="2"/>
      <c r="C174" s="2"/>
      <c r="D174" s="2"/>
      <c r="E174" s="2"/>
      <c r="F174" s="2"/>
      <c r="G174" s="2"/>
      <c r="H174" s="2"/>
      <c r="I174" s="2"/>
      <c r="K174" s="2"/>
      <c r="L174" s="2"/>
      <c r="M174" s="2"/>
      <c r="N174" s="2"/>
      <c r="O174" s="2"/>
      <c r="P174" s="2"/>
      <c r="Q174" s="5"/>
      <c r="R174" s="5">
        <f t="shared" si="15"/>
        <v>0</v>
      </c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x14ac:dyDescent="0.35">
      <c r="A175" s="2"/>
      <c r="B175" s="2"/>
      <c r="C175" s="2"/>
      <c r="D175" s="2"/>
      <c r="E175" s="2"/>
      <c r="F175" s="2"/>
      <c r="G175" s="2"/>
      <c r="H175" s="2"/>
      <c r="I175" s="2"/>
      <c r="K175" s="2"/>
      <c r="L175" s="2"/>
      <c r="M175" s="2"/>
      <c r="N175" s="2"/>
      <c r="O175" s="2"/>
      <c r="P175" s="2"/>
      <c r="Q175" s="8"/>
      <c r="R175" s="7">
        <f t="shared" si="15"/>
        <v>0</v>
      </c>
    </row>
    <row r="176" spans="1:28" x14ac:dyDescent="0.35">
      <c r="A176" s="2"/>
      <c r="B176" s="2"/>
      <c r="C176" s="2"/>
      <c r="D176" s="2"/>
      <c r="E176" s="2"/>
      <c r="F176" s="2"/>
      <c r="G176" s="2"/>
      <c r="H176" s="2"/>
      <c r="I176" s="2"/>
      <c r="K176" s="2"/>
      <c r="L176" s="2"/>
      <c r="M176" s="2"/>
      <c r="N176" s="2"/>
      <c r="O176" s="2"/>
      <c r="P176" s="2"/>
      <c r="R176" s="1">
        <f t="shared" si="15"/>
        <v>0</v>
      </c>
    </row>
    <row r="177" spans="1:18" x14ac:dyDescent="0.35">
      <c r="A177" s="2"/>
      <c r="B177" s="2"/>
      <c r="C177" s="2"/>
      <c r="D177" s="2"/>
      <c r="E177" s="2"/>
      <c r="F177" s="2"/>
      <c r="G177" s="2"/>
      <c r="H177" s="2"/>
      <c r="I177" s="2"/>
      <c r="K177" s="2"/>
      <c r="L177" s="2"/>
      <c r="M177" s="2"/>
      <c r="N177" s="2"/>
      <c r="O177" s="2"/>
      <c r="P177" s="2"/>
      <c r="R177" s="1">
        <f t="shared" si="15"/>
        <v>0</v>
      </c>
    </row>
    <row r="178" spans="1:18" x14ac:dyDescent="0.35">
      <c r="A178" s="2"/>
      <c r="B178" s="2"/>
      <c r="C178" s="2"/>
      <c r="D178" s="2"/>
      <c r="E178" s="2"/>
      <c r="F178" s="2"/>
      <c r="G178" s="2"/>
      <c r="H178" s="2"/>
      <c r="I178" s="2"/>
      <c r="K178" s="2"/>
      <c r="L178" s="2"/>
      <c r="M178" s="2"/>
      <c r="N178" s="2"/>
      <c r="O178" s="2"/>
      <c r="P178" s="2"/>
      <c r="R178" s="1">
        <f t="shared" si="15"/>
        <v>0</v>
      </c>
    </row>
    <row r="179" spans="1:18" x14ac:dyDescent="0.35">
      <c r="A179" s="2"/>
      <c r="B179" s="2"/>
      <c r="C179" s="2"/>
      <c r="D179" s="2"/>
      <c r="E179" s="2"/>
      <c r="F179" s="2"/>
      <c r="G179" s="2"/>
      <c r="H179" s="2"/>
      <c r="I179" s="2"/>
      <c r="K179" s="2"/>
      <c r="L179" s="2"/>
      <c r="M179" s="2"/>
      <c r="N179" s="2"/>
      <c r="O179" s="2"/>
      <c r="P179" s="2"/>
      <c r="R179" s="1">
        <f t="shared" si="15"/>
        <v>0</v>
      </c>
    </row>
    <row r="180" spans="1:18" x14ac:dyDescent="0.35">
      <c r="A180" s="2"/>
      <c r="B180" s="2"/>
      <c r="C180" s="2"/>
      <c r="D180" s="2"/>
      <c r="E180" s="2"/>
      <c r="F180" s="2"/>
      <c r="G180" s="2"/>
      <c r="H180" s="2"/>
      <c r="I180" s="2"/>
      <c r="K180" s="2"/>
      <c r="L180" s="2"/>
      <c r="M180" s="2"/>
      <c r="N180" s="2"/>
      <c r="O180" s="2"/>
      <c r="P180" s="2"/>
      <c r="R180" s="1">
        <f t="shared" si="15"/>
        <v>0</v>
      </c>
    </row>
    <row r="181" spans="1:18" x14ac:dyDescent="0.35">
      <c r="A181" s="2"/>
      <c r="B181" s="2"/>
      <c r="C181" s="2"/>
      <c r="D181" s="2"/>
      <c r="E181" s="2"/>
      <c r="F181" s="2"/>
      <c r="G181" s="2"/>
      <c r="H181" s="2"/>
      <c r="I181" s="2"/>
      <c r="K181" s="2"/>
      <c r="L181" s="2"/>
      <c r="M181" s="2"/>
      <c r="N181" s="2"/>
      <c r="O181" s="2"/>
      <c r="P181" s="2"/>
      <c r="R181" s="1">
        <f t="shared" si="15"/>
        <v>0</v>
      </c>
    </row>
    <row r="182" spans="1:18" x14ac:dyDescent="0.35">
      <c r="A182" s="2"/>
      <c r="B182" s="2"/>
      <c r="C182" s="2"/>
      <c r="D182" s="2"/>
      <c r="E182" s="2"/>
      <c r="F182" s="2"/>
      <c r="G182" s="2"/>
      <c r="H182" s="2"/>
      <c r="I182" s="2"/>
      <c r="K182" s="2"/>
      <c r="L182" s="2"/>
      <c r="M182" s="2"/>
      <c r="N182" s="2"/>
      <c r="O182" s="2"/>
      <c r="P182" s="2"/>
      <c r="R182" s="1">
        <f t="shared" si="15"/>
        <v>0</v>
      </c>
    </row>
    <row r="183" spans="1:18" x14ac:dyDescent="0.35">
      <c r="A183" s="2"/>
      <c r="B183" s="2"/>
      <c r="C183" s="2"/>
      <c r="D183" s="2"/>
      <c r="E183" s="2"/>
      <c r="F183" s="2"/>
      <c r="G183" s="2"/>
      <c r="H183" s="2"/>
      <c r="I183" s="2"/>
      <c r="K183" s="2"/>
      <c r="L183" s="2"/>
      <c r="M183" s="2"/>
      <c r="N183" s="2"/>
      <c r="O183" s="2"/>
      <c r="P183" s="2"/>
      <c r="R183" s="1">
        <f t="shared" si="15"/>
        <v>0</v>
      </c>
    </row>
    <row r="184" spans="1:18" x14ac:dyDescent="0.35">
      <c r="A184" s="2"/>
      <c r="B184" s="2"/>
      <c r="C184" s="2"/>
      <c r="D184" s="2"/>
      <c r="E184" s="2"/>
      <c r="F184" s="2"/>
      <c r="G184" s="2"/>
      <c r="H184" s="2"/>
      <c r="I184" s="2"/>
      <c r="K184" s="2"/>
      <c r="L184" s="2"/>
      <c r="M184" s="2"/>
      <c r="N184" s="2"/>
      <c r="O184" s="2"/>
      <c r="P184" s="2"/>
      <c r="R184" s="1">
        <f t="shared" si="15"/>
        <v>0</v>
      </c>
    </row>
    <row r="185" spans="1:18" x14ac:dyDescent="0.35">
      <c r="A185" s="2"/>
      <c r="B185" s="2"/>
      <c r="C185" s="2"/>
      <c r="D185" s="2"/>
      <c r="E185" s="2"/>
      <c r="F185" s="2"/>
      <c r="G185" s="2"/>
      <c r="H185" s="2"/>
      <c r="I185" s="2"/>
      <c r="K185" s="2"/>
      <c r="L185" s="2"/>
      <c r="M185" s="2"/>
      <c r="N185" s="2"/>
      <c r="O185" s="2"/>
      <c r="P185" s="2"/>
      <c r="R185" s="1">
        <f t="shared" si="15"/>
        <v>0</v>
      </c>
    </row>
    <row r="186" spans="1:18" x14ac:dyDescent="0.35">
      <c r="A186" s="2"/>
      <c r="B186" s="2"/>
      <c r="C186" s="2"/>
      <c r="D186" s="2"/>
      <c r="E186" s="2"/>
      <c r="F186" s="2"/>
      <c r="G186" s="2"/>
      <c r="H186" s="2"/>
      <c r="I186" s="2"/>
      <c r="K186" s="2"/>
      <c r="L186" s="2"/>
      <c r="M186" s="2"/>
      <c r="N186" s="2"/>
      <c r="O186" s="2"/>
      <c r="P186" s="2"/>
      <c r="R186" s="1">
        <f t="shared" si="15"/>
        <v>0</v>
      </c>
    </row>
    <row r="187" spans="1:18" x14ac:dyDescent="0.35">
      <c r="A187" s="2"/>
      <c r="B187" s="2"/>
      <c r="C187" s="2"/>
      <c r="D187" s="2"/>
      <c r="E187" s="2"/>
      <c r="F187" s="2"/>
      <c r="G187" s="2"/>
      <c r="H187" s="2"/>
      <c r="I187" s="2"/>
      <c r="K187" s="2"/>
      <c r="L187" s="2"/>
      <c r="M187" s="2"/>
      <c r="N187" s="2"/>
      <c r="O187" s="2"/>
      <c r="P187" s="2"/>
      <c r="R187" s="1">
        <f t="shared" si="15"/>
        <v>0</v>
      </c>
    </row>
    <row r="188" spans="1:18" x14ac:dyDescent="0.35">
      <c r="A188" s="2"/>
      <c r="B188" s="2"/>
      <c r="C188" s="2"/>
      <c r="D188" s="2"/>
      <c r="E188" s="2"/>
      <c r="F188" s="2"/>
      <c r="G188" s="2"/>
      <c r="H188" s="2"/>
      <c r="I188" s="2"/>
      <c r="K188" s="2"/>
      <c r="L188" s="2"/>
      <c r="M188" s="2"/>
      <c r="N188" s="2"/>
      <c r="O188" s="2"/>
      <c r="P188" s="2"/>
      <c r="R188" s="1">
        <f t="shared" si="15"/>
        <v>0</v>
      </c>
    </row>
    <row r="189" spans="1:18" x14ac:dyDescent="0.35">
      <c r="A189" s="2"/>
      <c r="B189" s="2"/>
      <c r="C189" s="2"/>
      <c r="D189" s="2"/>
      <c r="E189" s="2"/>
      <c r="F189" s="2"/>
      <c r="G189" s="2"/>
      <c r="H189" s="2"/>
      <c r="I189" s="2"/>
      <c r="K189" s="2"/>
      <c r="L189" s="2"/>
      <c r="M189" s="2"/>
      <c r="N189" s="2"/>
      <c r="O189" s="2"/>
      <c r="P189" s="2"/>
      <c r="R189" s="1">
        <f t="shared" si="15"/>
        <v>0</v>
      </c>
    </row>
    <row r="190" spans="1:18" x14ac:dyDescent="0.35">
      <c r="A190" s="2"/>
      <c r="B190" s="2"/>
      <c r="C190" s="2"/>
      <c r="D190" s="2"/>
      <c r="E190" s="2"/>
      <c r="F190" s="2"/>
      <c r="G190" s="2"/>
      <c r="H190" s="2"/>
      <c r="I190" s="2"/>
      <c r="K190" s="2"/>
      <c r="L190" s="2"/>
      <c r="M190" s="2"/>
      <c r="N190" s="2"/>
      <c r="O190" s="2"/>
      <c r="P190" s="2"/>
      <c r="R190" s="1">
        <f t="shared" si="15"/>
        <v>0</v>
      </c>
    </row>
    <row r="191" spans="1:18" x14ac:dyDescent="0.35">
      <c r="A191" s="2"/>
      <c r="B191" s="2"/>
      <c r="C191" s="2"/>
      <c r="D191" s="2"/>
      <c r="E191" s="2"/>
      <c r="F191" s="2"/>
      <c r="G191" s="2"/>
      <c r="H191" s="2"/>
      <c r="I191" s="2"/>
      <c r="K191" s="2"/>
      <c r="L191" s="2"/>
      <c r="M191" s="2"/>
      <c r="N191" s="2"/>
      <c r="O191" s="2"/>
      <c r="P191" s="2"/>
      <c r="R191" s="1">
        <f t="shared" si="15"/>
        <v>0</v>
      </c>
    </row>
    <row r="192" spans="1:18" x14ac:dyDescent="0.35">
      <c r="A192" s="2"/>
      <c r="B192" s="2"/>
      <c r="C192" s="2"/>
      <c r="D192" s="2"/>
      <c r="E192" s="2"/>
      <c r="F192" s="2"/>
      <c r="G192" s="2"/>
      <c r="H192" s="2"/>
      <c r="I192" s="2"/>
      <c r="K192" s="2"/>
      <c r="L192" s="2"/>
      <c r="M192" s="2"/>
      <c r="N192" s="2"/>
      <c r="O192" s="2"/>
      <c r="P192" s="2"/>
      <c r="R192" s="1">
        <f t="shared" si="15"/>
        <v>0</v>
      </c>
    </row>
    <row r="193" spans="1:256" x14ac:dyDescent="0.35">
      <c r="A193" s="2"/>
      <c r="B193" s="2"/>
      <c r="C193" s="2"/>
      <c r="D193" s="2"/>
      <c r="E193" s="2"/>
      <c r="F193" s="2"/>
      <c r="G193" s="2"/>
      <c r="H193" s="2"/>
      <c r="I193" s="2"/>
      <c r="K193" s="2"/>
      <c r="L193" s="2"/>
      <c r="M193" s="2"/>
      <c r="N193" s="2"/>
      <c r="O193" s="2"/>
      <c r="P193" s="2"/>
      <c r="R193" s="1">
        <f t="shared" si="15"/>
        <v>0</v>
      </c>
    </row>
    <row r="194" spans="1:256" x14ac:dyDescent="0.35">
      <c r="A194" s="2"/>
      <c r="B194" s="2"/>
      <c r="C194" s="2"/>
      <c r="D194" s="2"/>
      <c r="E194" s="2"/>
      <c r="F194" s="2"/>
      <c r="G194" s="2"/>
      <c r="H194" s="2"/>
      <c r="I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  <c r="FD194" s="2"/>
      <c r="FE194" s="2"/>
      <c r="FF194" s="2"/>
      <c r="FG194" s="2"/>
      <c r="FH194" s="2"/>
      <c r="FI194" s="2"/>
      <c r="FJ194" s="2"/>
      <c r="FK194" s="2"/>
      <c r="FL194" s="2"/>
      <c r="FM194" s="2"/>
      <c r="FN194" s="2"/>
      <c r="FO194" s="2"/>
      <c r="FP194" s="2"/>
      <c r="FQ194" s="2"/>
      <c r="FR194" s="2"/>
      <c r="FS194" s="2"/>
      <c r="FT194" s="2"/>
      <c r="FU194" s="2"/>
      <c r="FV194" s="2"/>
      <c r="FW194" s="2"/>
      <c r="FX194" s="2"/>
      <c r="FY194" s="2"/>
      <c r="FZ194" s="2"/>
      <c r="GA194" s="2"/>
      <c r="GB194" s="2"/>
      <c r="GC194" s="2"/>
      <c r="GD194" s="2"/>
      <c r="GE194" s="2"/>
      <c r="GF194" s="2"/>
      <c r="GG194" s="2"/>
      <c r="GH194" s="2"/>
      <c r="GI194" s="2"/>
      <c r="GJ194" s="2"/>
      <c r="GK194" s="2"/>
      <c r="GL194" s="2"/>
      <c r="GM194" s="2"/>
      <c r="GN194" s="2"/>
      <c r="GO194" s="2"/>
      <c r="GP194" s="2"/>
      <c r="GQ194" s="2"/>
      <c r="GR194" s="2"/>
      <c r="GS194" s="2"/>
      <c r="GT194" s="2"/>
      <c r="GU194" s="2"/>
      <c r="GV194" s="2"/>
      <c r="GW194" s="2"/>
      <c r="GX194" s="2"/>
      <c r="GY194" s="2"/>
      <c r="GZ194" s="2"/>
      <c r="HA194" s="2"/>
      <c r="HB194" s="2"/>
      <c r="HC194" s="2"/>
      <c r="HD194" s="2"/>
      <c r="HE194" s="2"/>
      <c r="HF194" s="2"/>
      <c r="HG194" s="2"/>
      <c r="HH194" s="2"/>
      <c r="HI194" s="2"/>
      <c r="HJ194" s="2"/>
      <c r="HK194" s="2"/>
      <c r="HL194" s="2"/>
      <c r="HM194" s="2"/>
      <c r="HN194" s="2"/>
      <c r="HO194" s="2"/>
      <c r="HP194" s="2"/>
      <c r="HQ194" s="2"/>
      <c r="HR194" s="2"/>
      <c r="HS194" s="2"/>
      <c r="HT194" s="2"/>
      <c r="HU194" s="2"/>
      <c r="HV194" s="2"/>
      <c r="HW194" s="2"/>
      <c r="HX194" s="2"/>
      <c r="HY194" s="2"/>
      <c r="HZ194" s="2"/>
      <c r="IA194" s="2"/>
      <c r="IB194" s="2"/>
      <c r="IC194" s="2"/>
      <c r="ID194" s="2"/>
      <c r="IE194" s="2"/>
      <c r="IF194" s="2"/>
      <c r="IG194" s="2"/>
      <c r="IH194" s="2"/>
      <c r="II194" s="2"/>
      <c r="IJ194" s="2"/>
      <c r="IK194" s="2"/>
      <c r="IL194" s="2"/>
      <c r="IM194" s="2"/>
      <c r="IN194" s="2"/>
      <c r="IO194" s="2"/>
      <c r="IP194" s="2"/>
      <c r="IQ194" s="2"/>
      <c r="IR194" s="2"/>
      <c r="IS194" s="2"/>
      <c r="IT194" s="2"/>
      <c r="IU194" s="2"/>
      <c r="IV194" s="2"/>
    </row>
    <row r="195" spans="1:256" x14ac:dyDescent="0.35">
      <c r="A195" s="2"/>
      <c r="B195" s="2"/>
      <c r="C195" s="2"/>
      <c r="D195" s="2"/>
      <c r="E195" s="2"/>
      <c r="F195" s="2"/>
      <c r="G195" s="2"/>
      <c r="H195" s="2"/>
      <c r="I195" s="2"/>
      <c r="K195" s="2"/>
      <c r="L195" s="2"/>
      <c r="M195" s="2"/>
      <c r="N195" s="2"/>
      <c r="O195" s="2"/>
      <c r="P195" s="2"/>
      <c r="Q195" s="6"/>
      <c r="R195" s="1">
        <f>SUM(K195:O195)</f>
        <v>0</v>
      </c>
    </row>
    <row r="196" spans="1:256" ht="12.7" x14ac:dyDescent="0.4">
      <c r="A196" s="2"/>
      <c r="B196" s="2"/>
      <c r="C196" s="2"/>
      <c r="D196" s="2"/>
      <c r="E196" s="2"/>
      <c r="F196" s="2"/>
      <c r="G196" s="2"/>
      <c r="H196" s="2"/>
      <c r="I196" s="2"/>
      <c r="K196" s="2"/>
      <c r="L196" s="2"/>
      <c r="M196" s="2"/>
      <c r="N196" s="2"/>
      <c r="O196" s="2"/>
      <c r="P196" s="2"/>
      <c r="Q196" s="5"/>
      <c r="R196" s="1">
        <f>SUM(K196:O196)</f>
        <v>0</v>
      </c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56" x14ac:dyDescent="0.35">
      <c r="A197" s="2"/>
      <c r="B197" s="2"/>
      <c r="C197" s="2"/>
      <c r="D197" s="2"/>
      <c r="E197" s="2"/>
      <c r="F197" s="2"/>
      <c r="G197" s="2"/>
      <c r="H197" s="2"/>
      <c r="I197" s="2"/>
      <c r="K197" s="2"/>
      <c r="L197" s="2"/>
      <c r="M197" s="2"/>
      <c r="N197" s="2"/>
      <c r="O197" s="2"/>
      <c r="P197" s="2"/>
      <c r="Q197" s="3"/>
      <c r="R197" s="3"/>
    </row>
    <row r="198" spans="1:256" x14ac:dyDescent="0.35">
      <c r="A198" s="2"/>
      <c r="B198" s="2"/>
      <c r="C198" s="2"/>
      <c r="D198" s="2"/>
      <c r="E198" s="2"/>
      <c r="F198" s="2"/>
      <c r="G198" s="2"/>
      <c r="H198" s="2"/>
      <c r="I198" s="2"/>
      <c r="K198" s="2"/>
      <c r="L198" s="2"/>
      <c r="M198" s="2"/>
      <c r="N198" s="2"/>
      <c r="O198" s="2"/>
      <c r="P198" s="2"/>
    </row>
    <row r="199" spans="1:256" x14ac:dyDescent="0.35">
      <c r="A199" s="2"/>
      <c r="B199" s="2"/>
      <c r="C199" s="2"/>
      <c r="D199" s="2"/>
      <c r="E199" s="2"/>
      <c r="F199" s="2"/>
      <c r="G199" s="2"/>
      <c r="H199" s="2"/>
      <c r="I199" s="2"/>
      <c r="K199" s="2"/>
      <c r="L199" s="2"/>
      <c r="M199" s="2"/>
      <c r="N199" s="2"/>
      <c r="O199" s="2"/>
      <c r="P199" s="2"/>
    </row>
    <row r="200" spans="1:256" x14ac:dyDescent="0.35">
      <c r="A200" s="2"/>
      <c r="B200" s="2"/>
      <c r="C200" s="2"/>
      <c r="D200" s="2"/>
      <c r="E200" s="2"/>
      <c r="F200" s="2"/>
      <c r="G200" s="2"/>
      <c r="H200" s="2"/>
      <c r="I200" s="2"/>
      <c r="K200" s="2"/>
      <c r="L200" s="2"/>
      <c r="M200" s="2"/>
      <c r="N200" s="2"/>
      <c r="O200" s="2"/>
      <c r="P200" s="2"/>
    </row>
    <row r="201" spans="1:256" x14ac:dyDescent="0.35">
      <c r="A201" s="2"/>
      <c r="B201" s="2"/>
      <c r="C201" s="2"/>
      <c r="D201" s="2"/>
      <c r="E201" s="2"/>
      <c r="F201" s="2"/>
      <c r="G201" s="2"/>
      <c r="H201" s="2"/>
      <c r="I201" s="2"/>
      <c r="K201" s="2"/>
      <c r="L201" s="2"/>
      <c r="M201" s="2"/>
      <c r="N201" s="2"/>
      <c r="O201" s="2"/>
      <c r="P201" s="2"/>
    </row>
    <row r="202" spans="1:256" x14ac:dyDescent="0.35">
      <c r="A202" s="2"/>
      <c r="B202" s="2"/>
      <c r="C202" s="2"/>
      <c r="D202" s="2"/>
      <c r="E202" s="2"/>
      <c r="F202" s="2"/>
      <c r="G202" s="2"/>
      <c r="H202" s="2"/>
      <c r="I202" s="2"/>
      <c r="K202" s="2"/>
      <c r="L202" s="2"/>
      <c r="M202" s="2"/>
      <c r="N202" s="2"/>
      <c r="O202" s="2"/>
      <c r="P202" s="2"/>
    </row>
    <row r="203" spans="1:256" x14ac:dyDescent="0.35">
      <c r="A203" s="2"/>
      <c r="B203" s="2"/>
      <c r="C203" s="2"/>
      <c r="D203" s="2"/>
      <c r="E203" s="2"/>
      <c r="F203" s="2"/>
      <c r="G203" s="2"/>
      <c r="H203" s="2"/>
      <c r="I203" s="2"/>
      <c r="K203" s="2"/>
      <c r="L203" s="2"/>
      <c r="M203" s="2"/>
      <c r="N203" s="2"/>
      <c r="O203" s="2"/>
      <c r="P203" s="2"/>
    </row>
    <row r="204" spans="1:256" x14ac:dyDescent="0.35">
      <c r="A204" s="2"/>
      <c r="B204" s="2"/>
      <c r="C204" s="2"/>
      <c r="D204" s="2"/>
      <c r="E204" s="2"/>
      <c r="F204" s="2"/>
      <c r="G204" s="2"/>
      <c r="H204" s="2"/>
      <c r="I204" s="2"/>
      <c r="K204" s="2"/>
      <c r="L204" s="2"/>
      <c r="M204" s="2"/>
      <c r="N204" s="2"/>
      <c r="O204" s="2"/>
      <c r="P204" s="2"/>
    </row>
    <row r="205" spans="1:256" x14ac:dyDescent="0.35">
      <c r="A205" s="2"/>
      <c r="B205" s="2"/>
      <c r="C205" s="2"/>
      <c r="D205" s="2"/>
      <c r="E205" s="2"/>
      <c r="F205" s="2"/>
      <c r="G205" s="2"/>
      <c r="H205" s="2"/>
      <c r="I205" s="2"/>
      <c r="K205" s="2"/>
      <c r="L205" s="2"/>
      <c r="M205" s="2"/>
      <c r="N205" s="2"/>
      <c r="O205" s="2"/>
      <c r="P205" s="2"/>
    </row>
    <row r="206" spans="1:256" x14ac:dyDescent="0.35">
      <c r="A206" s="2"/>
      <c r="B206" s="2"/>
      <c r="C206" s="2"/>
      <c r="D206" s="2"/>
      <c r="E206" s="2"/>
      <c r="F206" s="2"/>
      <c r="G206" s="2"/>
      <c r="H206" s="2"/>
      <c r="I206" s="2"/>
      <c r="K206" s="2"/>
      <c r="L206" s="2"/>
      <c r="M206" s="2"/>
      <c r="N206" s="2"/>
      <c r="O206" s="2"/>
      <c r="P206" s="2"/>
    </row>
    <row r="207" spans="1:256" x14ac:dyDescent="0.35">
      <c r="A207" s="2"/>
      <c r="B207" s="2"/>
      <c r="C207" s="2"/>
      <c r="D207" s="2"/>
      <c r="E207" s="2"/>
      <c r="F207" s="2"/>
      <c r="G207" s="2"/>
      <c r="H207" s="2"/>
      <c r="I207" s="2"/>
      <c r="K207" s="2"/>
      <c r="L207" s="2"/>
      <c r="M207" s="2"/>
      <c r="N207" s="2"/>
      <c r="O207" s="2"/>
      <c r="P207" s="2"/>
    </row>
    <row r="208" spans="1:256" x14ac:dyDescent="0.35">
      <c r="A208" s="2"/>
      <c r="B208" s="2"/>
      <c r="C208" s="2"/>
      <c r="D208" s="2"/>
      <c r="E208" s="2"/>
      <c r="F208" s="2"/>
      <c r="G208" s="2"/>
      <c r="H208" s="2"/>
      <c r="I208" s="2"/>
      <c r="K208" s="2"/>
      <c r="L208" s="2"/>
      <c r="M208" s="2"/>
      <c r="N208" s="2"/>
      <c r="O208" s="2"/>
      <c r="P208" s="2"/>
    </row>
    <row r="209" spans="1:16" x14ac:dyDescent="0.35">
      <c r="A209" s="2"/>
      <c r="B209" s="2"/>
      <c r="C209" s="2"/>
      <c r="D209" s="2"/>
      <c r="E209" s="2"/>
      <c r="F209" s="2"/>
      <c r="G209" s="2"/>
      <c r="H209" s="2"/>
      <c r="I209" s="2"/>
      <c r="K209" s="2"/>
      <c r="L209" s="2"/>
      <c r="M209" s="2"/>
      <c r="N209" s="2"/>
      <c r="O209" s="2"/>
      <c r="P209" s="2"/>
    </row>
    <row r="210" spans="1:16" x14ac:dyDescent="0.35">
      <c r="A210" s="2"/>
      <c r="B210" s="2"/>
      <c r="C210" s="2"/>
      <c r="D210" s="2"/>
      <c r="E210" s="2"/>
      <c r="F210" s="2"/>
      <c r="G210" s="2"/>
      <c r="H210" s="2"/>
      <c r="I210" s="2"/>
      <c r="K210" s="2"/>
      <c r="L210" s="2"/>
      <c r="M210" s="2"/>
      <c r="N210" s="2"/>
      <c r="O210" s="2"/>
      <c r="P210" s="2"/>
    </row>
    <row r="211" spans="1:16" x14ac:dyDescent="0.35">
      <c r="A211" s="2"/>
      <c r="B211" s="2"/>
      <c r="C211" s="2"/>
      <c r="D211" s="2"/>
      <c r="E211" s="2"/>
      <c r="F211" s="2"/>
      <c r="G211" s="2"/>
      <c r="H211" s="2"/>
      <c r="I211" s="2"/>
      <c r="K211" s="2"/>
      <c r="L211" s="2"/>
      <c r="M211" s="2"/>
      <c r="N211" s="2"/>
      <c r="O211" s="2"/>
      <c r="P211" s="2"/>
    </row>
    <row r="212" spans="1:16" x14ac:dyDescent="0.35">
      <c r="A212" s="2"/>
      <c r="B212" s="2"/>
      <c r="C212" s="2"/>
      <c r="D212" s="2"/>
      <c r="E212" s="2"/>
      <c r="F212" s="2"/>
      <c r="G212" s="2"/>
      <c r="H212" s="2"/>
      <c r="I212" s="2"/>
      <c r="K212" s="2"/>
      <c r="L212" s="2"/>
      <c r="M212" s="2"/>
      <c r="N212" s="2"/>
      <c r="O212" s="2"/>
      <c r="P212" s="2"/>
    </row>
    <row r="213" spans="1:16" x14ac:dyDescent="0.35">
      <c r="A213" s="2"/>
      <c r="B213" s="2"/>
      <c r="C213" s="2"/>
      <c r="D213" s="2"/>
      <c r="E213" s="2"/>
      <c r="F213" s="2"/>
      <c r="G213" s="2"/>
      <c r="H213" s="2"/>
      <c r="I213" s="2"/>
      <c r="K213" s="2"/>
      <c r="L213" s="2"/>
      <c r="M213" s="2"/>
      <c r="N213" s="2"/>
      <c r="O213" s="2"/>
      <c r="P213" s="2"/>
    </row>
    <row r="214" spans="1:16" x14ac:dyDescent="0.35">
      <c r="A214" s="2"/>
      <c r="B214" s="2"/>
      <c r="C214" s="2"/>
      <c r="D214" s="2"/>
      <c r="E214" s="2"/>
      <c r="F214" s="2"/>
      <c r="G214" s="2"/>
      <c r="H214" s="2"/>
      <c r="I214" s="2"/>
      <c r="K214" s="2"/>
      <c r="L214" s="2"/>
      <c r="M214" s="2"/>
      <c r="N214" s="2"/>
      <c r="O214" s="2"/>
      <c r="P214" s="2"/>
    </row>
    <row r="215" spans="1:16" x14ac:dyDescent="0.35">
      <c r="A215" s="2"/>
      <c r="B215" s="2"/>
      <c r="C215" s="2"/>
      <c r="D215" s="2"/>
      <c r="E215" s="2"/>
      <c r="F215" s="2"/>
      <c r="G215" s="2"/>
      <c r="H215" s="2"/>
      <c r="I215" s="2"/>
      <c r="K215" s="2"/>
      <c r="L215" s="2"/>
      <c r="M215" s="2"/>
      <c r="N215" s="2"/>
      <c r="O215" s="2"/>
      <c r="P215" s="2"/>
    </row>
    <row r="216" spans="1:16" x14ac:dyDescent="0.35">
      <c r="A216" s="2"/>
      <c r="B216" s="2"/>
      <c r="C216" s="2"/>
      <c r="D216" s="2"/>
      <c r="E216" s="2"/>
      <c r="F216" s="2"/>
      <c r="G216" s="2"/>
      <c r="H216" s="2"/>
      <c r="I216" s="2"/>
      <c r="K216" s="2"/>
      <c r="L216" s="2"/>
      <c r="M216" s="2"/>
      <c r="N216" s="2"/>
      <c r="O216" s="2"/>
      <c r="P216" s="2"/>
    </row>
    <row r="217" spans="1:16" x14ac:dyDescent="0.35">
      <c r="A217" s="2"/>
      <c r="B217" s="2"/>
      <c r="C217" s="2"/>
      <c r="D217" s="2"/>
      <c r="E217" s="2"/>
      <c r="F217" s="2"/>
      <c r="G217" s="2"/>
      <c r="H217" s="2"/>
      <c r="I217" s="2"/>
      <c r="K217" s="2"/>
      <c r="L217" s="2"/>
      <c r="M217" s="2"/>
      <c r="N217" s="2"/>
      <c r="O217" s="2"/>
      <c r="P217" s="2"/>
    </row>
    <row r="218" spans="1:16" x14ac:dyDescent="0.35">
      <c r="A218" s="2"/>
      <c r="B218" s="2"/>
      <c r="C218" s="2"/>
      <c r="D218" s="2"/>
      <c r="E218" s="2"/>
      <c r="F218" s="2"/>
      <c r="G218" s="2"/>
      <c r="H218" s="2"/>
      <c r="I218" s="2"/>
      <c r="K218" s="2"/>
      <c r="L218" s="2"/>
      <c r="M218" s="2"/>
      <c r="N218" s="2"/>
      <c r="O218" s="2"/>
      <c r="P218" s="2"/>
    </row>
    <row r="219" spans="1:16" x14ac:dyDescent="0.35">
      <c r="A219" s="2"/>
      <c r="B219" s="2"/>
      <c r="C219" s="2"/>
      <c r="D219" s="2"/>
      <c r="E219" s="2"/>
      <c r="F219" s="2"/>
      <c r="G219" s="2"/>
      <c r="H219" s="2"/>
      <c r="I219" s="2"/>
      <c r="K219" s="2"/>
      <c r="L219" s="2"/>
      <c r="M219" s="2"/>
      <c r="N219" s="2"/>
      <c r="O219" s="2"/>
      <c r="P219" s="2"/>
    </row>
    <row r="220" spans="1:16" x14ac:dyDescent="0.35">
      <c r="A220" s="2"/>
      <c r="B220" s="2"/>
      <c r="C220" s="2"/>
      <c r="D220" s="2"/>
      <c r="E220" s="2"/>
      <c r="F220" s="2"/>
      <c r="G220" s="2"/>
      <c r="H220" s="2"/>
      <c r="I220" s="2"/>
      <c r="K220" s="2"/>
      <c r="L220" s="2"/>
      <c r="M220" s="2"/>
      <c r="N220" s="2"/>
      <c r="O220" s="2"/>
      <c r="P220" s="2"/>
    </row>
    <row r="221" spans="1:16" x14ac:dyDescent="0.35">
      <c r="A221" s="2"/>
      <c r="B221" s="2"/>
      <c r="C221" s="2"/>
      <c r="D221" s="2"/>
      <c r="E221" s="2"/>
      <c r="F221" s="2"/>
      <c r="G221" s="2"/>
      <c r="H221" s="2"/>
      <c r="I221" s="2"/>
      <c r="K221" s="2"/>
      <c r="L221" s="2"/>
      <c r="M221" s="2"/>
      <c r="N221" s="2"/>
      <c r="O221" s="2"/>
      <c r="P221" s="2"/>
    </row>
    <row r="222" spans="1:16" x14ac:dyDescent="0.35">
      <c r="A222" s="2"/>
      <c r="B222" s="2"/>
      <c r="C222" s="2"/>
      <c r="D222" s="2"/>
      <c r="E222" s="2"/>
      <c r="F222" s="2"/>
      <c r="G222" s="2"/>
      <c r="H222" s="2"/>
      <c r="I222" s="2"/>
      <c r="K222" s="2"/>
      <c r="L222" s="2"/>
      <c r="M222" s="2"/>
      <c r="N222" s="2"/>
      <c r="O222" s="2"/>
      <c r="P222" s="2"/>
    </row>
    <row r="223" spans="1:16" x14ac:dyDescent="0.35">
      <c r="A223" s="2"/>
      <c r="B223" s="2"/>
      <c r="C223" s="2"/>
      <c r="D223" s="2"/>
      <c r="E223" s="2"/>
      <c r="F223" s="2"/>
      <c r="G223" s="2"/>
      <c r="H223" s="2"/>
      <c r="I223" s="2"/>
      <c r="K223" s="2"/>
      <c r="L223" s="2"/>
      <c r="M223" s="2"/>
      <c r="N223" s="2"/>
      <c r="O223" s="2"/>
      <c r="P223" s="2"/>
    </row>
    <row r="224" spans="1:16" x14ac:dyDescent="0.35">
      <c r="A224" s="2"/>
      <c r="B224" s="2"/>
      <c r="C224" s="2"/>
      <c r="D224" s="2"/>
      <c r="E224" s="2"/>
      <c r="F224" s="2"/>
      <c r="G224" s="2"/>
      <c r="H224" s="2"/>
      <c r="I224" s="2"/>
      <c r="K224" s="2"/>
      <c r="L224" s="2"/>
      <c r="M224" s="2"/>
      <c r="N224" s="2"/>
      <c r="O224" s="2"/>
      <c r="P224" s="2"/>
    </row>
    <row r="225" spans="1:16" x14ac:dyDescent="0.35">
      <c r="A225" s="2"/>
      <c r="B225" s="2"/>
      <c r="C225" s="2"/>
      <c r="D225" s="2"/>
      <c r="E225" s="2"/>
      <c r="F225" s="2"/>
      <c r="G225" s="2"/>
      <c r="H225" s="2"/>
      <c r="I225" s="2"/>
      <c r="K225" s="2"/>
      <c r="L225" s="2"/>
      <c r="M225" s="2"/>
      <c r="N225" s="2"/>
      <c r="O225" s="2"/>
      <c r="P225" s="2"/>
    </row>
    <row r="226" spans="1:16" x14ac:dyDescent="0.35">
      <c r="A226" s="2"/>
      <c r="B226" s="2"/>
      <c r="C226" s="2"/>
      <c r="D226" s="2"/>
      <c r="E226" s="2"/>
      <c r="F226" s="2"/>
      <c r="G226" s="2"/>
      <c r="H226" s="2"/>
      <c r="I226" s="2"/>
      <c r="K226" s="2"/>
      <c r="L226" s="2"/>
      <c r="M226" s="2"/>
      <c r="N226" s="2"/>
      <c r="O226" s="2"/>
      <c r="P226" s="2"/>
    </row>
    <row r="227" spans="1:16" x14ac:dyDescent="0.35">
      <c r="A227" s="2"/>
      <c r="B227" s="2"/>
      <c r="C227" s="2"/>
      <c r="D227" s="2"/>
      <c r="E227" s="2"/>
      <c r="F227" s="2"/>
      <c r="G227" s="2"/>
      <c r="H227" s="2"/>
      <c r="I227" s="2"/>
      <c r="K227" s="2"/>
      <c r="L227" s="2"/>
      <c r="M227" s="2"/>
      <c r="N227" s="2"/>
      <c r="O227" s="2"/>
      <c r="P227" s="2"/>
    </row>
    <row r="228" spans="1:16" x14ac:dyDescent="0.35">
      <c r="A228" s="2"/>
      <c r="B228" s="2"/>
      <c r="C228" s="2"/>
      <c r="D228" s="2"/>
      <c r="E228" s="2"/>
      <c r="F228" s="2"/>
      <c r="G228" s="2"/>
      <c r="H228" s="2"/>
      <c r="I228" s="2"/>
      <c r="K228" s="2"/>
      <c r="L228" s="2"/>
      <c r="M228" s="2"/>
      <c r="N228" s="2"/>
      <c r="O228" s="2"/>
      <c r="P228" s="2"/>
    </row>
    <row r="229" spans="1:16" x14ac:dyDescent="0.35">
      <c r="A229" s="2"/>
      <c r="B229" s="2"/>
      <c r="C229" s="2"/>
      <c r="D229" s="2"/>
      <c r="E229" s="2"/>
      <c r="F229" s="2"/>
      <c r="G229" s="2"/>
      <c r="H229" s="2"/>
      <c r="I229" s="2"/>
      <c r="K229" s="2"/>
      <c r="L229" s="2"/>
      <c r="M229" s="2"/>
      <c r="N229" s="2"/>
      <c r="O229" s="2"/>
      <c r="P229" s="2"/>
    </row>
    <row r="230" spans="1:16" x14ac:dyDescent="0.35">
      <c r="A230" s="2"/>
      <c r="B230" s="2"/>
      <c r="C230" s="2"/>
      <c r="D230" s="2"/>
      <c r="E230" s="2"/>
      <c r="F230" s="2"/>
      <c r="G230" s="2"/>
      <c r="H230" s="2"/>
      <c r="I230" s="2"/>
      <c r="K230" s="2"/>
      <c r="L230" s="2"/>
      <c r="M230" s="2"/>
      <c r="N230" s="2"/>
      <c r="O230" s="2"/>
      <c r="P230" s="2"/>
    </row>
    <row r="231" spans="1:16" x14ac:dyDescent="0.35">
      <c r="A231" s="2"/>
      <c r="B231" s="2"/>
      <c r="C231" s="2"/>
      <c r="D231" s="2"/>
      <c r="E231" s="2"/>
      <c r="F231" s="2"/>
      <c r="G231" s="2"/>
      <c r="H231" s="2"/>
      <c r="I231" s="2"/>
      <c r="K231" s="2"/>
      <c r="L231" s="2"/>
      <c r="M231" s="2"/>
      <c r="N231" s="2"/>
      <c r="O231" s="2"/>
      <c r="P231" s="2"/>
    </row>
    <row r="232" spans="1:16" x14ac:dyDescent="0.35">
      <c r="A232" s="2"/>
      <c r="B232" s="2"/>
      <c r="C232" s="2"/>
      <c r="D232" s="2"/>
      <c r="E232" s="2"/>
      <c r="F232" s="2"/>
      <c r="G232" s="2"/>
      <c r="H232" s="2"/>
      <c r="I232" s="2"/>
      <c r="K232" s="2"/>
      <c r="L232" s="2"/>
      <c r="M232" s="2"/>
      <c r="N232" s="2"/>
      <c r="O232" s="2"/>
      <c r="P232" s="2"/>
    </row>
    <row r="233" spans="1:16" x14ac:dyDescent="0.35">
      <c r="A233" s="2"/>
      <c r="B233" s="2"/>
      <c r="C233" s="2"/>
      <c r="D233" s="2"/>
      <c r="E233" s="2"/>
      <c r="F233" s="2"/>
      <c r="G233" s="2"/>
      <c r="H233" s="2"/>
      <c r="I233" s="2"/>
      <c r="K233" s="2"/>
      <c r="L233" s="2"/>
      <c r="M233" s="2"/>
      <c r="N233" s="2"/>
      <c r="O233" s="2"/>
      <c r="P233" s="2"/>
    </row>
    <row r="234" spans="1:16" x14ac:dyDescent="0.35">
      <c r="A234" s="2"/>
      <c r="B234" s="2"/>
      <c r="C234" s="2"/>
      <c r="D234" s="2"/>
      <c r="E234" s="2"/>
      <c r="F234" s="2"/>
      <c r="G234" s="2"/>
      <c r="H234" s="2"/>
      <c r="I234" s="2"/>
      <c r="K234" s="2"/>
      <c r="L234" s="2"/>
      <c r="M234" s="2"/>
      <c r="N234" s="2"/>
      <c r="O234" s="2"/>
      <c r="P234" s="2"/>
    </row>
    <row r="235" spans="1:16" x14ac:dyDescent="0.35">
      <c r="A235" s="2"/>
      <c r="B235" s="2"/>
      <c r="C235" s="2"/>
      <c r="D235" s="2"/>
      <c r="E235" s="2"/>
      <c r="F235" s="2"/>
      <c r="G235" s="2"/>
      <c r="H235" s="2"/>
      <c r="I235" s="2"/>
      <c r="K235" s="2"/>
      <c r="L235" s="2"/>
      <c r="M235" s="2"/>
      <c r="N235" s="2"/>
      <c r="O235" s="2"/>
      <c r="P235" s="2"/>
    </row>
    <row r="236" spans="1:16" x14ac:dyDescent="0.35">
      <c r="A236" s="2"/>
      <c r="B236" s="2"/>
      <c r="C236" s="2"/>
      <c r="D236" s="2"/>
      <c r="E236" s="2"/>
      <c r="F236" s="2"/>
      <c r="G236" s="2"/>
      <c r="H236" s="2"/>
      <c r="I236" s="2"/>
      <c r="K236" s="2"/>
      <c r="L236" s="2"/>
      <c r="M236" s="2"/>
      <c r="N236" s="2"/>
      <c r="O236" s="2"/>
      <c r="P236" s="2"/>
    </row>
    <row r="237" spans="1:16" x14ac:dyDescent="0.35">
      <c r="A237" s="2"/>
      <c r="B237" s="2"/>
      <c r="C237" s="2"/>
      <c r="D237" s="2"/>
      <c r="E237" s="2"/>
      <c r="F237" s="2"/>
      <c r="G237" s="2"/>
      <c r="H237" s="2"/>
      <c r="I237" s="2"/>
      <c r="K237" s="2"/>
      <c r="L237" s="2"/>
      <c r="M237" s="2"/>
      <c r="N237" s="2"/>
      <c r="O237" s="2"/>
      <c r="P237" s="2"/>
    </row>
    <row r="238" spans="1:16" x14ac:dyDescent="0.35">
      <c r="A238" s="2"/>
      <c r="B238" s="2"/>
      <c r="C238" s="2"/>
      <c r="D238" s="2"/>
      <c r="E238" s="2"/>
      <c r="F238" s="2"/>
      <c r="G238" s="2"/>
      <c r="H238" s="2"/>
      <c r="I238" s="2"/>
      <c r="K238" s="2"/>
      <c r="L238" s="2"/>
      <c r="M238" s="2"/>
      <c r="N238" s="2"/>
      <c r="O238" s="2"/>
      <c r="P238" s="2"/>
    </row>
    <row r="239" spans="1:16" x14ac:dyDescent="0.35">
      <c r="A239" s="2"/>
      <c r="B239" s="2"/>
      <c r="C239" s="2"/>
      <c r="D239" s="2"/>
      <c r="E239" s="2"/>
      <c r="F239" s="2"/>
      <c r="G239" s="2"/>
      <c r="H239" s="2"/>
      <c r="I239" s="2"/>
      <c r="K239" s="2"/>
      <c r="L239" s="2"/>
      <c r="M239" s="2"/>
      <c r="N239" s="2"/>
      <c r="O239" s="2"/>
      <c r="P239" s="2"/>
    </row>
    <row r="240" spans="1:16" x14ac:dyDescent="0.35">
      <c r="A240" s="2"/>
      <c r="B240" s="2"/>
      <c r="C240" s="2"/>
      <c r="D240" s="2"/>
      <c r="E240" s="2"/>
      <c r="F240" s="2"/>
      <c r="G240" s="2"/>
      <c r="H240" s="2"/>
      <c r="I240" s="2"/>
      <c r="K240" s="2"/>
      <c r="L240" s="2"/>
      <c r="M240" s="2"/>
      <c r="N240" s="2"/>
      <c r="O240" s="2"/>
      <c r="P240" s="2"/>
    </row>
    <row r="241" spans="1:16" x14ac:dyDescent="0.35">
      <c r="A241" s="2"/>
      <c r="B241" s="2"/>
      <c r="C241" s="2"/>
      <c r="D241" s="2"/>
      <c r="E241" s="2"/>
      <c r="F241" s="2"/>
      <c r="G241" s="2"/>
      <c r="H241" s="2"/>
      <c r="I241" s="2"/>
      <c r="K241" s="2"/>
      <c r="L241" s="2"/>
      <c r="M241" s="2"/>
      <c r="N241" s="2"/>
      <c r="O241" s="2"/>
      <c r="P241" s="2"/>
    </row>
    <row r="242" spans="1:16" x14ac:dyDescent="0.35">
      <c r="A242" s="2"/>
      <c r="B242" s="2"/>
      <c r="C242" s="2"/>
      <c r="D242" s="2"/>
      <c r="E242" s="2"/>
      <c r="F242" s="2"/>
      <c r="G242" s="2"/>
      <c r="H242" s="2"/>
      <c r="I242" s="2"/>
      <c r="K242" s="2"/>
      <c r="L242" s="2"/>
      <c r="M242" s="2"/>
      <c r="N242" s="2"/>
      <c r="O242" s="2"/>
      <c r="P242" s="2"/>
    </row>
    <row r="243" spans="1:16" x14ac:dyDescent="0.35">
      <c r="A243" s="2"/>
      <c r="B243" s="2"/>
      <c r="C243" s="2"/>
      <c r="D243" s="2"/>
      <c r="E243" s="2"/>
      <c r="F243" s="2"/>
      <c r="G243" s="2"/>
      <c r="H243" s="2"/>
      <c r="I243" s="2"/>
      <c r="K243" s="2"/>
      <c r="L243" s="2"/>
      <c r="M243" s="2"/>
      <c r="N243" s="2"/>
      <c r="O243" s="2"/>
      <c r="P243" s="2"/>
    </row>
    <row r="244" spans="1:16" x14ac:dyDescent="0.35">
      <c r="A244" s="2"/>
      <c r="B244" s="2"/>
      <c r="C244" s="2"/>
      <c r="D244" s="2"/>
      <c r="E244" s="2"/>
      <c r="F244" s="2"/>
      <c r="G244" s="2"/>
      <c r="H244" s="2"/>
      <c r="I244" s="2"/>
      <c r="K244" s="2"/>
      <c r="L244" s="2"/>
      <c r="M244" s="2"/>
      <c r="N244" s="2"/>
      <c r="O244" s="2"/>
      <c r="P244" s="2"/>
    </row>
    <row r="245" spans="1:16" x14ac:dyDescent="0.35">
      <c r="A245" s="2"/>
      <c r="B245" s="2"/>
      <c r="C245" s="2"/>
      <c r="D245" s="2"/>
      <c r="E245" s="2"/>
      <c r="F245" s="2"/>
      <c r="G245" s="2"/>
      <c r="H245" s="2"/>
      <c r="I245" s="2"/>
      <c r="K245" s="2"/>
      <c r="L245" s="2"/>
      <c r="M245" s="2"/>
      <c r="N245" s="2"/>
      <c r="O245" s="2"/>
      <c r="P245" s="2"/>
    </row>
    <row r="246" spans="1:16" x14ac:dyDescent="0.35">
      <c r="A246" s="2"/>
      <c r="B246" s="2"/>
      <c r="C246" s="2"/>
      <c r="D246" s="2"/>
      <c r="E246" s="2"/>
      <c r="F246" s="2"/>
      <c r="G246" s="2"/>
      <c r="H246" s="2"/>
      <c r="I246" s="2"/>
      <c r="K246" s="2"/>
      <c r="L246" s="2"/>
      <c r="M246" s="2"/>
      <c r="N246" s="2"/>
      <c r="O246" s="2"/>
      <c r="P246" s="2"/>
    </row>
    <row r="247" spans="1:16" x14ac:dyDescent="0.35">
      <c r="A247" s="2"/>
      <c r="B247" s="2"/>
      <c r="C247" s="2"/>
      <c r="D247" s="2"/>
      <c r="E247" s="2"/>
      <c r="F247" s="2"/>
      <c r="G247" s="2"/>
      <c r="H247" s="2"/>
      <c r="I247" s="2"/>
      <c r="K247" s="2"/>
      <c r="L247" s="2"/>
      <c r="M247" s="2"/>
      <c r="N247" s="2"/>
      <c r="O247" s="2"/>
      <c r="P247" s="2"/>
    </row>
    <row r="248" spans="1:16" x14ac:dyDescent="0.35">
      <c r="A248" s="2"/>
      <c r="B248" s="2"/>
      <c r="C248" s="2"/>
      <c r="D248" s="2"/>
      <c r="E248" s="2"/>
      <c r="F248" s="2"/>
      <c r="G248" s="2"/>
      <c r="H248" s="2"/>
      <c r="I248" s="2"/>
      <c r="K248" s="2"/>
      <c r="L248" s="2"/>
      <c r="M248" s="2"/>
      <c r="N248" s="2"/>
      <c r="O248" s="2"/>
      <c r="P248" s="2"/>
    </row>
    <row r="249" spans="1:16" x14ac:dyDescent="0.35">
      <c r="A249" s="2"/>
      <c r="B249" s="2"/>
      <c r="C249" s="2"/>
      <c r="D249" s="2"/>
      <c r="E249" s="2"/>
      <c r="F249" s="2"/>
      <c r="G249" s="2"/>
      <c r="H249" s="2"/>
      <c r="I249" s="2"/>
      <c r="K249" s="2"/>
      <c r="L249" s="2"/>
      <c r="M249" s="2"/>
      <c r="N249" s="2"/>
      <c r="O249" s="2"/>
      <c r="P249" s="2"/>
    </row>
    <row r="250" spans="1:16" x14ac:dyDescent="0.35">
      <c r="A250" s="2"/>
      <c r="B250" s="2"/>
      <c r="C250" s="2"/>
      <c r="D250" s="2"/>
      <c r="E250" s="2"/>
      <c r="F250" s="2"/>
      <c r="G250" s="2"/>
      <c r="H250" s="2"/>
      <c r="I250" s="2"/>
      <c r="K250" s="2"/>
      <c r="L250" s="2"/>
      <c r="M250" s="2"/>
      <c r="N250" s="2"/>
      <c r="O250" s="2"/>
      <c r="P250" s="2"/>
    </row>
    <row r="251" spans="1:16" x14ac:dyDescent="0.35">
      <c r="A251" s="2"/>
      <c r="B251" s="2"/>
      <c r="C251" s="2"/>
      <c r="D251" s="2"/>
      <c r="E251" s="2"/>
      <c r="F251" s="2"/>
      <c r="G251" s="2"/>
      <c r="H251" s="2"/>
      <c r="I251" s="2"/>
      <c r="K251" s="2"/>
      <c r="L251" s="2"/>
      <c r="M251" s="2"/>
      <c r="N251" s="2"/>
      <c r="O251" s="2"/>
      <c r="P251" s="2"/>
    </row>
    <row r="252" spans="1:16" x14ac:dyDescent="0.35">
      <c r="A252" s="2"/>
      <c r="B252" s="2"/>
      <c r="C252" s="2"/>
      <c r="D252" s="2"/>
      <c r="E252" s="2"/>
      <c r="F252" s="2"/>
      <c r="G252" s="2"/>
      <c r="H252" s="2"/>
      <c r="I252" s="2"/>
      <c r="K252" s="2"/>
      <c r="L252" s="2"/>
      <c r="M252" s="2"/>
      <c r="N252" s="2"/>
      <c r="O252" s="2"/>
      <c r="P252" s="2"/>
    </row>
    <row r="253" spans="1:16" x14ac:dyDescent="0.35">
      <c r="A253" s="2"/>
      <c r="B253" s="2"/>
      <c r="C253" s="2"/>
      <c r="D253" s="2"/>
      <c r="E253" s="2"/>
      <c r="F253" s="2"/>
      <c r="G253" s="2"/>
      <c r="H253" s="2"/>
      <c r="I253" s="2"/>
      <c r="K253" s="2"/>
      <c r="L253" s="2"/>
      <c r="M253" s="2"/>
      <c r="N253" s="2"/>
      <c r="O253" s="2"/>
      <c r="P253" s="2"/>
    </row>
    <row r="254" spans="1:16" x14ac:dyDescent="0.35">
      <c r="A254" s="2"/>
      <c r="B254" s="2"/>
      <c r="C254" s="2"/>
      <c r="D254" s="2"/>
      <c r="E254" s="2"/>
      <c r="F254" s="2"/>
      <c r="G254" s="2"/>
      <c r="H254" s="2"/>
      <c r="I254" s="2"/>
      <c r="K254" s="2"/>
      <c r="L254" s="2"/>
      <c r="M254" s="2"/>
      <c r="N254" s="2"/>
      <c r="O254" s="2"/>
      <c r="P254" s="2"/>
    </row>
    <row r="255" spans="1:16" x14ac:dyDescent="0.35">
      <c r="A255" s="2"/>
      <c r="B255" s="2"/>
      <c r="C255" s="2"/>
      <c r="D255" s="2"/>
      <c r="E255" s="2"/>
      <c r="F255" s="2"/>
      <c r="G255" s="2"/>
      <c r="H255" s="2"/>
      <c r="I255" s="2"/>
      <c r="K255" s="2"/>
      <c r="L255" s="2"/>
      <c r="M255" s="2"/>
      <c r="N255" s="2"/>
      <c r="O255" s="2"/>
      <c r="P255" s="2"/>
    </row>
    <row r="256" spans="1:16" x14ac:dyDescent="0.35">
      <c r="A256" s="2"/>
      <c r="B256" s="2"/>
      <c r="C256" s="2"/>
      <c r="D256" s="2"/>
      <c r="E256" s="2"/>
      <c r="F256" s="2"/>
      <c r="G256" s="2"/>
      <c r="H256" s="2"/>
      <c r="I256" s="2"/>
      <c r="K256" s="2"/>
      <c r="L256" s="2"/>
      <c r="M256" s="2"/>
      <c r="N256" s="2"/>
      <c r="O256" s="2"/>
      <c r="P256" s="2"/>
    </row>
    <row r="257" spans="1:16" x14ac:dyDescent="0.35">
      <c r="A257" s="2"/>
      <c r="B257" s="2"/>
      <c r="C257" s="2"/>
      <c r="D257" s="2"/>
      <c r="E257" s="2"/>
      <c r="F257" s="2"/>
      <c r="G257" s="2"/>
      <c r="H257" s="2"/>
      <c r="I257" s="2"/>
      <c r="K257" s="2"/>
      <c r="L257" s="2"/>
      <c r="M257" s="2"/>
      <c r="N257" s="2"/>
      <c r="O257" s="2"/>
      <c r="P257" s="2"/>
    </row>
    <row r="258" spans="1:16" x14ac:dyDescent="0.35">
      <c r="A258" s="2"/>
      <c r="B258" s="2"/>
      <c r="C258" s="2"/>
      <c r="D258" s="2"/>
      <c r="E258" s="2"/>
      <c r="F258" s="2"/>
      <c r="G258" s="2"/>
      <c r="H258" s="2"/>
      <c r="I258" s="2"/>
      <c r="K258" s="2"/>
      <c r="L258" s="2"/>
      <c r="M258" s="2"/>
      <c r="N258" s="2"/>
      <c r="O258" s="2"/>
      <c r="P258" s="2"/>
    </row>
    <row r="259" spans="1:16" x14ac:dyDescent="0.35">
      <c r="A259" s="2"/>
      <c r="B259" s="2"/>
      <c r="C259" s="2"/>
      <c r="D259" s="2"/>
      <c r="E259" s="2"/>
      <c r="F259" s="2"/>
      <c r="G259" s="2"/>
      <c r="H259" s="2"/>
      <c r="I259" s="2"/>
      <c r="K259" s="2"/>
      <c r="L259" s="2"/>
      <c r="M259" s="2"/>
      <c r="N259" s="2"/>
      <c r="O259" s="2"/>
      <c r="P259" s="2"/>
    </row>
    <row r="260" spans="1:16" x14ac:dyDescent="0.35">
      <c r="A260" s="2"/>
      <c r="B260" s="2"/>
      <c r="C260" s="2"/>
      <c r="D260" s="2"/>
      <c r="E260" s="2"/>
      <c r="F260" s="2"/>
      <c r="G260" s="2"/>
      <c r="H260" s="2"/>
      <c r="I260" s="2"/>
      <c r="K260" s="2"/>
      <c r="L260" s="2"/>
      <c r="M260" s="2"/>
      <c r="N260" s="2"/>
      <c r="O260" s="2"/>
      <c r="P260" s="2"/>
    </row>
    <row r="261" spans="1:16" x14ac:dyDescent="0.35">
      <c r="A261" s="2"/>
      <c r="B261" s="2"/>
      <c r="C261" s="2"/>
      <c r="D261" s="2"/>
      <c r="E261" s="2"/>
      <c r="F261" s="2"/>
      <c r="G261" s="2"/>
      <c r="H261" s="2"/>
      <c r="I261" s="2"/>
      <c r="K261" s="2"/>
      <c r="L261" s="2"/>
      <c r="M261" s="2"/>
      <c r="N261" s="2"/>
      <c r="O261" s="2"/>
      <c r="P261" s="2"/>
    </row>
    <row r="262" spans="1:16" x14ac:dyDescent="0.35">
      <c r="A262" s="2"/>
      <c r="B262" s="2"/>
      <c r="C262" s="2"/>
      <c r="D262" s="2"/>
      <c r="E262" s="2"/>
      <c r="F262" s="2"/>
      <c r="G262" s="2"/>
      <c r="H262" s="2"/>
      <c r="I262" s="2"/>
      <c r="K262" s="2"/>
      <c r="L262" s="2"/>
      <c r="M262" s="2"/>
      <c r="N262" s="2"/>
      <c r="O262" s="2"/>
      <c r="P262" s="2"/>
    </row>
    <row r="263" spans="1:16" x14ac:dyDescent="0.35">
      <c r="A263" s="2"/>
      <c r="B263" s="2"/>
      <c r="C263" s="2"/>
      <c r="D263" s="2"/>
      <c r="E263" s="2"/>
      <c r="F263" s="2"/>
      <c r="G263" s="2"/>
      <c r="H263" s="2"/>
      <c r="I263" s="2"/>
      <c r="K263" s="2"/>
      <c r="L263" s="2"/>
      <c r="M263" s="2"/>
      <c r="N263" s="2"/>
      <c r="O263" s="2"/>
      <c r="P263" s="2"/>
    </row>
    <row r="264" spans="1:16" x14ac:dyDescent="0.35">
      <c r="A264" s="2"/>
      <c r="B264" s="2"/>
      <c r="C264" s="2"/>
      <c r="D264" s="2"/>
      <c r="E264" s="2"/>
      <c r="F264" s="2"/>
      <c r="G264" s="2"/>
      <c r="H264" s="2"/>
      <c r="I264" s="2"/>
      <c r="K264" s="2"/>
      <c r="L264" s="2"/>
      <c r="M264" s="2"/>
      <c r="N264" s="2"/>
      <c r="O264" s="2"/>
      <c r="P264" s="2"/>
    </row>
    <row r="265" spans="1:16" x14ac:dyDescent="0.35">
      <c r="A265" s="2"/>
      <c r="B265" s="2"/>
      <c r="C265" s="2"/>
      <c r="D265" s="2"/>
      <c r="E265" s="2"/>
      <c r="F265" s="2"/>
      <c r="G265" s="2"/>
      <c r="H265" s="2"/>
      <c r="I265" s="2"/>
      <c r="K265" s="2"/>
      <c r="L265" s="2"/>
      <c r="M265" s="2"/>
      <c r="N265" s="2"/>
      <c r="O265" s="2"/>
      <c r="P265" s="2"/>
    </row>
    <row r="266" spans="1:16" x14ac:dyDescent="0.35">
      <c r="A266" s="2"/>
      <c r="B266" s="2"/>
      <c r="C266" s="2"/>
      <c r="D266" s="2"/>
      <c r="E266" s="2"/>
      <c r="F266" s="2"/>
      <c r="G266" s="2"/>
      <c r="H266" s="2"/>
      <c r="I266" s="2"/>
      <c r="K266" s="2"/>
      <c r="L266" s="2"/>
      <c r="M266" s="2"/>
      <c r="N266" s="2"/>
      <c r="O266" s="2"/>
      <c r="P266" s="2"/>
    </row>
    <row r="267" spans="1:16" x14ac:dyDescent="0.35">
      <c r="A267" s="2"/>
      <c r="B267" s="2"/>
      <c r="C267" s="2"/>
      <c r="D267" s="2"/>
      <c r="E267" s="2"/>
      <c r="F267" s="2"/>
      <c r="G267" s="2"/>
      <c r="H267" s="2"/>
      <c r="I267" s="2"/>
      <c r="K267" s="2"/>
      <c r="L267" s="2"/>
      <c r="M267" s="2"/>
      <c r="N267" s="2"/>
      <c r="O267" s="2"/>
      <c r="P267" s="2"/>
    </row>
    <row r="268" spans="1:16" x14ac:dyDescent="0.35">
      <c r="A268" s="2"/>
      <c r="B268" s="2"/>
      <c r="C268" s="2"/>
      <c r="D268" s="2"/>
      <c r="E268" s="2"/>
      <c r="F268" s="2"/>
      <c r="G268" s="2"/>
      <c r="H268" s="2"/>
      <c r="I268" s="2"/>
      <c r="K268" s="2"/>
      <c r="L268" s="2"/>
      <c r="M268" s="2"/>
      <c r="N268" s="2"/>
      <c r="O268" s="2"/>
      <c r="P268" s="2"/>
    </row>
    <row r="269" spans="1:16" x14ac:dyDescent="0.35">
      <c r="A269" s="2"/>
      <c r="B269" s="2"/>
      <c r="C269" s="2"/>
      <c r="D269" s="2"/>
      <c r="E269" s="2"/>
      <c r="F269" s="2"/>
      <c r="G269" s="2"/>
      <c r="H269" s="2"/>
      <c r="I269" s="2"/>
      <c r="K269" s="2"/>
      <c r="L269" s="2"/>
      <c r="M269" s="2"/>
      <c r="N269" s="2"/>
      <c r="O269" s="2"/>
      <c r="P269" s="2"/>
    </row>
    <row r="270" spans="1:16" x14ac:dyDescent="0.35">
      <c r="A270" s="2"/>
      <c r="B270" s="2"/>
      <c r="C270" s="2"/>
      <c r="D270" s="2"/>
      <c r="E270" s="2"/>
      <c r="F270" s="2"/>
      <c r="G270" s="2"/>
      <c r="H270" s="2"/>
      <c r="I270" s="2"/>
      <c r="K270" s="2"/>
      <c r="L270" s="2"/>
      <c r="M270" s="2"/>
      <c r="N270" s="2"/>
      <c r="O270" s="2"/>
      <c r="P270" s="2"/>
    </row>
    <row r="271" spans="1:16" x14ac:dyDescent="0.35">
      <c r="A271" s="2"/>
      <c r="B271" s="2"/>
      <c r="C271" s="2"/>
      <c r="D271" s="2"/>
      <c r="E271" s="2"/>
      <c r="F271" s="2"/>
      <c r="G271" s="2"/>
      <c r="H271" s="2"/>
      <c r="I271" s="2"/>
      <c r="K271" s="2"/>
      <c r="L271" s="2"/>
      <c r="M271" s="2"/>
      <c r="N271" s="2"/>
      <c r="O271" s="2"/>
      <c r="P271" s="2"/>
    </row>
    <row r="272" spans="1:16" x14ac:dyDescent="0.35">
      <c r="A272" s="2"/>
      <c r="B272" s="2"/>
      <c r="C272" s="2"/>
      <c r="D272" s="2"/>
      <c r="E272" s="2"/>
      <c r="F272" s="2"/>
      <c r="G272" s="2"/>
      <c r="H272" s="2"/>
      <c r="I272" s="2"/>
      <c r="K272" s="2"/>
      <c r="L272" s="2"/>
      <c r="M272" s="2"/>
      <c r="N272" s="2"/>
      <c r="O272" s="2"/>
      <c r="P272" s="2"/>
    </row>
  </sheetData>
  <printOptions horizontalCentered="1"/>
  <pageMargins left="0" right="0.15" top="0.63" bottom="0.36" header="0.22" footer="0.17"/>
  <pageSetup paperSize="5" scale="74" orientation="landscape" horizontalDpi="4294967292" verticalDpi="300" r:id="rId1"/>
  <headerFooter alignWithMargins="0">
    <oddHeader xml:space="preserve">&amp;L&amp;"Times New Roman,Bold"&amp;12REVISED AS OF &amp;D&amp;C&amp;"Times New Roman,Bold"UNIVERSITY of SOUTHERN CALIFORNIA
Statement of Activities
USC, Norris, REDC,  USC Care, AMI-USC, ICT Productions and APF
Restated for Publication &amp;R
</oddHeader>
    <oddFooter>&amp;Cpage &amp;P+1&amp;R&amp;Z&amp;F\&amp;A : &amp;D</oddFooter>
  </headerFooter>
  <colBreaks count="1" manualBreakCount="1">
    <brk id="6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74"/>
  <sheetViews>
    <sheetView showZeros="0" topLeftCell="A8" zoomScaleNormal="100" workbookViewId="0">
      <pane xSplit="1" ySplit="6" topLeftCell="B14" activePane="bottomRight" state="frozen"/>
      <selection activeCell="A8" sqref="A8"/>
      <selection pane="topRight" activeCell="B8" sqref="B8"/>
      <selection pane="bottomLeft" activeCell="A14" sqref="A14"/>
      <selection pane="bottomRight" activeCell="C28" sqref="C28"/>
    </sheetView>
  </sheetViews>
  <sheetFormatPr defaultColWidth="9.1171875" defaultRowHeight="10.35" x14ac:dyDescent="0.35"/>
  <cols>
    <col min="1" max="1" width="35.87890625" style="1" customWidth="1"/>
    <col min="2" max="9" width="15.29296875" style="1" customWidth="1"/>
    <col min="10" max="10" width="2.41015625" style="2" customWidth="1"/>
    <col min="11" max="12" width="14.41015625" style="1" customWidth="1"/>
    <col min="13" max="13" width="16.1171875" style="1" customWidth="1"/>
    <col min="14" max="14" width="12.41015625" style="1" bestFit="1" customWidth="1"/>
    <col min="15" max="15" width="13.703125" style="1" bestFit="1" customWidth="1"/>
    <col min="16" max="16" width="2" style="1" customWidth="1"/>
    <col min="17" max="17" width="12.703125" style="1" bestFit="1" customWidth="1"/>
    <col min="18" max="18" width="1.87890625" style="1" customWidth="1"/>
    <col min="19" max="19" width="9.87890625" style="1" customWidth="1"/>
    <col min="20" max="20" width="12.703125" style="1" customWidth="1"/>
    <col min="21" max="21" width="13.1171875" style="1" customWidth="1"/>
    <col min="22" max="22" width="12.703125" style="1" customWidth="1"/>
    <col min="23" max="27" width="11.87890625" style="1" customWidth="1"/>
    <col min="28" max="32" width="15.29296875" style="1" customWidth="1"/>
    <col min="33" max="16384" width="9.1171875" style="1"/>
  </cols>
  <sheetData>
    <row r="1" spans="1:26" x14ac:dyDescent="0.35">
      <c r="A1" s="2"/>
    </row>
    <row r="3" spans="1:26" x14ac:dyDescent="0.35">
      <c r="M3" s="2"/>
    </row>
    <row r="4" spans="1:26" x14ac:dyDescent="0.35">
      <c r="M4" s="2"/>
    </row>
    <row r="5" spans="1:26" x14ac:dyDescent="0.35">
      <c r="B5" s="2"/>
      <c r="I5" s="82"/>
      <c r="J5" s="81"/>
      <c r="K5" s="81"/>
      <c r="L5" s="81"/>
      <c r="M5" s="68" t="s">
        <v>87</v>
      </c>
    </row>
    <row r="6" spans="1:26" ht="9.75" customHeight="1" thickBot="1" x14ac:dyDescent="0.4">
      <c r="A6" s="2"/>
      <c r="B6" s="2"/>
      <c r="C6" s="70"/>
      <c r="D6" s="70"/>
      <c r="E6" s="71"/>
      <c r="F6" s="70"/>
      <c r="G6" s="70"/>
      <c r="H6" s="71"/>
      <c r="I6" s="80"/>
      <c r="J6" s="80"/>
      <c r="K6" s="80"/>
      <c r="L6" s="80"/>
      <c r="M6" s="79" t="s">
        <v>97</v>
      </c>
      <c r="N6" s="2"/>
      <c r="O6" s="2"/>
      <c r="P6" s="2"/>
      <c r="Q6" s="2"/>
      <c r="R6" s="2"/>
      <c r="S6" s="2"/>
      <c r="T6" s="2"/>
      <c r="U6" s="2"/>
      <c r="V6" s="2"/>
      <c r="W6" s="2"/>
    </row>
    <row r="7" spans="1:26" ht="9.75" customHeight="1" x14ac:dyDescent="0.35">
      <c r="A7" s="2"/>
      <c r="B7" s="78"/>
      <c r="C7" s="70"/>
      <c r="D7" s="70"/>
      <c r="E7" s="71"/>
      <c r="F7" s="70"/>
      <c r="G7" s="70"/>
      <c r="H7" s="71"/>
      <c r="I7" s="63"/>
      <c r="J7" s="63"/>
      <c r="K7" s="63"/>
      <c r="L7" s="63"/>
      <c r="M7" s="77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6" ht="9.75" customHeight="1" x14ac:dyDescent="0.35">
      <c r="A8" s="2"/>
      <c r="B8" s="78" t="s">
        <v>73</v>
      </c>
      <c r="C8" s="70"/>
      <c r="D8" s="70"/>
      <c r="E8" s="71"/>
      <c r="F8" s="70"/>
      <c r="G8" s="70"/>
      <c r="H8" s="71"/>
      <c r="I8" s="63"/>
      <c r="J8" s="63"/>
      <c r="K8" s="63"/>
      <c r="L8" s="63"/>
      <c r="M8" s="77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6" ht="9.75" customHeight="1" x14ac:dyDescent="0.35">
      <c r="A9" s="2"/>
      <c r="B9" s="76" t="s">
        <v>62</v>
      </c>
      <c r="C9" s="70"/>
      <c r="D9" s="70"/>
      <c r="E9" s="71"/>
      <c r="F9" s="70"/>
      <c r="G9" s="70"/>
      <c r="H9" s="71"/>
      <c r="I9" s="63"/>
      <c r="J9" s="63"/>
      <c r="K9" s="63"/>
      <c r="L9" s="63"/>
      <c r="M9" s="63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6" ht="9.75" customHeight="1" x14ac:dyDescent="0.35">
      <c r="A10" s="2"/>
      <c r="B10" s="11"/>
      <c r="C10" s="11"/>
      <c r="D10" s="75" t="s">
        <v>85</v>
      </c>
      <c r="E10" s="74"/>
      <c r="F10" s="11"/>
      <c r="G10" s="11"/>
      <c r="H10" s="74"/>
      <c r="I10" s="73"/>
      <c r="J10" s="63"/>
      <c r="K10" s="63"/>
      <c r="L10" s="63"/>
      <c r="M10" s="63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6" ht="9.75" customHeight="1" x14ac:dyDescent="0.35">
      <c r="A11" s="2"/>
      <c r="B11" s="13"/>
      <c r="C11" s="13"/>
      <c r="D11" s="72" t="s">
        <v>84</v>
      </c>
      <c r="E11" s="67" t="s">
        <v>83</v>
      </c>
      <c r="F11" s="13"/>
      <c r="G11" s="2"/>
      <c r="H11" s="71"/>
      <c r="I11" s="68" t="s">
        <v>71</v>
      </c>
      <c r="J11" s="63"/>
      <c r="K11" s="68" t="s">
        <v>82</v>
      </c>
      <c r="L11" s="69" t="s">
        <v>81</v>
      </c>
      <c r="M11" s="63"/>
      <c r="N11" s="2"/>
      <c r="O11" s="2"/>
      <c r="P11" s="2"/>
      <c r="Q11" s="2"/>
      <c r="R11" s="2"/>
      <c r="S11" s="2"/>
      <c r="T11" s="2"/>
      <c r="U11" s="2"/>
      <c r="V11" s="2"/>
      <c r="W11" s="2"/>
      <c r="X11" s="13"/>
      <c r="Y11" s="13" t="s">
        <v>80</v>
      </c>
      <c r="Z11" s="70"/>
    </row>
    <row r="12" spans="1:26" ht="9.75" customHeight="1" x14ac:dyDescent="0.35">
      <c r="A12" s="2"/>
      <c r="B12" s="13" t="s">
        <v>79</v>
      </c>
      <c r="C12" s="13" t="s">
        <v>78</v>
      </c>
      <c r="D12" s="67" t="s">
        <v>77</v>
      </c>
      <c r="E12" s="67" t="s">
        <v>77</v>
      </c>
      <c r="F12" s="13" t="s">
        <v>76</v>
      </c>
      <c r="G12" s="13" t="s">
        <v>75</v>
      </c>
      <c r="H12" s="13" t="s">
        <v>74</v>
      </c>
      <c r="I12" s="69" t="s">
        <v>73</v>
      </c>
      <c r="J12" s="63"/>
      <c r="K12" s="68" t="s">
        <v>72</v>
      </c>
      <c r="L12" s="68" t="s">
        <v>72</v>
      </c>
      <c r="M12" s="68" t="s">
        <v>71</v>
      </c>
      <c r="N12" s="2"/>
      <c r="O12" s="68" t="s">
        <v>96</v>
      </c>
      <c r="P12" s="2"/>
      <c r="Q12" s="68" t="s">
        <v>95</v>
      </c>
      <c r="R12" s="2"/>
      <c r="S12" s="68" t="s">
        <v>94</v>
      </c>
      <c r="T12" s="2"/>
      <c r="U12" s="2"/>
      <c r="V12" s="2"/>
      <c r="W12" s="2"/>
      <c r="X12" s="13"/>
      <c r="Y12" s="13"/>
      <c r="Z12" s="13" t="s">
        <v>70</v>
      </c>
    </row>
    <row r="13" spans="1:26" ht="9.75" customHeight="1" x14ac:dyDescent="0.35">
      <c r="A13" s="2"/>
      <c r="B13" s="66" t="s">
        <v>69</v>
      </c>
      <c r="C13" s="66" t="s">
        <v>68</v>
      </c>
      <c r="D13" s="67" t="s">
        <v>67</v>
      </c>
      <c r="E13" s="66" t="s">
        <v>66</v>
      </c>
      <c r="F13" s="66" t="s">
        <v>65</v>
      </c>
      <c r="G13" s="66" t="s">
        <v>64</v>
      </c>
      <c r="H13" s="66" t="s">
        <v>63</v>
      </c>
      <c r="I13" s="65" t="s">
        <v>62</v>
      </c>
      <c r="J13" s="63"/>
      <c r="K13" s="65" t="s">
        <v>62</v>
      </c>
      <c r="L13" s="65" t="s">
        <v>62</v>
      </c>
      <c r="M13" s="65" t="s">
        <v>62</v>
      </c>
      <c r="N13" s="2"/>
      <c r="O13" s="69" t="s">
        <v>62</v>
      </c>
      <c r="P13" s="2"/>
      <c r="Q13" s="69" t="s">
        <v>93</v>
      </c>
      <c r="R13" s="2"/>
      <c r="S13" s="69" t="s">
        <v>93</v>
      </c>
      <c r="T13" s="2"/>
      <c r="U13" s="2"/>
      <c r="V13" s="2"/>
      <c r="W13" s="2"/>
      <c r="X13" s="13"/>
      <c r="Y13" s="13"/>
      <c r="Z13" s="13" t="s">
        <v>61</v>
      </c>
    </row>
    <row r="14" spans="1:26" ht="9.75" customHeight="1" x14ac:dyDescent="0.35">
      <c r="A14" s="33" t="s">
        <v>60</v>
      </c>
      <c r="D14" s="9"/>
      <c r="I14" s="64"/>
      <c r="J14" s="63"/>
      <c r="K14" s="62"/>
      <c r="L14" s="62"/>
      <c r="M14" s="6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6" ht="9.75" customHeight="1" x14ac:dyDescent="0.35">
      <c r="A15" s="6" t="s">
        <v>59</v>
      </c>
      <c r="B15" s="30">
        <f>ROUND(('[3]Changes FY09'!B15),-3)</f>
        <v>1065342000</v>
      </c>
      <c r="C15" s="20">
        <f>ROUND(('[3]Changes FY09'!C15),-3)</f>
        <v>0</v>
      </c>
      <c r="D15" s="20">
        <f>ROUND(('[3]Changes FY09'!D15),-3)</f>
        <v>0</v>
      </c>
      <c r="E15" s="20">
        <f>ROUND(('[3]Changes FY09'!E15),-3)</f>
        <v>0</v>
      </c>
      <c r="F15" s="20">
        <f>ROUND(('[3]Changes FY09'!F15),-3)</f>
        <v>0</v>
      </c>
      <c r="G15" s="20">
        <f>ROUND(('[3]Changes FY09'!G15),-3)</f>
        <v>0</v>
      </c>
      <c r="H15" s="20">
        <f>ROUND(('[3]Changes FY09'!H15),-3)</f>
        <v>0</v>
      </c>
      <c r="I15" s="32">
        <f t="shared" ref="I15:I30" si="0">SUM(B15:H15)</f>
        <v>1065342000</v>
      </c>
      <c r="J15" s="28"/>
      <c r="K15" s="29">
        <f>ROUND(('[3]Changes FY09'!K15),-3)</f>
        <v>0</v>
      </c>
      <c r="L15" s="29">
        <f>ROUND(('[3]Changes FY09'!L15),-3)</f>
        <v>0</v>
      </c>
      <c r="M15" s="32">
        <f t="shared" ref="M15:M32" si="1">SUM(I15:L15)</f>
        <v>1065342000</v>
      </c>
      <c r="N15" s="2"/>
      <c r="O15" s="32">
        <v>1000289000</v>
      </c>
      <c r="P15" s="2"/>
      <c r="Q15" s="32">
        <f t="shared" ref="Q15:Q46" si="2">M15-O15</f>
        <v>65053000</v>
      </c>
      <c r="R15" s="2"/>
      <c r="S15" s="84">
        <f t="shared" ref="S15:S25" si="3">Q15/O15</f>
        <v>6.5034205114721841E-2</v>
      </c>
      <c r="T15" s="2"/>
      <c r="U15" s="2"/>
      <c r="V15" s="2"/>
      <c r="W15" s="2"/>
      <c r="Z15" s="1" t="e">
        <f>SUM(O15+#REF!+M15+R15+T15+X15)</f>
        <v>#REF!</v>
      </c>
    </row>
    <row r="16" spans="1:26" ht="9.75" customHeight="1" x14ac:dyDescent="0.35">
      <c r="A16" s="6" t="s">
        <v>58</v>
      </c>
      <c r="B16" s="20">
        <f>ROUND(('[3]Changes FY09'!B16),-3)</f>
        <v>-320161000</v>
      </c>
      <c r="C16" s="20">
        <f>ROUND(('[3]Changes FY09'!C16),-3)</f>
        <v>0</v>
      </c>
      <c r="D16" s="20">
        <f>ROUND(('[3]Changes FY09'!D16),-3)</f>
        <v>0</v>
      </c>
      <c r="E16" s="20">
        <f>ROUND(('[3]Changes FY09'!E16),-3)</f>
        <v>0</v>
      </c>
      <c r="F16" s="20">
        <f>ROUND(('[3]Changes FY09'!F16),-3)</f>
        <v>0</v>
      </c>
      <c r="G16" s="20">
        <f>ROUND(('[3]Changes FY09'!G16),-3)</f>
        <v>0</v>
      </c>
      <c r="H16" s="20">
        <f>ROUND(('[3]Changes FY09'!H16),-3)</f>
        <v>0</v>
      </c>
      <c r="I16" s="28">
        <f t="shared" si="0"/>
        <v>-320161000</v>
      </c>
      <c r="J16" s="28"/>
      <c r="K16" s="29">
        <f>ROUND(('[3]Changes FY09'!K16),-3)</f>
        <v>0</v>
      </c>
      <c r="L16" s="29">
        <f>ROUND(('[3]Changes FY09'!L16),-3)</f>
        <v>0</v>
      </c>
      <c r="M16" s="28">
        <f t="shared" si="1"/>
        <v>-320161000</v>
      </c>
      <c r="N16" s="2"/>
      <c r="O16" s="28">
        <v>-294308000</v>
      </c>
      <c r="P16" s="2"/>
      <c r="Q16" s="28">
        <f t="shared" si="2"/>
        <v>-25853000</v>
      </c>
      <c r="R16" s="2"/>
      <c r="S16" s="84">
        <f t="shared" si="3"/>
        <v>8.7843347785313344E-2</v>
      </c>
      <c r="T16" s="2"/>
      <c r="U16" s="2"/>
      <c r="V16" s="2"/>
      <c r="W16" s="2"/>
    </row>
    <row r="17" spans="1:26" ht="9.75" customHeight="1" x14ac:dyDescent="0.35">
      <c r="A17" s="61" t="s">
        <v>57</v>
      </c>
      <c r="B17" s="60">
        <f>B16+B15</f>
        <v>745181000</v>
      </c>
      <c r="C17" s="20">
        <f>ROUND(('[3]Changes FY09'!C17),-3)</f>
        <v>0</v>
      </c>
      <c r="D17" s="20">
        <f>ROUND(('[3]Changes FY09'!D17),-3)</f>
        <v>0</v>
      </c>
      <c r="E17" s="20">
        <f>ROUND(('[3]Changes FY09'!E17),-3)</f>
        <v>0</v>
      </c>
      <c r="F17" s="20">
        <f>ROUND(('[3]Changes FY09'!F17),-3)</f>
        <v>0</v>
      </c>
      <c r="G17" s="20">
        <f>ROUND(('[3]Changes FY09'!G17),-3)</f>
        <v>0</v>
      </c>
      <c r="H17" s="20">
        <f>ROUND(('[3]Changes FY09'!H17),-3)</f>
        <v>0</v>
      </c>
      <c r="I17" s="87">
        <f t="shared" si="0"/>
        <v>745181000</v>
      </c>
      <c r="J17" s="88"/>
      <c r="K17" s="29">
        <f>ROUND(('[3]Changes FY09'!K17),-3)</f>
        <v>0</v>
      </c>
      <c r="L17" s="29">
        <f>ROUND(('[3]Changes FY09'!L17),-3)</f>
        <v>0</v>
      </c>
      <c r="M17" s="87">
        <f t="shared" si="1"/>
        <v>745181000</v>
      </c>
      <c r="N17" s="2"/>
      <c r="O17" s="87">
        <v>705981000</v>
      </c>
      <c r="P17" s="2"/>
      <c r="Q17" s="87">
        <f t="shared" si="2"/>
        <v>39200000</v>
      </c>
      <c r="R17" s="2"/>
      <c r="S17" s="84">
        <f t="shared" si="3"/>
        <v>5.5525573634417923E-2</v>
      </c>
      <c r="T17" s="2"/>
      <c r="U17" s="2"/>
      <c r="V17" s="2"/>
      <c r="W17" s="2"/>
    </row>
    <row r="18" spans="1:26" ht="9.75" customHeight="1" x14ac:dyDescent="0.35">
      <c r="A18" s="6" t="s">
        <v>56</v>
      </c>
      <c r="B18" s="20">
        <f>ROUND(('[3]Changes FY09'!B18),-3)</f>
        <v>34236000</v>
      </c>
      <c r="C18" s="20">
        <f>ROUND(('[3]Changes FY09'!C18),-3)</f>
        <v>0</v>
      </c>
      <c r="D18" s="30">
        <f>ROUND(('[3]Changes FY09'!D18),-3)</f>
        <v>27741000</v>
      </c>
      <c r="E18" s="20">
        <f>ROUND(('[3]Changes FY09'!E18),-3)</f>
        <v>0</v>
      </c>
      <c r="F18" s="20">
        <f>ROUND(('[3]Changes FY09'!F18),-3)</f>
        <v>0</v>
      </c>
      <c r="G18" s="20">
        <f>ROUND(('[3]Changes FY09'!G18),-3)</f>
        <v>0</v>
      </c>
      <c r="H18" s="20">
        <f>ROUND(('[3]Changes FY09'!H18),-3)</f>
        <v>0</v>
      </c>
      <c r="I18" s="28">
        <f t="shared" si="0"/>
        <v>61977000</v>
      </c>
      <c r="J18" s="28"/>
      <c r="K18" s="29">
        <f>ROUND(('[3]Changes FY09'!K18),-3)</f>
        <v>0</v>
      </c>
      <c r="L18" s="31">
        <f>ROUND(('[3]Changes FY09'!L18),-3)</f>
        <v>420000</v>
      </c>
      <c r="M18" s="28">
        <f t="shared" si="1"/>
        <v>62397000</v>
      </c>
      <c r="N18" s="2"/>
      <c r="O18" s="28">
        <v>72973000</v>
      </c>
      <c r="P18" s="2"/>
      <c r="Q18" s="28">
        <f t="shared" si="2"/>
        <v>-10576000</v>
      </c>
      <c r="R18" s="2"/>
      <c r="S18" s="84">
        <f t="shared" si="3"/>
        <v>-0.1449303166924753</v>
      </c>
      <c r="T18" s="2"/>
      <c r="U18" s="2"/>
      <c r="V18" s="2"/>
      <c r="W18" s="2"/>
      <c r="Z18" s="1" t="e">
        <f>SUM(O18+#REF!+M18+R18+T18+X18)</f>
        <v>#REF!</v>
      </c>
    </row>
    <row r="19" spans="1:26" ht="9.75" customHeight="1" x14ac:dyDescent="0.35">
      <c r="A19" s="6" t="s">
        <v>55</v>
      </c>
      <c r="B19" s="20">
        <f>ROUND(('[3]Changes FY09'!B19),-3)</f>
        <v>1188000</v>
      </c>
      <c r="C19" s="20">
        <f>ROUND(('[3]Changes FY09'!C19),-3)</f>
        <v>0</v>
      </c>
      <c r="D19" s="20">
        <f>ROUND(('[3]Changes FY09'!D19),-3)</f>
        <v>1845000</v>
      </c>
      <c r="E19" s="30">
        <f>ROUND(('[3]Changes FY09'!E19),-3)</f>
        <v>5263000</v>
      </c>
      <c r="F19" s="20">
        <f>ROUND(('[3]Changes FY09'!F19),-3)</f>
        <v>0</v>
      </c>
      <c r="G19" s="20">
        <f>ROUND(('[3]Changes FY09'!G19),-3)</f>
        <v>0</v>
      </c>
      <c r="H19" s="20">
        <f>ROUND(('[3]Changes FY09'!H19),-3)+1000</f>
        <v>-1032000</v>
      </c>
      <c r="I19" s="28">
        <f t="shared" si="0"/>
        <v>7264000</v>
      </c>
      <c r="J19" s="28"/>
      <c r="K19" s="31">
        <f>ROUND(('[3]Changes FY09'!K19),-3)</f>
        <v>440000</v>
      </c>
      <c r="L19" s="29">
        <f>ROUND(('[3]Changes FY09'!L19),-3)</f>
        <v>10000</v>
      </c>
      <c r="M19" s="28">
        <f t="shared" si="1"/>
        <v>7714000</v>
      </c>
      <c r="N19" s="2"/>
      <c r="O19" s="28">
        <v>25251000</v>
      </c>
      <c r="P19" s="2"/>
      <c r="Q19" s="28">
        <f t="shared" si="2"/>
        <v>-17537000</v>
      </c>
      <c r="R19" s="2"/>
      <c r="S19" s="84">
        <f t="shared" si="3"/>
        <v>-0.69450714823175319</v>
      </c>
      <c r="T19" s="2"/>
      <c r="U19" s="2"/>
      <c r="V19" s="2"/>
      <c r="W19" s="2"/>
      <c r="Z19" s="1" t="e">
        <f>SUM(O19+#REF!+M19+R19+T19+X19)</f>
        <v>#REF!</v>
      </c>
    </row>
    <row r="20" spans="1:26" ht="9.75" customHeight="1" x14ac:dyDescent="0.35">
      <c r="A20" s="6" t="s">
        <v>54</v>
      </c>
      <c r="B20" s="20">
        <f>ROUND(('[3]Changes FY09'!B20),-3)</f>
        <v>0</v>
      </c>
      <c r="C20" s="20">
        <f>ROUND(('[3]Changes FY09'!C20),-3)</f>
        <v>0</v>
      </c>
      <c r="D20" s="20">
        <f>ROUND(('[3]Changes FY09'!D20),-3)</f>
        <v>-918000</v>
      </c>
      <c r="E20" s="20">
        <f>ROUND(('[3]Changes FY09'!E20),-3)</f>
        <v>594000</v>
      </c>
      <c r="F20" s="20">
        <f>ROUND(('[3]Changes FY09'!F20),-3)</f>
        <v>0</v>
      </c>
      <c r="G20" s="30">
        <f>ROUND(('[3]Changes FY09'!G20),-3)-1000</f>
        <v>-919626000</v>
      </c>
      <c r="H20" s="20">
        <f>ROUND(('[3]Changes FY09'!H20),-3)</f>
        <v>-3066000</v>
      </c>
      <c r="I20" s="28">
        <f t="shared" si="0"/>
        <v>-923016000</v>
      </c>
      <c r="J20" s="28"/>
      <c r="K20" s="29">
        <f>ROUND(('[3]Changes FY09'!K20),-3)+1000</f>
        <v>34786000</v>
      </c>
      <c r="L20" s="29">
        <f>ROUND(('[3]Changes FY09'!L20),-3)</f>
        <v>-14859000</v>
      </c>
      <c r="M20" s="28">
        <f t="shared" si="1"/>
        <v>-903089000</v>
      </c>
      <c r="N20" s="2"/>
      <c r="O20" s="28">
        <v>-159455000</v>
      </c>
      <c r="P20" s="2"/>
      <c r="Q20" s="28">
        <f t="shared" si="2"/>
        <v>-743634000</v>
      </c>
      <c r="R20" s="2"/>
      <c r="S20" s="84">
        <f t="shared" si="3"/>
        <v>4.6635978802797027</v>
      </c>
      <c r="T20" s="2"/>
      <c r="U20" s="2"/>
      <c r="V20" s="2"/>
      <c r="W20" s="2"/>
      <c r="Z20" s="1" t="e">
        <f>SUM(O20+#REF!+M20+R20+T20+X20)</f>
        <v>#REF!</v>
      </c>
    </row>
    <row r="21" spans="1:26" ht="9.75" customHeight="1" x14ac:dyDescent="0.35">
      <c r="A21" s="6" t="s">
        <v>53</v>
      </c>
      <c r="B21" s="20">
        <f>ROUND(('[3]Changes FY09'!B21),-3)</f>
        <v>0</v>
      </c>
      <c r="C21" s="20">
        <f>ROUND(('[3]Changes FY09'!C21),-3)</f>
        <v>0</v>
      </c>
      <c r="D21" s="20">
        <f>ROUND(('[3]Changes FY09'!D21),-3)</f>
        <v>255864000</v>
      </c>
      <c r="E21" s="20">
        <f>ROUND(('[3]Changes FY09'!E21),-3)</f>
        <v>0</v>
      </c>
      <c r="F21" s="20">
        <f>ROUND(('[3]Changes FY09'!F21),-3)</f>
        <v>0</v>
      </c>
      <c r="G21" s="20">
        <f>ROUND(('[3]Changes FY09'!G21),-3)</f>
        <v>0</v>
      </c>
      <c r="H21" s="20">
        <f>ROUND(('[3]Changes FY09'!H21),-3)</f>
        <v>0</v>
      </c>
      <c r="I21" s="28">
        <f t="shared" si="0"/>
        <v>255864000</v>
      </c>
      <c r="J21" s="28"/>
      <c r="K21" s="29">
        <f>ROUND(('[3]Changes FY09'!K21),-3)</f>
        <v>0</v>
      </c>
      <c r="L21" s="29">
        <f>ROUND(('[3]Changes FY09'!L21),-3)</f>
        <v>0</v>
      </c>
      <c r="M21" s="28">
        <f t="shared" si="1"/>
        <v>255864000</v>
      </c>
      <c r="N21" s="2"/>
      <c r="O21" s="28">
        <v>240061000</v>
      </c>
      <c r="P21" s="2"/>
      <c r="Q21" s="28">
        <f t="shared" si="2"/>
        <v>15803000</v>
      </c>
      <c r="R21" s="2"/>
      <c r="S21" s="84">
        <f t="shared" si="3"/>
        <v>6.58291017699668E-2</v>
      </c>
      <c r="T21" s="2"/>
      <c r="U21" s="2"/>
      <c r="V21" s="2"/>
      <c r="W21" s="2"/>
      <c r="Z21" s="1" t="e">
        <f>SUM(O21+#REF!+M21+R21+T21+X21)</f>
        <v>#REF!</v>
      </c>
    </row>
    <row r="22" spans="1:26" ht="9.75" customHeight="1" x14ac:dyDescent="0.35">
      <c r="A22" s="6" t="s">
        <v>52</v>
      </c>
      <c r="B22" s="20">
        <f>ROUND(('[3]Changes FY09'!B22),-3)</f>
        <v>111588000</v>
      </c>
      <c r="C22" s="20">
        <f>ROUND(('[3]Changes FY09'!C22),-3)</f>
        <v>0</v>
      </c>
      <c r="D22" s="20">
        <f>ROUND(('[3]Changes FY09'!D22),-3)</f>
        <v>0</v>
      </c>
      <c r="E22" s="20">
        <f>ROUND(('[3]Changes FY09'!E22),-3)</f>
        <v>0</v>
      </c>
      <c r="F22" s="20">
        <f>ROUND(('[3]Changes FY09'!F22),-3)</f>
        <v>0</v>
      </c>
      <c r="G22" s="20">
        <f>ROUND(('[3]Changes FY09'!G22),-3)</f>
        <v>0</v>
      </c>
      <c r="H22" s="20">
        <f>ROUND(('[3]Changes FY09'!H22),-3)</f>
        <v>0</v>
      </c>
      <c r="I22" s="28">
        <f t="shared" si="0"/>
        <v>111588000</v>
      </c>
      <c r="J22" s="28"/>
      <c r="K22" s="29">
        <f>ROUND(('[3]Changes FY09'!K22),-3)</f>
        <v>0</v>
      </c>
      <c r="L22" s="29">
        <f>ROUND(('[3]Changes FY09'!L22),-3)</f>
        <v>0</v>
      </c>
      <c r="M22" s="28">
        <f t="shared" si="1"/>
        <v>111588000</v>
      </c>
      <c r="N22" s="2"/>
      <c r="O22" s="28">
        <v>103956000</v>
      </c>
      <c r="P22" s="2"/>
      <c r="Q22" s="28">
        <f t="shared" si="2"/>
        <v>7632000</v>
      </c>
      <c r="R22" s="2"/>
      <c r="S22" s="84">
        <f t="shared" si="3"/>
        <v>7.3415675862865057E-2</v>
      </c>
      <c r="T22" s="2"/>
      <c r="U22" s="2"/>
      <c r="V22" s="2"/>
      <c r="W22" s="2"/>
      <c r="Z22" s="1" t="e">
        <f>SUM(O22+#REF!+M22+R22+T22+X22)</f>
        <v>#REF!</v>
      </c>
    </row>
    <row r="23" spans="1:26" ht="9.75" customHeight="1" x14ac:dyDescent="0.35">
      <c r="A23" s="6" t="s">
        <v>51</v>
      </c>
      <c r="B23" s="20">
        <f>ROUND(('[3]Changes FY09'!B23),-3)</f>
        <v>41243000</v>
      </c>
      <c r="C23" s="20">
        <f>ROUND(('[3]Changes FY09'!C23),-3)</f>
        <v>0</v>
      </c>
      <c r="D23" s="20">
        <f>ROUND(('[3]Changes FY09'!D23),-3)</f>
        <v>201124000</v>
      </c>
      <c r="E23" s="20">
        <f>ROUND(('[3]Changes FY09'!E23),-3)</f>
        <v>62529000</v>
      </c>
      <c r="F23" s="30">
        <f>ROUND(('[3]Changes FY09'!F23),-3)</f>
        <v>419000</v>
      </c>
      <c r="G23" s="20">
        <f>ROUND(('[3]Changes FY09'!G23),-3)</f>
        <v>0</v>
      </c>
      <c r="H23" s="20">
        <f>ROUND(('[3]Changes FY09'!H23),-3)</f>
        <v>0</v>
      </c>
      <c r="I23" s="28">
        <f t="shared" si="0"/>
        <v>305315000</v>
      </c>
      <c r="J23" s="28"/>
      <c r="K23" s="29">
        <f>ROUND(('[3]Changes FY09'!K23),-3)</f>
        <v>63121000</v>
      </c>
      <c r="L23" s="29">
        <f>ROUND(('[3]Changes FY09'!L23),-3)</f>
        <v>24462000</v>
      </c>
      <c r="M23" s="28">
        <f t="shared" si="1"/>
        <v>392898000</v>
      </c>
      <c r="N23" s="2"/>
      <c r="O23" s="28">
        <v>410105000</v>
      </c>
      <c r="P23" s="2"/>
      <c r="Q23" s="28">
        <f t="shared" si="2"/>
        <v>-17207000</v>
      </c>
      <c r="R23" s="2"/>
      <c r="S23" s="84">
        <f t="shared" si="3"/>
        <v>-4.1957547457358482E-2</v>
      </c>
      <c r="T23" s="2"/>
      <c r="U23" s="2"/>
      <c r="V23" s="2"/>
      <c r="W23" s="2"/>
      <c r="X23" s="2"/>
      <c r="Z23" s="1" t="e">
        <f>SUM(O23+#REF!+M23+R23+T23+X23)</f>
        <v>#REF!</v>
      </c>
    </row>
    <row r="24" spans="1:26" ht="9.75" customHeight="1" x14ac:dyDescent="0.35">
      <c r="A24" s="6" t="s">
        <v>50</v>
      </c>
      <c r="B24" s="20">
        <f>ROUND(('[3]Changes FY09'!B24),-3)</f>
        <v>32513000</v>
      </c>
      <c r="C24" s="20">
        <f>ROUND(('[3]Changes FY09'!C24),-3)</f>
        <v>0</v>
      </c>
      <c r="D24" s="20">
        <f>ROUND(('[3]Changes FY09'!D24),-3)</f>
        <v>0</v>
      </c>
      <c r="E24" s="20">
        <f>ROUND(('[3]Changes FY09'!E24),-3)</f>
        <v>0</v>
      </c>
      <c r="F24" s="20">
        <f>ROUND(('[3]Changes FY09'!F24),-3)</f>
        <v>0</v>
      </c>
      <c r="G24" s="20">
        <f>ROUND(('[3]Changes FY09'!G24),-3)</f>
        <v>0</v>
      </c>
      <c r="H24" s="20">
        <f>ROUND(('[3]Changes FY09'!H24),-3)</f>
        <v>0</v>
      </c>
      <c r="I24" s="28">
        <f t="shared" si="0"/>
        <v>32513000</v>
      </c>
      <c r="J24" s="28"/>
      <c r="K24" s="29">
        <f>ROUND(('[3]Changes FY09'!K24),-3)</f>
        <v>0</v>
      </c>
      <c r="L24" s="29">
        <f>ROUND(('[3]Changes FY09'!L24),-3)</f>
        <v>0</v>
      </c>
      <c r="M24" s="28">
        <f t="shared" si="1"/>
        <v>32513000</v>
      </c>
      <c r="N24" s="2"/>
      <c r="O24" s="28">
        <v>32057000</v>
      </c>
      <c r="P24" s="2"/>
      <c r="Q24" s="28">
        <f t="shared" si="2"/>
        <v>456000</v>
      </c>
      <c r="R24" s="2"/>
      <c r="S24" s="84">
        <f t="shared" si="3"/>
        <v>1.4224662320242068E-2</v>
      </c>
      <c r="T24" s="2"/>
      <c r="U24" s="2"/>
      <c r="V24" s="2"/>
      <c r="W24" s="2"/>
      <c r="Z24" s="1" t="e">
        <f>SUM(O24+#REF!+M24+R24+T24+X24)</f>
        <v>#REF!</v>
      </c>
    </row>
    <row r="25" spans="1:26" ht="9.75" customHeight="1" x14ac:dyDescent="0.35">
      <c r="A25" s="6" t="s">
        <v>49</v>
      </c>
      <c r="B25" s="20">
        <f>ROUND(('[3]Changes FY09'!B25),-3)</f>
        <v>226972000</v>
      </c>
      <c r="C25" s="20">
        <f>ROUND(('[3]Changes FY09'!C25),-3)</f>
        <v>0</v>
      </c>
      <c r="D25" s="20">
        <f>ROUND(('[3]Changes FY09'!D25),-3)</f>
        <v>0</v>
      </c>
      <c r="E25" s="20">
        <f>ROUND(('[3]Changes FY09'!E25),-3)</f>
        <v>0</v>
      </c>
      <c r="F25" s="20">
        <f>ROUND(('[3]Changes FY09'!F25),-3)</f>
        <v>0</v>
      </c>
      <c r="G25" s="20">
        <f>ROUND(('[3]Changes FY09'!G25),-3)</f>
        <v>0</v>
      </c>
      <c r="H25" s="20">
        <f>ROUND(('[3]Changes FY09'!H25),-3)</f>
        <v>0</v>
      </c>
      <c r="I25" s="28">
        <f t="shared" si="0"/>
        <v>226972000</v>
      </c>
      <c r="J25" s="28"/>
      <c r="K25" s="29">
        <f>ROUND(('[3]Changes FY09'!K25),-3)</f>
        <v>0</v>
      </c>
      <c r="L25" s="29">
        <f>ROUND(('[3]Changes FY09'!L25),-3)</f>
        <v>0</v>
      </c>
      <c r="M25" s="28">
        <f t="shared" si="1"/>
        <v>226972000</v>
      </c>
      <c r="N25" s="2"/>
      <c r="O25" s="28">
        <v>223125000</v>
      </c>
      <c r="P25" s="2"/>
      <c r="Q25" s="28">
        <f t="shared" si="2"/>
        <v>3847000</v>
      </c>
      <c r="R25" s="2"/>
      <c r="S25" s="84">
        <f t="shared" si="3"/>
        <v>1.7241456582633052E-2</v>
      </c>
      <c r="T25" s="2"/>
      <c r="U25" s="2"/>
      <c r="V25" s="2"/>
      <c r="W25" s="2"/>
      <c r="Z25" s="1" t="e">
        <f>SUM(O25+#REF!+M25+R25+T25+X25)</f>
        <v>#REF!</v>
      </c>
    </row>
    <row r="26" spans="1:26" ht="9.75" customHeight="1" x14ac:dyDescent="0.35">
      <c r="A26" s="6" t="s">
        <v>92</v>
      </c>
      <c r="B26" s="20"/>
      <c r="C26" s="30">
        <f>ROUND(('[3]Changes FY09'!C26),-3)</f>
        <v>101559000</v>
      </c>
      <c r="D26" s="20"/>
      <c r="E26" s="20"/>
      <c r="F26" s="20"/>
      <c r="G26" s="20"/>
      <c r="H26" s="20"/>
      <c r="I26" s="28">
        <f t="shared" si="0"/>
        <v>101559000</v>
      </c>
      <c r="J26" s="28"/>
      <c r="K26" s="29"/>
      <c r="L26" s="29"/>
      <c r="M26" s="28">
        <f t="shared" si="1"/>
        <v>101559000</v>
      </c>
      <c r="N26" s="2"/>
      <c r="O26" s="28"/>
      <c r="P26" s="2"/>
      <c r="Q26" s="28">
        <f t="shared" si="2"/>
        <v>101559000</v>
      </c>
      <c r="R26" s="2"/>
      <c r="S26" s="84" t="s">
        <v>89</v>
      </c>
      <c r="T26" s="2"/>
      <c r="U26" s="2"/>
      <c r="V26" s="2"/>
      <c r="W26" s="2"/>
    </row>
    <row r="27" spans="1:26" ht="9.75" customHeight="1" x14ac:dyDescent="0.35">
      <c r="A27" s="6" t="s">
        <v>48</v>
      </c>
      <c r="B27" s="20">
        <f>ROUND(('[3]Changes FY09'!B27),-3)</f>
        <v>0</v>
      </c>
      <c r="C27" s="20">
        <f>ROUND(('[3]Changes FY09'!C27),-3)</f>
        <v>102983000</v>
      </c>
      <c r="D27" s="20">
        <f>ROUND(('[3]Changes FY09'!D27),-3)</f>
        <v>0</v>
      </c>
      <c r="E27" s="20">
        <f>ROUND(('[3]Changes FY09'!E27),-3)</f>
        <v>0</v>
      </c>
      <c r="F27" s="20">
        <f>ROUND(('[3]Changes FY09'!F27),-3)</f>
        <v>0</v>
      </c>
      <c r="G27" s="20">
        <f>ROUND(('[3]Changes FY09'!G27),-3)</f>
        <v>0</v>
      </c>
      <c r="H27" s="20">
        <f>ROUND(('[3]Changes FY09'!H27),-3)</f>
        <v>0</v>
      </c>
      <c r="I27" s="28">
        <f t="shared" si="0"/>
        <v>102983000</v>
      </c>
      <c r="J27" s="28"/>
      <c r="K27" s="29">
        <f>ROUND(('[3]Changes FY09'!K27),-3)</f>
        <v>0</v>
      </c>
      <c r="L27" s="29">
        <f>ROUND(('[3]Changes FY09'!L27),-3)</f>
        <v>0</v>
      </c>
      <c r="M27" s="28">
        <f t="shared" si="1"/>
        <v>102983000</v>
      </c>
      <c r="N27" s="2"/>
      <c r="O27" s="28">
        <v>81201000</v>
      </c>
      <c r="P27" s="2"/>
      <c r="Q27" s="28">
        <f t="shared" si="2"/>
        <v>21782000</v>
      </c>
      <c r="R27" s="2"/>
      <c r="S27" s="84">
        <f>Q27/O27</f>
        <v>0.26824792798118252</v>
      </c>
      <c r="T27" s="2"/>
      <c r="U27" s="2"/>
      <c r="V27" s="2"/>
      <c r="W27" s="2"/>
      <c r="Z27" s="1" t="e">
        <f>SUM(O27+#REF!+M27+R27+T27+X27)</f>
        <v>#REF!</v>
      </c>
    </row>
    <row r="28" spans="1:26" ht="9.75" customHeight="1" x14ac:dyDescent="0.35">
      <c r="A28" s="6" t="s">
        <v>47</v>
      </c>
      <c r="B28" s="20">
        <f>ROUND(('[3]Changes FY09'!B28),-3)</f>
        <v>0</v>
      </c>
      <c r="C28" s="20">
        <f>ROUND(('[3]Changes FY09'!C28),-3)</f>
        <v>80427000</v>
      </c>
      <c r="D28" s="20">
        <f>ROUND(('[3]Changes FY09'!D28),-3)</f>
        <v>0</v>
      </c>
      <c r="E28" s="20">
        <f>ROUND(('[3]Changes FY09'!E28),-3)</f>
        <v>0</v>
      </c>
      <c r="F28" s="20">
        <f>ROUND(('[3]Changes FY09'!F28),-3)</f>
        <v>0</v>
      </c>
      <c r="G28" s="20">
        <f>ROUND(('[3]Changes FY09'!G28),-3)</f>
        <v>0</v>
      </c>
      <c r="H28" s="20">
        <f>ROUND(('[3]Changes FY09'!H28),-3)</f>
        <v>0</v>
      </c>
      <c r="I28" s="28">
        <f t="shared" si="0"/>
        <v>80427000</v>
      </c>
      <c r="J28" s="28"/>
      <c r="K28" s="29">
        <f>ROUND(('[3]Changes FY09'!K28),-3)</f>
        <v>0</v>
      </c>
      <c r="L28" s="29">
        <f>ROUND(('[3]Changes FY09'!L28),-3)</f>
        <v>0</v>
      </c>
      <c r="M28" s="28">
        <f t="shared" si="1"/>
        <v>80427000</v>
      </c>
      <c r="N28" s="2"/>
      <c r="O28" s="28">
        <v>75251000</v>
      </c>
      <c r="P28" s="2"/>
      <c r="Q28" s="28">
        <f t="shared" si="2"/>
        <v>5176000</v>
      </c>
      <c r="R28" s="2"/>
      <c r="S28" s="84">
        <f>Q28/O28</f>
        <v>6.8783139094497084E-2</v>
      </c>
      <c r="T28" s="2"/>
      <c r="U28" s="2"/>
      <c r="V28" s="2"/>
      <c r="W28" s="2"/>
      <c r="Z28" s="1" t="e">
        <f>SUM(O28+#REF!+M28+R28+T28+X28)</f>
        <v>#REF!</v>
      </c>
    </row>
    <row r="29" spans="1:26" s="2" customFormat="1" ht="10.5" customHeight="1" x14ac:dyDescent="0.35">
      <c r="A29" s="2" t="s">
        <v>46</v>
      </c>
      <c r="B29" s="20">
        <f>ROUND(('[3]Changes FY09'!B29),-3)</f>
        <v>0</v>
      </c>
      <c r="C29" s="20">
        <f>ROUND(('[3]Changes FY09'!C29),-3)</f>
        <v>0</v>
      </c>
      <c r="D29" s="20">
        <f>ROUND(('[3]Changes FY09'!D29),-3)</f>
        <v>0</v>
      </c>
      <c r="E29" s="20">
        <f>ROUND(('[3]Changes FY09'!E29),-3)</f>
        <v>0</v>
      </c>
      <c r="F29" s="20">
        <f>ROUND(('[3]Changes FY09'!F29),-3)</f>
        <v>-6558000</v>
      </c>
      <c r="G29" s="20">
        <f>ROUND(('[3]Changes FY09'!G29),-3)</f>
        <v>0</v>
      </c>
      <c r="H29" s="20">
        <f>ROUND(('[3]Changes FY09'!H29),-3)</f>
        <v>0</v>
      </c>
      <c r="I29" s="28">
        <f t="shared" si="0"/>
        <v>-6558000</v>
      </c>
      <c r="J29" s="28"/>
      <c r="K29" s="29">
        <f>ROUND(('[3]Changes FY09'!K29),-3)</f>
        <v>0</v>
      </c>
      <c r="L29" s="29">
        <f>ROUND(('[3]Changes FY09'!L29),-3)</f>
        <v>0</v>
      </c>
      <c r="M29" s="28">
        <f t="shared" si="1"/>
        <v>-6558000</v>
      </c>
      <c r="O29" s="28">
        <v>35000</v>
      </c>
      <c r="Q29" s="28">
        <f t="shared" si="2"/>
        <v>-6593000</v>
      </c>
      <c r="S29" s="84">
        <f>Q29/O29</f>
        <v>-188.37142857142857</v>
      </c>
    </row>
    <row r="30" spans="1:26" ht="9.75" customHeight="1" x14ac:dyDescent="0.35">
      <c r="A30" s="6" t="s">
        <v>45</v>
      </c>
      <c r="B30" s="20">
        <f>ROUND(('[3]Changes FY09'!B30),-3)</f>
        <v>75478000</v>
      </c>
      <c r="C30" s="20">
        <f>ROUND(('[3]Changes FY09'!C30),-3)</f>
        <v>0</v>
      </c>
      <c r="D30" s="20">
        <f>ROUND(('[3]Changes FY09'!D30),-3)</f>
        <v>12149000</v>
      </c>
      <c r="E30" s="20">
        <f>ROUND(('[3]Changes FY09'!E30),-3)</f>
        <v>0</v>
      </c>
      <c r="F30" s="20">
        <f>ROUND(('[3]Changes FY09'!F30),-3)</f>
        <v>-1000</v>
      </c>
      <c r="G30" s="20">
        <f>ROUND(('[3]Changes FY09'!G30),-3)</f>
        <v>0</v>
      </c>
      <c r="H30" s="20">
        <f>ROUND(('[3]Changes FY09'!H30),-3)</f>
        <v>0</v>
      </c>
      <c r="I30" s="28">
        <f t="shared" si="0"/>
        <v>87626000</v>
      </c>
      <c r="J30" s="28"/>
      <c r="K30" s="29">
        <f>ROUND(('[3]Changes FY09'!K30),-3)</f>
        <v>0</v>
      </c>
      <c r="L30" s="29">
        <f>ROUND(('[3]Changes FY09'!L30),-3)</f>
        <v>0</v>
      </c>
      <c r="M30" s="28">
        <f t="shared" si="1"/>
        <v>87626000</v>
      </c>
      <c r="N30" s="2"/>
      <c r="O30" s="28">
        <v>86487000</v>
      </c>
      <c r="P30" s="2"/>
      <c r="Q30" s="28">
        <f t="shared" si="2"/>
        <v>1139000</v>
      </c>
      <c r="R30" s="2"/>
      <c r="S30" s="84">
        <f>Q30/O30</f>
        <v>1.3169609305444748E-2</v>
      </c>
      <c r="T30" s="2"/>
      <c r="U30" s="2"/>
      <c r="V30" s="2"/>
      <c r="W30" s="2"/>
      <c r="Z30" s="1" t="e">
        <f>SUM(O30+#REF!+M30+R30+T30+X30)</f>
        <v>#REF!</v>
      </c>
    </row>
    <row r="31" spans="1:26" ht="9.75" customHeight="1" x14ac:dyDescent="0.35">
      <c r="A31" s="6" t="s">
        <v>44</v>
      </c>
      <c r="B31" s="20">
        <f>ROUND(('[3]Changes FY09'!B31),-3)</f>
        <v>0</v>
      </c>
      <c r="C31" s="20">
        <f>ROUND(('[3]Changes FY09'!C31),-3)</f>
        <v>0</v>
      </c>
      <c r="D31" s="20">
        <f>ROUND(('[3]Changes FY09'!D31),-3)</f>
        <v>0</v>
      </c>
      <c r="E31" s="20">
        <f>ROUND(('[3]Changes FY09'!E31),-3)</f>
        <v>0</v>
      </c>
      <c r="F31" s="20">
        <f>ROUND(('[3]Changes FY09'!F31),-3)</f>
        <v>0</v>
      </c>
      <c r="G31" s="20">
        <f>ROUND(('[3]Changes FY09'!G31),-3)</f>
        <v>0</v>
      </c>
      <c r="H31" s="20">
        <f>ROUND(('[3]Changes FY09'!H31),-3)</f>
        <v>0</v>
      </c>
      <c r="I31" s="28"/>
      <c r="J31" s="28"/>
      <c r="K31" s="29">
        <f>ROUND(('[3]Changes FY09'!K31),-3)</f>
        <v>7651000</v>
      </c>
      <c r="L31" s="29">
        <f>ROUND(('[3]Changes FY09'!L31),-3)</f>
        <v>15557000</v>
      </c>
      <c r="M31" s="28">
        <f t="shared" si="1"/>
        <v>23208000</v>
      </c>
      <c r="N31" s="2"/>
      <c r="O31" s="28">
        <v>5348000</v>
      </c>
      <c r="P31" s="2"/>
      <c r="Q31" s="28">
        <f t="shared" si="2"/>
        <v>17860000</v>
      </c>
      <c r="R31" s="2"/>
      <c r="S31" s="84">
        <f>Q31/O31</f>
        <v>3.3395661929693343</v>
      </c>
      <c r="T31" s="2"/>
      <c r="U31" s="2"/>
      <c r="V31" s="2"/>
      <c r="W31" s="2"/>
    </row>
    <row r="32" spans="1:26" ht="9.75" customHeight="1" x14ac:dyDescent="0.35">
      <c r="A32" s="6" t="s">
        <v>43</v>
      </c>
      <c r="B32" s="20">
        <f>ROUND(('[3]Changes FY09'!B32),-3)</f>
        <v>-250000</v>
      </c>
      <c r="C32" s="20">
        <f>ROUND(('[3]Changes FY09'!C32),-3)</f>
        <v>0</v>
      </c>
      <c r="D32" s="20">
        <f>ROUND(('[3]Changes FY09'!D32),-3)+1000</f>
        <v>41221000</v>
      </c>
      <c r="E32" s="20">
        <f>ROUND(('[3]Changes FY09'!E32),-3)</f>
        <v>6786000</v>
      </c>
      <c r="F32" s="20">
        <f>ROUND(('[3]Changes FY09'!F32),-3)</f>
        <v>0</v>
      </c>
      <c r="G32" s="20">
        <f>ROUND(('[3]Changes FY09'!G32),-3)</f>
        <v>2731000</v>
      </c>
      <c r="H32" s="20">
        <f>ROUND(('[3]Changes FY09'!H32),-3)</f>
        <v>0</v>
      </c>
      <c r="I32" s="28">
        <f>SUM(B32:H32)</f>
        <v>50488000</v>
      </c>
      <c r="J32" s="28"/>
      <c r="K32" s="29">
        <f>ROUND(('[3]Changes FY09'!K32),-3)-1000</f>
        <v>-50481000</v>
      </c>
      <c r="L32" s="29">
        <f>ROUND(('[3]Changes FY09'!L32),-3)+1000</f>
        <v>-7000</v>
      </c>
      <c r="M32" s="28">
        <f t="shared" si="1"/>
        <v>0</v>
      </c>
      <c r="N32" s="2"/>
      <c r="O32" s="28"/>
      <c r="P32" s="2"/>
      <c r="Q32" s="28">
        <f t="shared" si="2"/>
        <v>0</v>
      </c>
      <c r="R32" s="2"/>
      <c r="S32" s="84" t="s">
        <v>89</v>
      </c>
      <c r="T32" s="2"/>
      <c r="U32" s="2"/>
      <c r="V32" s="2"/>
      <c r="W32" s="2"/>
      <c r="Z32" s="1" t="e">
        <f>SUM(O32+#REF!+M32+R32+T32+X32)</f>
        <v>#REF!</v>
      </c>
    </row>
    <row r="33" spans="1:27" ht="12.95" customHeight="1" x14ac:dyDescent="0.35">
      <c r="A33" s="37" t="s">
        <v>42</v>
      </c>
      <c r="B33" s="57">
        <f t="shared" ref="B33:M33" si="4">SUM(B17:B32)</f>
        <v>1268149000</v>
      </c>
      <c r="C33" s="57">
        <f t="shared" si="4"/>
        <v>284969000</v>
      </c>
      <c r="D33" s="57">
        <f t="shared" si="4"/>
        <v>539026000</v>
      </c>
      <c r="E33" s="57">
        <f t="shared" si="4"/>
        <v>75172000</v>
      </c>
      <c r="F33" s="57">
        <f t="shared" si="4"/>
        <v>-6140000</v>
      </c>
      <c r="G33" s="57">
        <f t="shared" si="4"/>
        <v>-916895000</v>
      </c>
      <c r="H33" s="57">
        <f t="shared" si="4"/>
        <v>-4098000</v>
      </c>
      <c r="I33" s="56">
        <f t="shared" si="4"/>
        <v>1240183000</v>
      </c>
      <c r="J33" s="56">
        <f t="shared" si="4"/>
        <v>0</v>
      </c>
      <c r="K33" s="56">
        <f t="shared" si="4"/>
        <v>55517000</v>
      </c>
      <c r="L33" s="56">
        <f t="shared" si="4"/>
        <v>25583000</v>
      </c>
      <c r="M33" s="56">
        <f t="shared" si="4"/>
        <v>1321283000</v>
      </c>
      <c r="N33" s="2"/>
      <c r="O33" s="56">
        <f>SUM(O17:O32)</f>
        <v>1902376000</v>
      </c>
      <c r="P33" s="2"/>
      <c r="Q33" s="56">
        <f t="shared" si="2"/>
        <v>-581093000</v>
      </c>
      <c r="R33" s="2"/>
      <c r="S33" s="84">
        <f>Q33/O33</f>
        <v>-0.30545643973641384</v>
      </c>
      <c r="T33" s="2"/>
      <c r="U33" s="2"/>
      <c r="V33" s="2"/>
      <c r="W33" s="2"/>
      <c r="X33" s="5"/>
      <c r="Y33" s="5"/>
      <c r="Z33" s="1" t="e">
        <f>SUM(O33+#REF!+M33+R33+T33+X33)</f>
        <v>#REF!</v>
      </c>
    </row>
    <row r="34" spans="1:27" ht="12.95" customHeight="1" x14ac:dyDescent="0.35">
      <c r="A34" s="54"/>
      <c r="B34" s="53"/>
      <c r="C34" s="53"/>
      <c r="D34" s="53"/>
      <c r="E34" s="53"/>
      <c r="F34" s="53"/>
      <c r="G34" s="53"/>
      <c r="H34" s="53"/>
      <c r="I34" s="43"/>
      <c r="J34" s="28"/>
      <c r="K34" s="43"/>
      <c r="L34" s="43"/>
      <c r="M34" s="43"/>
      <c r="N34" s="2"/>
      <c r="O34" s="43"/>
      <c r="P34" s="2"/>
      <c r="Q34" s="43">
        <f t="shared" si="2"/>
        <v>0</v>
      </c>
      <c r="R34" s="2"/>
      <c r="S34" s="84" t="s">
        <v>89</v>
      </c>
      <c r="T34" s="2"/>
      <c r="U34" s="2"/>
      <c r="V34" s="2"/>
      <c r="W34" s="2"/>
      <c r="X34" s="5"/>
      <c r="Y34" s="5"/>
    </row>
    <row r="35" spans="1:27" ht="9.75" customHeight="1" x14ac:dyDescent="0.35">
      <c r="A35" s="33" t="s">
        <v>41</v>
      </c>
      <c r="B35" s="20"/>
      <c r="C35" s="20"/>
      <c r="D35" s="20"/>
      <c r="E35" s="20"/>
      <c r="F35" s="20"/>
      <c r="G35" s="20"/>
      <c r="H35" s="20"/>
      <c r="I35" s="28"/>
      <c r="J35" s="28"/>
      <c r="K35" s="28"/>
      <c r="L35" s="28"/>
      <c r="M35" s="28"/>
      <c r="N35" s="2"/>
      <c r="O35" s="28"/>
      <c r="P35" s="2"/>
      <c r="Q35" s="28">
        <f t="shared" si="2"/>
        <v>0</v>
      </c>
      <c r="R35" s="2"/>
      <c r="S35" s="84" t="s">
        <v>89</v>
      </c>
      <c r="T35" s="2"/>
      <c r="U35" s="2"/>
      <c r="V35" s="2"/>
      <c r="W35" s="2"/>
      <c r="Z35" s="1" t="e">
        <f>SUM(O35+#REF!+M35+R35+T35+X35)</f>
        <v>#REF!</v>
      </c>
    </row>
    <row r="36" spans="1:27" s="2" customFormat="1" ht="9.75" customHeight="1" x14ac:dyDescent="0.35">
      <c r="A36" s="6" t="s">
        <v>40</v>
      </c>
      <c r="B36" s="20">
        <f>ROUND(('[3]Changes FY09'!B36),-3)</f>
        <v>1262155000</v>
      </c>
      <c r="C36" s="20">
        <f>ROUND(('[3]Changes FY09'!C36),-3)</f>
        <v>0</v>
      </c>
      <c r="D36" s="20">
        <f>ROUND(('[3]Changes FY09'!D36),-3)</f>
        <v>504584000</v>
      </c>
      <c r="E36" s="20">
        <f>ROUND(('[3]Changes FY09'!E36),-3)</f>
        <v>0</v>
      </c>
      <c r="F36" s="20">
        <f>ROUND(('[3]Changes FY09'!F36),-3)</f>
        <v>0</v>
      </c>
      <c r="G36" s="20">
        <f>ROUND(('[3]Changes FY09'!G36),-3)</f>
        <v>0</v>
      </c>
      <c r="H36" s="20">
        <f>ROUND(('[3]Changes FY09'!H36),-3)</f>
        <v>0</v>
      </c>
      <c r="I36" s="28">
        <f>SUM(B36:H36)</f>
        <v>1766739000</v>
      </c>
      <c r="J36" s="28"/>
      <c r="K36" s="29">
        <f>ROUND(('[3]Changes FY09'!K36),-3)</f>
        <v>0</v>
      </c>
      <c r="L36" s="29">
        <f>ROUND(('[3]Changes FY09'!L36),-3)</f>
        <v>0</v>
      </c>
      <c r="M36" s="28">
        <f>SUM(I36:L36)</f>
        <v>1766739000</v>
      </c>
      <c r="O36" s="28">
        <v>1658013000</v>
      </c>
      <c r="Q36" s="28">
        <f t="shared" si="2"/>
        <v>108726000</v>
      </c>
      <c r="S36" s="84">
        <f>Q36/O36</f>
        <v>6.5576084144092953E-2</v>
      </c>
    </row>
    <row r="37" spans="1:27" s="2" customFormat="1" ht="9.75" customHeight="1" x14ac:dyDescent="0.35">
      <c r="A37" s="2" t="s">
        <v>39</v>
      </c>
      <c r="B37" s="20">
        <f>ROUND(('[3]Changes FY09'!B37),-3)</f>
        <v>0</v>
      </c>
      <c r="C37" s="20">
        <f>ROUND(('[3]Changes FY09'!C37),-3)</f>
        <v>273526000</v>
      </c>
      <c r="D37" s="20">
        <f>ROUND(('[3]Changes FY09'!D37),-3)</f>
        <v>0</v>
      </c>
      <c r="E37" s="20">
        <f>ROUND(('[3]Changes FY09'!E37),-3)</f>
        <v>0</v>
      </c>
      <c r="F37" s="20">
        <f>ROUND(('[3]Changes FY09'!F37),-3)</f>
        <v>0</v>
      </c>
      <c r="G37" s="20">
        <f>ROUND(('[3]Changes FY09'!G37),-3)</f>
        <v>0</v>
      </c>
      <c r="H37" s="20">
        <f>ROUND(('[3]Changes FY09'!H37),-3)</f>
        <v>0</v>
      </c>
      <c r="I37" s="28">
        <f>SUM(B37:H37)</f>
        <v>273526000</v>
      </c>
      <c r="J37" s="28"/>
      <c r="K37" s="29">
        <f>ROUND(('[3]Changes FY09'!K37),-3)</f>
        <v>0</v>
      </c>
      <c r="L37" s="29">
        <f>ROUND(('[3]Changes FY09'!L37),-3)</f>
        <v>0</v>
      </c>
      <c r="M37" s="28">
        <f>SUM(I37:L37)</f>
        <v>273526000</v>
      </c>
      <c r="O37" s="28">
        <v>149402000</v>
      </c>
      <c r="Q37" s="28">
        <f t="shared" si="2"/>
        <v>124124000</v>
      </c>
      <c r="S37" s="84">
        <f>Q37/O37</f>
        <v>0.83080547783831538</v>
      </c>
    </row>
    <row r="38" spans="1:27" ht="9.75" customHeight="1" x14ac:dyDescent="0.35">
      <c r="A38" s="6" t="s">
        <v>38</v>
      </c>
      <c r="B38" s="20">
        <f>ROUND(('[3]Changes FY09'!B38),-3)</f>
        <v>0</v>
      </c>
      <c r="C38" s="20">
        <f>ROUND(('[3]Changes FY09'!C38),-3)</f>
        <v>5287000</v>
      </c>
      <c r="D38" s="20">
        <f>ROUND(('[3]Changes FY09'!D38),-3)</f>
        <v>0</v>
      </c>
      <c r="E38" s="20">
        <f>ROUND(('[3]Changes FY09'!E38),-3)</f>
        <v>0</v>
      </c>
      <c r="F38" s="20">
        <f>ROUND(('[3]Changes FY09'!F38),-3)</f>
        <v>114757000</v>
      </c>
      <c r="G38" s="20">
        <f>ROUND(('[3]Changes FY09'!G38),-3)</f>
        <v>0</v>
      </c>
      <c r="H38" s="20">
        <f>ROUND(('[3]Changes FY09'!H38),-3)</f>
        <v>0</v>
      </c>
      <c r="I38" s="28">
        <f>SUM(B38:H38)</f>
        <v>120044000</v>
      </c>
      <c r="J38" s="28"/>
      <c r="K38" s="29">
        <f>ROUND(('[3]Changes FY09'!K38),-3)</f>
        <v>0</v>
      </c>
      <c r="L38" s="29">
        <f>ROUND(('[3]Changes FY09'!L38),-3)</f>
        <v>0</v>
      </c>
      <c r="M38" s="28">
        <f>SUM(I38:L38)</f>
        <v>120044000</v>
      </c>
      <c r="N38" s="2"/>
      <c r="O38" s="28">
        <v>103629000</v>
      </c>
      <c r="P38" s="2"/>
      <c r="Q38" s="28">
        <f t="shared" si="2"/>
        <v>16415000</v>
      </c>
      <c r="R38" s="2"/>
      <c r="S38" s="84">
        <f>Q38/O38</f>
        <v>0.15840160572812631</v>
      </c>
      <c r="T38" s="2"/>
      <c r="U38" s="2"/>
      <c r="V38" s="2"/>
      <c r="W38" s="2"/>
    </row>
    <row r="39" spans="1:27" ht="9.75" customHeight="1" x14ac:dyDescent="0.35">
      <c r="A39" s="6" t="s">
        <v>37</v>
      </c>
      <c r="B39" s="20">
        <f>ROUND(('[3]Changes FY09'!B39),-3)</f>
        <v>0</v>
      </c>
      <c r="C39" s="20">
        <f>ROUND(('[3]Changes FY09'!C39),-3)</f>
        <v>32000</v>
      </c>
      <c r="D39" s="20">
        <f>ROUND(('[3]Changes FY09'!D39),-3)</f>
        <v>0</v>
      </c>
      <c r="E39" s="20">
        <f>ROUND(('[3]Changes FY09'!E39),-3)</f>
        <v>31328000</v>
      </c>
      <c r="F39" s="20">
        <f>ROUND(('[3]Changes FY09'!F39),-3)</f>
        <v>0</v>
      </c>
      <c r="G39" s="20">
        <f>ROUND(('[3]Changes FY09'!G39),-3)</f>
        <v>0</v>
      </c>
      <c r="H39" s="20">
        <f>ROUND(('[3]Changes FY09'!H39),-3)</f>
        <v>0</v>
      </c>
      <c r="I39" s="28">
        <f>SUM(B39:H39)</f>
        <v>31360000</v>
      </c>
      <c r="J39" s="28"/>
      <c r="K39" s="29">
        <f>ROUND(('[3]Changes FY09'!K39),-3)</f>
        <v>0</v>
      </c>
      <c r="L39" s="29">
        <f>ROUND(('[3]Changes FY09'!L39),-3)</f>
        <v>0</v>
      </c>
      <c r="M39" s="28">
        <f>SUM(I39:L39)</f>
        <v>31360000</v>
      </c>
      <c r="N39" s="2"/>
      <c r="O39" s="28">
        <v>22485000</v>
      </c>
      <c r="P39" s="2"/>
      <c r="Q39" s="28">
        <f t="shared" si="2"/>
        <v>8875000</v>
      </c>
      <c r="R39" s="2"/>
      <c r="S39" s="84">
        <f>Q39/O39</f>
        <v>0.39470758283299978</v>
      </c>
      <c r="T39" s="2"/>
      <c r="U39" s="2"/>
      <c r="V39" s="2"/>
      <c r="W39" s="2"/>
      <c r="Z39" s="1" t="e">
        <f>SUM(O39+#REF!+M39+R39+T39+X39)</f>
        <v>#REF!</v>
      </c>
    </row>
    <row r="40" spans="1:27" s="9" customFormat="1" ht="12" customHeight="1" x14ac:dyDescent="0.35">
      <c r="A40" s="37" t="s">
        <v>35</v>
      </c>
      <c r="B40" s="57">
        <f t="shared" ref="B40:M40" si="5">SUM(B36:B39)</f>
        <v>1262155000</v>
      </c>
      <c r="C40" s="57">
        <f t="shared" si="5"/>
        <v>278845000</v>
      </c>
      <c r="D40" s="57">
        <f t="shared" si="5"/>
        <v>504584000</v>
      </c>
      <c r="E40" s="57">
        <f t="shared" si="5"/>
        <v>31328000</v>
      </c>
      <c r="F40" s="57">
        <f t="shared" si="5"/>
        <v>114757000</v>
      </c>
      <c r="G40" s="57">
        <f t="shared" si="5"/>
        <v>0</v>
      </c>
      <c r="H40" s="57">
        <f t="shared" si="5"/>
        <v>0</v>
      </c>
      <c r="I40" s="56">
        <f t="shared" si="5"/>
        <v>2191669000</v>
      </c>
      <c r="J40" s="28">
        <f t="shared" si="5"/>
        <v>0</v>
      </c>
      <c r="K40" s="56">
        <f t="shared" si="5"/>
        <v>0</v>
      </c>
      <c r="L40" s="56">
        <f t="shared" si="5"/>
        <v>0</v>
      </c>
      <c r="M40" s="56">
        <f t="shared" si="5"/>
        <v>2191669000</v>
      </c>
      <c r="N40" s="2"/>
      <c r="O40" s="56">
        <f>SUM(O36:O39)</f>
        <v>1933529000</v>
      </c>
      <c r="P40" s="2"/>
      <c r="Q40" s="56">
        <f t="shared" si="2"/>
        <v>258140000</v>
      </c>
      <c r="R40" s="2"/>
      <c r="S40" s="84">
        <f>Q40/O40</f>
        <v>0.13350717780803908</v>
      </c>
      <c r="T40" s="2"/>
      <c r="U40" s="2"/>
      <c r="V40" s="2"/>
      <c r="W40" s="2"/>
      <c r="X40" s="36"/>
      <c r="Y40" s="36"/>
      <c r="Z40" s="9" t="e">
        <f>SUM(O40+#REF!+M40+R40+T40+X40)</f>
        <v>#REF!</v>
      </c>
      <c r="AA40" s="36" t="e">
        <f>SUM(#REF!)</f>
        <v>#REF!</v>
      </c>
    </row>
    <row r="41" spans="1:27" s="15" customFormat="1" ht="12" customHeight="1" x14ac:dyDescent="0.35">
      <c r="A41" s="55"/>
      <c r="B41" s="53"/>
      <c r="C41" s="53"/>
      <c r="D41" s="53"/>
      <c r="E41" s="53"/>
      <c r="F41" s="53"/>
      <c r="G41" s="53"/>
      <c r="H41" s="53"/>
      <c r="I41" s="43"/>
      <c r="J41" s="28"/>
      <c r="K41" s="43"/>
      <c r="L41" s="43"/>
      <c r="M41" s="43"/>
      <c r="N41" s="2"/>
      <c r="O41" s="43"/>
      <c r="P41" s="2"/>
      <c r="Q41" s="43">
        <f t="shared" si="2"/>
        <v>0</v>
      </c>
      <c r="R41" s="2"/>
      <c r="S41" s="84" t="s">
        <v>89</v>
      </c>
      <c r="T41" s="2"/>
      <c r="U41" s="2"/>
      <c r="V41" s="2"/>
      <c r="W41" s="2"/>
      <c r="X41" s="42"/>
      <c r="Y41" s="42"/>
      <c r="AA41" s="42"/>
    </row>
    <row r="42" spans="1:27" s="15" customFormat="1" ht="9.75" customHeight="1" x14ac:dyDescent="0.35">
      <c r="A42" s="54" t="s">
        <v>34</v>
      </c>
      <c r="B42" s="53"/>
      <c r="C42" s="53"/>
      <c r="D42" s="53"/>
      <c r="E42" s="53"/>
      <c r="F42" s="53"/>
      <c r="G42" s="53"/>
      <c r="H42" s="53"/>
      <c r="I42" s="43"/>
      <c r="J42" s="28"/>
      <c r="K42" s="28"/>
      <c r="L42" s="28"/>
      <c r="M42" s="28"/>
      <c r="N42" s="2"/>
      <c r="O42" s="28"/>
      <c r="P42" s="2"/>
      <c r="Q42" s="28">
        <f t="shared" si="2"/>
        <v>0</v>
      </c>
      <c r="R42" s="2"/>
      <c r="S42" s="84" t="s">
        <v>89</v>
      </c>
      <c r="T42" s="2"/>
      <c r="U42" s="2"/>
      <c r="V42" s="2"/>
      <c r="W42" s="2"/>
      <c r="X42" s="42"/>
      <c r="Y42" s="42"/>
      <c r="AA42" s="42"/>
    </row>
    <row r="43" spans="1:27" ht="12" customHeight="1" x14ac:dyDescent="0.35">
      <c r="A43" s="6" t="s">
        <v>33</v>
      </c>
      <c r="B43" s="20">
        <f>ROUND(('[3]Changes FY09'!B43),-3)</f>
        <v>-23067000</v>
      </c>
      <c r="C43" s="20">
        <f>ROUND(('[3]Changes FY09'!C43),-3)</f>
        <v>-1145000</v>
      </c>
      <c r="D43" s="20">
        <f>ROUND(('[3]Changes FY09'!D43),-3)</f>
        <v>0</v>
      </c>
      <c r="E43" s="20">
        <f>ROUND(('[3]Changes FY09'!E43),-3)</f>
        <v>24212000</v>
      </c>
      <c r="F43" s="20">
        <f>ROUND(('[3]Changes FY09'!F43),-3)</f>
        <v>0</v>
      </c>
      <c r="G43" s="20">
        <f>ROUND(('[3]Changes FY09'!G43),-3)</f>
        <v>0</v>
      </c>
      <c r="H43" s="20">
        <f>ROUND(('[3]Changes FY09'!H43),-3)</f>
        <v>0</v>
      </c>
      <c r="I43" s="28">
        <f t="shared" ref="I43:I51" si="6">SUM(B43:H43)</f>
        <v>0</v>
      </c>
      <c r="J43" s="28"/>
      <c r="K43" s="29">
        <f>ROUND(('[3]Changes FY09'!K43),-3)</f>
        <v>0</v>
      </c>
      <c r="L43" s="29">
        <f>ROUND(('[3]Changes FY09'!L43),-3)</f>
        <v>0</v>
      </c>
      <c r="M43" s="28">
        <f t="shared" ref="M43:M51" si="7">SUM(I43:L43)</f>
        <v>0</v>
      </c>
      <c r="N43" s="2"/>
      <c r="O43" s="28"/>
      <c r="P43" s="2"/>
      <c r="Q43" s="28">
        <f t="shared" si="2"/>
        <v>0</v>
      </c>
      <c r="R43" s="2"/>
      <c r="S43" s="84" t="s">
        <v>89</v>
      </c>
      <c r="T43" s="2"/>
      <c r="U43" s="2"/>
      <c r="V43" s="2"/>
      <c r="W43" s="2"/>
      <c r="Z43" s="1" t="e">
        <f>SUM(O43+#REF!+M43+R43+T43+X43)</f>
        <v>#REF!</v>
      </c>
    </row>
    <row r="44" spans="1:27" ht="9.75" customHeight="1" x14ac:dyDescent="0.35">
      <c r="A44" s="6" t="s">
        <v>32</v>
      </c>
      <c r="B44" s="20">
        <f>ROUND(('[3]Changes FY09'!B44),-3)</f>
        <v>0</v>
      </c>
      <c r="C44" s="20">
        <f>ROUND(('[3]Changes FY09'!C44),-3)</f>
        <v>0</v>
      </c>
      <c r="D44" s="20">
        <f>ROUND(('[3]Changes FY09'!D44),-3)</f>
        <v>0</v>
      </c>
      <c r="E44" s="20">
        <f>ROUND(('[3]Changes FY09'!E44),-3)</f>
        <v>0</v>
      </c>
      <c r="F44" s="20">
        <f>ROUND(('[3]Changes FY09'!F44),-3)</f>
        <v>0</v>
      </c>
      <c r="G44" s="20">
        <f>ROUND(('[3]Changes FY09'!G44),-3)</f>
        <v>0</v>
      </c>
      <c r="H44" s="20">
        <f>ROUND(('[3]Changes FY09'!H44),-3)</f>
        <v>0</v>
      </c>
      <c r="I44" s="28">
        <f t="shared" si="6"/>
        <v>0</v>
      </c>
      <c r="J44" s="28"/>
      <c r="K44" s="29">
        <f>ROUND(('[3]Changes FY09'!K44),-3)</f>
        <v>0</v>
      </c>
      <c r="L44" s="29">
        <f>ROUND(('[3]Changes FY09'!L44),-3)</f>
        <v>0</v>
      </c>
      <c r="M44" s="28">
        <f t="shared" si="7"/>
        <v>0</v>
      </c>
      <c r="N44" s="2"/>
      <c r="O44" s="28"/>
      <c r="P44" s="2"/>
      <c r="Q44" s="28">
        <f t="shared" si="2"/>
        <v>0</v>
      </c>
      <c r="R44" s="2"/>
      <c r="S44" s="84" t="s">
        <v>89</v>
      </c>
      <c r="T44" s="2"/>
      <c r="U44" s="2"/>
      <c r="V44" s="2"/>
      <c r="W44" s="2"/>
      <c r="Z44" s="1" t="e">
        <f>SUM(O44+#REF!+M44+R44+T44+X44)</f>
        <v>#REF!</v>
      </c>
    </row>
    <row r="45" spans="1:27" ht="9.75" customHeight="1" x14ac:dyDescent="0.35">
      <c r="A45" s="6" t="s">
        <v>31</v>
      </c>
      <c r="B45" s="20">
        <f>ROUND(('[3]Changes FY09'!B45),-3)</f>
        <v>-4959000</v>
      </c>
      <c r="C45" s="20">
        <f>ROUND(('[3]Changes FY09'!C45),-3)</f>
        <v>0</v>
      </c>
      <c r="D45" s="20">
        <f>ROUND(('[3]Changes FY09'!D45),-3)</f>
        <v>0</v>
      </c>
      <c r="E45" s="20">
        <f>ROUND(('[3]Changes FY09'!E45),-3)</f>
        <v>0</v>
      </c>
      <c r="F45" s="20">
        <f>ROUND(('[3]Changes FY09'!F45),-3)</f>
        <v>0</v>
      </c>
      <c r="G45" s="20">
        <f>ROUND(('[3]Changes FY09'!G45),-3)</f>
        <v>4959000</v>
      </c>
      <c r="H45" s="20">
        <f>ROUND(('[3]Changes FY09'!H45),-3)</f>
        <v>0</v>
      </c>
      <c r="I45" s="28">
        <f t="shared" si="6"/>
        <v>0</v>
      </c>
      <c r="J45" s="28"/>
      <c r="K45" s="29">
        <f>ROUND(('[3]Changes FY09'!K45),-3)</f>
        <v>0</v>
      </c>
      <c r="L45" s="29">
        <f>ROUND(('[3]Changes FY09'!L45),-3)</f>
        <v>0</v>
      </c>
      <c r="M45" s="28">
        <f t="shared" si="7"/>
        <v>0</v>
      </c>
      <c r="N45" s="2"/>
      <c r="O45" s="28"/>
      <c r="P45" s="2"/>
      <c r="Q45" s="28">
        <f t="shared" si="2"/>
        <v>0</v>
      </c>
      <c r="R45" s="2"/>
      <c r="S45" s="84" t="s">
        <v>89</v>
      </c>
      <c r="T45" s="2"/>
      <c r="U45" s="2"/>
      <c r="V45" s="2"/>
      <c r="W45" s="2"/>
    </row>
    <row r="46" spans="1:27" ht="9.75" customHeight="1" x14ac:dyDescent="0.35">
      <c r="A46" s="6" t="s">
        <v>30</v>
      </c>
      <c r="B46" s="20">
        <f>ROUND(('[3]Changes FY09'!B46),-3)</f>
        <v>-24604000</v>
      </c>
      <c r="C46" s="20">
        <f>ROUND(('[3]Changes FY09'!C46),-3)</f>
        <v>-1668000</v>
      </c>
      <c r="D46" s="20">
        <f>ROUND(('[3]Changes FY09'!D46),-3)</f>
        <v>-39000</v>
      </c>
      <c r="E46" s="20">
        <f>ROUND(('[3]Changes FY09'!E46),-3)</f>
        <v>26311000</v>
      </c>
      <c r="F46" s="20">
        <f>ROUND(('[3]Changes FY09'!F46),-3)</f>
        <v>0</v>
      </c>
      <c r="G46" s="20">
        <f>ROUND(('[3]Changes FY09'!G46),-3)</f>
        <v>0</v>
      </c>
      <c r="H46" s="20">
        <f>ROUND(('[3]Changes FY09'!H46),-3)</f>
        <v>0</v>
      </c>
      <c r="I46" s="28">
        <f t="shared" si="6"/>
        <v>0</v>
      </c>
      <c r="J46" s="28"/>
      <c r="K46" s="29">
        <f>ROUND(('[3]Changes FY09'!K46),-3)</f>
        <v>0</v>
      </c>
      <c r="L46" s="29">
        <f>ROUND(('[3]Changes FY09'!L46),-3)</f>
        <v>0</v>
      </c>
      <c r="M46" s="28">
        <f t="shared" si="7"/>
        <v>0</v>
      </c>
      <c r="N46" s="2"/>
      <c r="O46" s="28"/>
      <c r="P46" s="2"/>
      <c r="Q46" s="28">
        <f t="shared" si="2"/>
        <v>0</v>
      </c>
      <c r="R46" s="2"/>
      <c r="S46" s="84" t="s">
        <v>89</v>
      </c>
      <c r="T46" s="2"/>
      <c r="U46" s="2"/>
      <c r="V46" s="2"/>
      <c r="W46" s="2"/>
    </row>
    <row r="47" spans="1:27" ht="9.75" customHeight="1" x14ac:dyDescent="0.35">
      <c r="A47" s="6" t="s">
        <v>29</v>
      </c>
      <c r="B47" s="20">
        <f>ROUND(('[3]Changes FY09'!B47),-3)</f>
        <v>35041000</v>
      </c>
      <c r="C47" s="20">
        <f>ROUND(('[3]Changes FY09'!C47),-3)</f>
        <v>0</v>
      </c>
      <c r="D47" s="20">
        <f>ROUND(('[3]Changes FY09'!D47),-3)</f>
        <v>49430000</v>
      </c>
      <c r="E47" s="20">
        <f>ROUND(('[3]Changes FY09'!E47),-3)</f>
        <v>0</v>
      </c>
      <c r="F47" s="20">
        <f>ROUND(('[3]Changes FY09'!F47),-3)</f>
        <v>0</v>
      </c>
      <c r="G47" s="20">
        <f>ROUND(('[3]Changes FY09'!G47),-3)</f>
        <v>-84471000</v>
      </c>
      <c r="H47" s="20">
        <f>ROUND(('[3]Changes FY09'!H47),-3)</f>
        <v>0</v>
      </c>
      <c r="I47" s="28">
        <f t="shared" si="6"/>
        <v>0</v>
      </c>
      <c r="J47" s="28"/>
      <c r="K47" s="29">
        <f>ROUND(('[3]Changes FY09'!K47),-3)</f>
        <v>0</v>
      </c>
      <c r="L47" s="29">
        <f>ROUND(('[3]Changes FY09'!L47),-3)</f>
        <v>0</v>
      </c>
      <c r="M47" s="28">
        <f t="shared" si="7"/>
        <v>0</v>
      </c>
      <c r="N47" s="2"/>
      <c r="O47" s="28"/>
      <c r="P47" s="2"/>
      <c r="Q47" s="28">
        <f t="shared" ref="Q47:Q76" si="8">M47-O47</f>
        <v>0</v>
      </c>
      <c r="R47" s="2"/>
      <c r="S47" s="84" t="s">
        <v>89</v>
      </c>
      <c r="T47" s="2"/>
      <c r="U47" s="2"/>
      <c r="V47" s="2"/>
      <c r="W47" s="2"/>
    </row>
    <row r="48" spans="1:27" ht="9.75" customHeight="1" x14ac:dyDescent="0.35">
      <c r="A48" s="6" t="s">
        <v>28</v>
      </c>
      <c r="B48" s="20">
        <f>ROUND(('[3]Changes FY09'!B48),-3)</f>
        <v>57448000</v>
      </c>
      <c r="C48" s="20">
        <f>ROUND(('[3]Changes FY09'!C48),-3)</f>
        <v>-34000</v>
      </c>
      <c r="D48" s="20">
        <f>ROUND(('[3]Changes FY09'!D48),-3)</f>
        <v>-57414000</v>
      </c>
      <c r="E48" s="20">
        <f>ROUND(('[3]Changes FY09'!E48),-3)</f>
        <v>0</v>
      </c>
      <c r="F48" s="20">
        <f>ROUND(('[3]Changes FY09'!F48),-3)</f>
        <v>0</v>
      </c>
      <c r="G48" s="20">
        <f>ROUND(('[3]Changes FY09'!G48),-3)</f>
        <v>0</v>
      </c>
      <c r="H48" s="20">
        <f>ROUND(('[3]Changes FY09'!H48),-3)</f>
        <v>0</v>
      </c>
      <c r="I48" s="28">
        <f t="shared" si="6"/>
        <v>0</v>
      </c>
      <c r="J48" s="28"/>
      <c r="K48" s="29">
        <f>ROUND(('[3]Changes FY09'!K48),-3)</f>
        <v>0</v>
      </c>
      <c r="L48" s="29">
        <f>ROUND(('[3]Changes FY09'!L48),-3)</f>
        <v>0</v>
      </c>
      <c r="M48" s="28">
        <f t="shared" si="7"/>
        <v>0</v>
      </c>
      <c r="N48" s="2"/>
      <c r="O48" s="28"/>
      <c r="P48" s="2"/>
      <c r="Q48" s="28">
        <f t="shared" si="8"/>
        <v>0</v>
      </c>
      <c r="R48" s="2"/>
      <c r="S48" s="84" t="s">
        <v>89</v>
      </c>
      <c r="T48" s="2"/>
      <c r="U48" s="2"/>
      <c r="V48" s="2"/>
      <c r="W48" s="2"/>
    </row>
    <row r="49" spans="1:28" ht="9.75" customHeight="1" x14ac:dyDescent="0.35">
      <c r="A49" s="52" t="s">
        <v>27</v>
      </c>
      <c r="B49" s="20">
        <f>ROUND(('[3]Changes FY09'!B49),-3)</f>
        <v>-26827000</v>
      </c>
      <c r="C49" s="20">
        <f>ROUND(('[3]Changes FY09'!C49),-3)</f>
        <v>-20854000</v>
      </c>
      <c r="D49" s="20">
        <f>ROUND(('[3]Changes FY09'!D49),-3)</f>
        <v>-37129000</v>
      </c>
      <c r="E49" s="20">
        <f>ROUND(('[3]Changes FY09'!E49),-3)</f>
        <v>97593000</v>
      </c>
      <c r="F49" s="20">
        <f>ROUND(('[3]Changes FY09'!F49),-3)</f>
        <v>0</v>
      </c>
      <c r="G49" s="20">
        <f>ROUND(('[3]Changes FY09'!G49),-3)+1000</f>
        <v>-12783000</v>
      </c>
      <c r="H49" s="20">
        <f>ROUND(('[3]Changes FY09'!H49),-3)</f>
        <v>0</v>
      </c>
      <c r="I49" s="28">
        <f t="shared" si="6"/>
        <v>0</v>
      </c>
      <c r="J49" s="28"/>
      <c r="K49" s="29">
        <f>ROUND(('[3]Changes FY09'!K49),-3)</f>
        <v>0</v>
      </c>
      <c r="L49" s="29">
        <f>ROUND(('[3]Changes FY09'!L49),-3)</f>
        <v>0</v>
      </c>
      <c r="M49" s="28">
        <f t="shared" si="7"/>
        <v>0</v>
      </c>
      <c r="N49" s="2"/>
      <c r="O49" s="28"/>
      <c r="P49" s="2"/>
      <c r="Q49" s="28">
        <f t="shared" si="8"/>
        <v>0</v>
      </c>
      <c r="R49" s="2"/>
      <c r="S49" s="84" t="s">
        <v>89</v>
      </c>
      <c r="T49" s="2"/>
      <c r="U49" s="2"/>
      <c r="V49" s="2"/>
      <c r="W49" s="2"/>
      <c r="Z49" s="1" t="e">
        <f>SUM(O49+#REF!+M49+R49+T49+X49)</f>
        <v>#REF!</v>
      </c>
    </row>
    <row r="50" spans="1:28" ht="9.75" customHeight="1" x14ac:dyDescent="0.35">
      <c r="A50" s="52" t="s">
        <v>26</v>
      </c>
      <c r="B50" s="20">
        <f>ROUND(('[3]Changes FY09'!B50),-3)</f>
        <v>0</v>
      </c>
      <c r="C50" s="20">
        <f>ROUND(('[3]Changes FY09'!C50),-3)</f>
        <v>0</v>
      </c>
      <c r="D50" s="20">
        <f>ROUND(('[3]Changes FY09'!D50),-3)</f>
        <v>0</v>
      </c>
      <c r="E50" s="20">
        <f>ROUND(('[3]Changes FY09'!E50),-3)</f>
        <v>0</v>
      </c>
      <c r="F50" s="20">
        <f>ROUND(('[3]Changes FY09'!F50),-3)</f>
        <v>0</v>
      </c>
      <c r="G50" s="20">
        <f>ROUND(('[3]Changes FY09'!G50),-3)</f>
        <v>0</v>
      </c>
      <c r="H50" s="20">
        <f>ROUND(('[3]Changes FY09'!H50),-3)</f>
        <v>0</v>
      </c>
      <c r="I50" s="28">
        <f t="shared" si="6"/>
        <v>0</v>
      </c>
      <c r="J50" s="28"/>
      <c r="K50" s="29"/>
      <c r="L50" s="29"/>
      <c r="M50" s="28">
        <f t="shared" si="7"/>
        <v>0</v>
      </c>
      <c r="N50" s="2"/>
      <c r="O50" s="28"/>
      <c r="P50" s="2"/>
      <c r="Q50" s="28">
        <f t="shared" si="8"/>
        <v>0</v>
      </c>
      <c r="R50" s="2"/>
      <c r="S50" s="84" t="s">
        <v>89</v>
      </c>
      <c r="T50" s="2"/>
      <c r="U50" s="2"/>
      <c r="V50" s="2"/>
      <c r="W50" s="2"/>
    </row>
    <row r="51" spans="1:28" ht="9.75" customHeight="1" x14ac:dyDescent="0.35">
      <c r="A51" s="6" t="s">
        <v>25</v>
      </c>
      <c r="B51" s="20">
        <f>ROUND(('[3]Changes FY09'!B51),-3)</f>
        <v>-19026000</v>
      </c>
      <c r="C51" s="20">
        <f>ROUND(('[3]Changes FY09'!C51),-3)+1000</f>
        <v>-251000</v>
      </c>
      <c r="D51" s="20">
        <f>ROUND(('[3]Changes FY09'!D51),-3)</f>
        <v>4054000</v>
      </c>
      <c r="E51" s="20">
        <f>ROUND(('[3]Changes FY09'!E51),-3)-1000</f>
        <v>-229819000</v>
      </c>
      <c r="F51" s="20">
        <f>ROUND(('[3]Changes FY09'!F51),-3)</f>
        <v>245042000</v>
      </c>
      <c r="G51" s="20">
        <f>ROUND(('[3]Changes FY09'!G51),-3)</f>
        <v>0</v>
      </c>
      <c r="H51" s="20">
        <f>ROUND(('[3]Changes FY09'!H51),-3)</f>
        <v>0</v>
      </c>
      <c r="I51" s="28">
        <f t="shared" si="6"/>
        <v>0</v>
      </c>
      <c r="J51" s="28"/>
      <c r="K51" s="29">
        <f>ROUND(('[3]Changes FY09'!K51),-3)</f>
        <v>0</v>
      </c>
      <c r="L51" s="29">
        <f>ROUND(('[3]Changes FY09'!L51),-3)</f>
        <v>0</v>
      </c>
      <c r="M51" s="28">
        <f t="shared" si="7"/>
        <v>0</v>
      </c>
      <c r="N51" s="2"/>
      <c r="O51" s="28"/>
      <c r="P51" s="2"/>
      <c r="Q51" s="28">
        <f t="shared" si="8"/>
        <v>0</v>
      </c>
      <c r="R51" s="2"/>
      <c r="S51" s="84" t="s">
        <v>89</v>
      </c>
      <c r="T51" s="2"/>
      <c r="U51" s="2"/>
      <c r="V51" s="2"/>
      <c r="W51" s="2"/>
    </row>
    <row r="52" spans="1:28" s="15" customFormat="1" ht="11.7" x14ac:dyDescent="0.4">
      <c r="A52" s="49" t="s">
        <v>21</v>
      </c>
      <c r="B52" s="83">
        <f t="shared" ref="B52:I52" si="9">+B33-B40+SUM(B43:B51)</f>
        <v>0</v>
      </c>
      <c r="C52" s="83">
        <f t="shared" si="9"/>
        <v>-17828000</v>
      </c>
      <c r="D52" s="83">
        <f t="shared" si="9"/>
        <v>-6656000</v>
      </c>
      <c r="E52" s="83">
        <f t="shared" si="9"/>
        <v>-37859000</v>
      </c>
      <c r="F52" s="83">
        <f t="shared" si="9"/>
        <v>124145000</v>
      </c>
      <c r="G52" s="83">
        <f t="shared" si="9"/>
        <v>-1009190000</v>
      </c>
      <c r="H52" s="83">
        <f t="shared" si="9"/>
        <v>-4098000</v>
      </c>
      <c r="I52" s="56">
        <f t="shared" si="9"/>
        <v>-951486000</v>
      </c>
      <c r="J52" s="47"/>
      <c r="K52" s="56">
        <f>+K33-K40+SUM(K43:K51)</f>
        <v>55517000</v>
      </c>
      <c r="L52" s="56">
        <f>+L33-L40+SUM(L43:L51)</f>
        <v>25583000</v>
      </c>
      <c r="M52" s="56">
        <f>+M33-M40+SUM(M43:M51)</f>
        <v>-870386000</v>
      </c>
      <c r="N52" s="2"/>
      <c r="O52" s="56">
        <f>+O33-O40+SUM(O43:O51)</f>
        <v>-31153000</v>
      </c>
      <c r="P52" s="2"/>
      <c r="Q52" s="56">
        <f t="shared" si="8"/>
        <v>-839233000</v>
      </c>
      <c r="R52" s="2"/>
      <c r="S52" s="84">
        <f>Q52/O52</f>
        <v>26.93907488845376</v>
      </c>
      <c r="T52" s="2"/>
      <c r="U52" s="2"/>
      <c r="V52" s="2"/>
      <c r="W52" s="2"/>
      <c r="X52" s="42"/>
      <c r="Y52" s="42"/>
    </row>
    <row r="53" spans="1:28" s="15" customFormat="1" ht="11.7" x14ac:dyDescent="0.4">
      <c r="A53" s="49" t="s">
        <v>91</v>
      </c>
      <c r="B53" s="86"/>
      <c r="C53" s="86"/>
      <c r="D53" s="86"/>
      <c r="E53" s="86"/>
      <c r="F53" s="86"/>
      <c r="G53" s="20">
        <f>ROUND(('[3]Changes FY09'!G53),-3)</f>
        <v>-675170000</v>
      </c>
      <c r="H53" s="86"/>
      <c r="I53" s="28">
        <f>SUM(B53:H53)</f>
        <v>-675170000</v>
      </c>
      <c r="J53" s="47"/>
      <c r="K53" s="29">
        <f>ROUND(('[3]Changes FY09'!K53),-3)</f>
        <v>675170000</v>
      </c>
      <c r="L53" s="43"/>
      <c r="M53" s="28">
        <f>SUM(I53:L53)</f>
        <v>0</v>
      </c>
      <c r="N53" s="2"/>
      <c r="O53" s="28"/>
      <c r="P53" s="2"/>
      <c r="Q53" s="28">
        <f t="shared" si="8"/>
        <v>0</v>
      </c>
      <c r="R53" s="2"/>
      <c r="S53" s="84" t="s">
        <v>89</v>
      </c>
      <c r="T53" s="2"/>
      <c r="U53" s="2"/>
      <c r="V53" s="2"/>
      <c r="W53" s="2"/>
      <c r="X53" s="42"/>
      <c r="Y53" s="42"/>
    </row>
    <row r="54" spans="1:28" s="15" customFormat="1" ht="11.35" x14ac:dyDescent="0.35">
      <c r="A54" s="45" t="s">
        <v>20</v>
      </c>
      <c r="B54" s="40">
        <f>ROUND(('[3]Changes FY09'!B54),-3)</f>
        <v>0</v>
      </c>
      <c r="C54" s="44">
        <f>ROUND(('[3]Changes FY09'!C54),-3)</f>
        <v>0</v>
      </c>
      <c r="D54" s="40">
        <f>ROUND(('[3]Changes FY09'!D54),-3)</f>
        <v>0</v>
      </c>
      <c r="E54" s="44">
        <f>ROUND(('[3]Changes FY09'!E54),-3)</f>
        <v>0</v>
      </c>
      <c r="F54" s="44">
        <f>ROUND(('[3]Changes FY09'!F54),-3)</f>
        <v>0</v>
      </c>
      <c r="G54" s="44">
        <f>ROUND(('[3]Changes FY09'!G54),-3)</f>
        <v>0</v>
      </c>
      <c r="H54" s="44">
        <f>ROUND(('[3]Changes FY09'!H54),-3)</f>
        <v>0</v>
      </c>
      <c r="I54" s="28">
        <f>SUM(B54:H54)</f>
        <v>0</v>
      </c>
      <c r="J54" s="28"/>
      <c r="K54" s="28"/>
      <c r="L54" s="43"/>
      <c r="M54" s="28">
        <f>SUM(I54:L54)</f>
        <v>0</v>
      </c>
      <c r="N54" s="2"/>
      <c r="O54" s="28"/>
      <c r="P54" s="2"/>
      <c r="Q54" s="28">
        <f t="shared" si="8"/>
        <v>0</v>
      </c>
      <c r="R54" s="2"/>
      <c r="S54" s="84" t="s">
        <v>89</v>
      </c>
      <c r="T54" s="2"/>
      <c r="U54" s="2"/>
      <c r="V54" s="2"/>
      <c r="W54" s="2"/>
      <c r="X54" s="42"/>
      <c r="Y54" s="42"/>
    </row>
    <row r="55" spans="1:28" ht="12" customHeight="1" x14ac:dyDescent="0.35">
      <c r="A55" s="41" t="s">
        <v>19</v>
      </c>
      <c r="B55" s="40">
        <f>ROUND(('[3]Changes FY09'!B55),-3)</f>
        <v>0</v>
      </c>
      <c r="C55" s="40">
        <f>ROUND(('[3]Changes FY09'!C55),-3)</f>
        <v>-26901000</v>
      </c>
      <c r="D55" s="40">
        <f>ROUND(('[3]Changes FY09'!D55),-3)</f>
        <v>508774000</v>
      </c>
      <c r="E55" s="40">
        <f>ROUND(('[3]Changes FY09'!E55),-3)</f>
        <v>185220000</v>
      </c>
      <c r="F55" s="40">
        <f>ROUND(('[3]Changes FY09'!F55),-3)</f>
        <v>538449000</v>
      </c>
      <c r="G55" s="40">
        <f>ROUND(('[3]Changes FY09'!G55),-3)</f>
        <v>2441301000</v>
      </c>
      <c r="H55" s="40">
        <f>ROUND(('[3]Changes FY09'!H55),-3)</f>
        <v>-3474000</v>
      </c>
      <c r="I55" s="39">
        <f>SUM(B55:H55)</f>
        <v>3643369000</v>
      </c>
      <c r="J55" s="28"/>
      <c r="K55" s="38">
        <f>ROUND(('[3]Changes FY09'!K55),-3)</f>
        <v>214957000</v>
      </c>
      <c r="L55" s="38">
        <f>ROUND(('[3]Changes FY09'!L55),-3)</f>
        <v>1318117000</v>
      </c>
      <c r="M55" s="38">
        <f>SUM(I55:L55)</f>
        <v>5176443000</v>
      </c>
      <c r="N55" s="2"/>
      <c r="O55" s="38">
        <v>5207596000</v>
      </c>
      <c r="P55" s="2"/>
      <c r="Q55" s="38">
        <f t="shared" si="8"/>
        <v>-31153000</v>
      </c>
      <c r="R55" s="2"/>
      <c r="S55" s="84">
        <f>Q55/O55</f>
        <v>-5.9822228913302801E-3</v>
      </c>
      <c r="T55" s="2"/>
      <c r="U55" s="2"/>
      <c r="V55" s="2"/>
      <c r="W55" s="2"/>
      <c r="X55" s="5"/>
      <c r="Y55" s="5"/>
      <c r="Z55" s="1" t="e">
        <f>SUM(O55+#REF!+M55+R55+T55+X55)</f>
        <v>#REF!</v>
      </c>
      <c r="AA55" s="1">
        <f>Y56</f>
        <v>0</v>
      </c>
      <c r="AB55" s="1">
        <f>Y55</f>
        <v>0</v>
      </c>
    </row>
    <row r="56" spans="1:28" s="9" customFormat="1" ht="12" customHeight="1" x14ac:dyDescent="0.35">
      <c r="A56" s="37" t="s">
        <v>18</v>
      </c>
      <c r="B56" s="85">
        <f t="shared" ref="B56:M56" si="10">SUM(B52:B55)</f>
        <v>0</v>
      </c>
      <c r="C56" s="85">
        <f t="shared" si="10"/>
        <v>-44729000</v>
      </c>
      <c r="D56" s="85">
        <f t="shared" si="10"/>
        <v>502118000</v>
      </c>
      <c r="E56" s="85">
        <f t="shared" si="10"/>
        <v>147361000</v>
      </c>
      <c r="F56" s="85">
        <f t="shared" si="10"/>
        <v>662594000</v>
      </c>
      <c r="G56" s="85">
        <f t="shared" si="10"/>
        <v>756941000</v>
      </c>
      <c r="H56" s="85">
        <f t="shared" si="10"/>
        <v>-7572000</v>
      </c>
      <c r="I56" s="23">
        <f t="shared" si="10"/>
        <v>2016713000</v>
      </c>
      <c r="J56" s="32">
        <f t="shared" si="10"/>
        <v>0</v>
      </c>
      <c r="K56" s="23">
        <f t="shared" si="10"/>
        <v>945644000</v>
      </c>
      <c r="L56" s="23">
        <f t="shared" si="10"/>
        <v>1343700000</v>
      </c>
      <c r="M56" s="23">
        <f t="shared" si="10"/>
        <v>4306057000</v>
      </c>
      <c r="N56" s="22">
        <f>M52+SUM(M54:M55)</f>
        <v>4306057000</v>
      </c>
      <c r="O56" s="23">
        <f>O55+O52</f>
        <v>5176443000</v>
      </c>
      <c r="P56" s="2"/>
      <c r="Q56" s="23">
        <f t="shared" si="8"/>
        <v>-870386000</v>
      </c>
      <c r="R56" s="2"/>
      <c r="S56" s="84">
        <f>Q56/O56</f>
        <v>-0.16814364612920493</v>
      </c>
      <c r="T56" s="2"/>
      <c r="U56" s="2"/>
      <c r="V56" s="2"/>
      <c r="W56" s="2"/>
      <c r="X56" s="36"/>
      <c r="Y56" s="36"/>
      <c r="Z56" s="9" t="e">
        <f>SUM(O56+#REF!+M56+R56+T56+X56)</f>
        <v>#REF!</v>
      </c>
      <c r="AA56" s="9">
        <f>SUM(AA54:AA55)</f>
        <v>0</v>
      </c>
      <c r="AB56" s="9">
        <f>SUM(AB54:AB55)</f>
        <v>0</v>
      </c>
    </row>
    <row r="57" spans="1:28" s="7" customFormat="1" ht="2.1" customHeight="1" x14ac:dyDescent="0.35">
      <c r="B57" s="35"/>
      <c r="C57" s="35"/>
      <c r="D57" s="35"/>
      <c r="E57" s="35"/>
      <c r="F57" s="35"/>
      <c r="G57" s="35"/>
      <c r="H57" s="35"/>
      <c r="I57" s="34"/>
      <c r="J57" s="28"/>
      <c r="K57" s="34"/>
      <c r="L57" s="34"/>
      <c r="M57" s="34"/>
      <c r="N57" s="2"/>
      <c r="O57" s="34"/>
      <c r="P57" s="2"/>
      <c r="Q57" s="34">
        <f t="shared" si="8"/>
        <v>0</v>
      </c>
      <c r="R57" s="2"/>
      <c r="S57" s="84" t="e">
        <f>Q57/O57</f>
        <v>#DIV/0!</v>
      </c>
      <c r="T57" s="2"/>
      <c r="U57" s="2"/>
      <c r="V57" s="2"/>
      <c r="W57" s="2"/>
      <c r="X57" s="8"/>
      <c r="Y57" s="8"/>
      <c r="Z57" s="8"/>
    </row>
    <row r="58" spans="1:28" ht="9.9499999999999993" customHeight="1" x14ac:dyDescent="0.35">
      <c r="A58" s="2"/>
      <c r="B58" s="20"/>
      <c r="C58" s="20"/>
      <c r="D58" s="20"/>
      <c r="E58" s="20"/>
      <c r="F58" s="20"/>
      <c r="G58" s="20"/>
      <c r="H58" s="20"/>
      <c r="I58" s="28"/>
      <c r="J58" s="28"/>
      <c r="K58" s="28"/>
      <c r="L58" s="28"/>
      <c r="M58" s="28"/>
      <c r="N58" s="2"/>
      <c r="O58" s="28"/>
      <c r="P58" s="2"/>
      <c r="Q58" s="28">
        <f t="shared" si="8"/>
        <v>0</v>
      </c>
      <c r="R58" s="2"/>
      <c r="S58" s="84" t="s">
        <v>89</v>
      </c>
      <c r="T58" s="2"/>
      <c r="U58" s="2"/>
      <c r="V58" s="2"/>
      <c r="W58" s="2"/>
    </row>
    <row r="59" spans="1:28" ht="9.9499999999999993" customHeight="1" x14ac:dyDescent="0.35">
      <c r="A59" s="33" t="s">
        <v>17</v>
      </c>
      <c r="B59" s="20"/>
      <c r="C59" s="20"/>
      <c r="D59" s="20"/>
      <c r="E59" s="20"/>
      <c r="F59" s="20"/>
      <c r="G59" s="20"/>
      <c r="H59" s="20"/>
      <c r="I59" s="28"/>
      <c r="J59" s="28"/>
      <c r="K59" s="28"/>
      <c r="L59" s="28"/>
      <c r="M59" s="28"/>
      <c r="N59" s="2"/>
      <c r="O59" s="28"/>
      <c r="P59" s="2"/>
      <c r="Q59" s="28">
        <f t="shared" si="8"/>
        <v>0</v>
      </c>
      <c r="R59" s="2"/>
      <c r="S59" s="84" t="s">
        <v>89</v>
      </c>
      <c r="T59" s="2"/>
      <c r="U59" s="2"/>
      <c r="V59" s="2"/>
      <c r="W59" s="2"/>
    </row>
    <row r="60" spans="1:28" s="2" customFormat="1" ht="9.9499999999999993" customHeight="1" x14ac:dyDescent="0.35">
      <c r="A60" s="6" t="s">
        <v>16</v>
      </c>
      <c r="B60" s="20">
        <f>ROUND(('[3]Changes FY09'!B60),-3)</f>
        <v>0</v>
      </c>
      <c r="C60" s="30">
        <f>ROUND(('[3]Changes FY09'!C60),-3)+1000</f>
        <v>-38027000</v>
      </c>
      <c r="D60" s="30">
        <f>ROUND(('[3]Changes FY09'!D60),-3)</f>
        <v>59197000</v>
      </c>
      <c r="E60" s="20">
        <f>ROUND(('[3]Changes FY09'!E60),-3)</f>
        <v>0</v>
      </c>
      <c r="F60" s="30">
        <f>ROUND(('[3]Changes FY09'!F60),-3)</f>
        <v>-4071000</v>
      </c>
      <c r="G60" s="20">
        <f>ROUND(('[3]Changes FY09'!G60),-3)</f>
        <v>0</v>
      </c>
      <c r="H60" s="30">
        <f>ROUND(('[3]Changes FY09'!H60),-3)</f>
        <v>-12216000</v>
      </c>
      <c r="I60" s="32">
        <f t="shared" ref="I60:I75" si="11">SUM(B60:H60)</f>
        <v>4883000</v>
      </c>
      <c r="J60" s="28"/>
      <c r="K60" s="29">
        <f>ROUND(('[3]Changes FY09'!K60),-3)</f>
        <v>0</v>
      </c>
      <c r="L60" s="29">
        <f>ROUND(('[3]Changes FY09'!L60),-3)</f>
        <v>0</v>
      </c>
      <c r="M60" s="32">
        <f t="shared" ref="M60:M75" si="12">SUM(I60:L60)</f>
        <v>4883000</v>
      </c>
      <c r="O60" s="32">
        <v>10489000</v>
      </c>
      <c r="Q60" s="32">
        <f t="shared" si="8"/>
        <v>-5606000</v>
      </c>
      <c r="S60" s="84">
        <f>Q60/O60</f>
        <v>-0.53446467728096103</v>
      </c>
    </row>
    <row r="61" spans="1:28" s="2" customFormat="1" ht="9.9499999999999993" customHeight="1" x14ac:dyDescent="0.35">
      <c r="A61" s="6" t="s">
        <v>15</v>
      </c>
      <c r="B61" s="20">
        <f>ROUND(('[3]Changes FY09'!B61),-3)</f>
        <v>0</v>
      </c>
      <c r="C61" s="20">
        <f>ROUND(('[3]Changes FY09'!C61),-3)</f>
        <v>0</v>
      </c>
      <c r="D61" s="20">
        <f>ROUND(('[3]Changes FY09'!D61),-3)+1000</f>
        <v>290823000</v>
      </c>
      <c r="E61" s="30">
        <f>ROUND(('[3]Changes FY09'!E61),-3)</f>
        <v>77475000</v>
      </c>
      <c r="F61" s="20">
        <f>ROUND(('[3]Changes FY09'!F61),-3)</f>
        <v>0</v>
      </c>
      <c r="G61" s="20">
        <f>ROUND(('[3]Changes FY09'!G61),-3)</f>
        <v>0</v>
      </c>
      <c r="H61" s="20">
        <f>ROUND(('[3]Changes FY09'!H61),-3)</f>
        <v>4644000</v>
      </c>
      <c r="I61" s="28">
        <f t="shared" si="11"/>
        <v>372942000</v>
      </c>
      <c r="J61" s="28"/>
      <c r="K61" s="29">
        <f>ROUND(('[3]Changes FY09'!K61),-3)</f>
        <v>0</v>
      </c>
      <c r="L61" s="29">
        <f>ROUND(('[3]Changes FY09'!L61),-3)</f>
        <v>0</v>
      </c>
      <c r="M61" s="28">
        <f t="shared" si="12"/>
        <v>372942000</v>
      </c>
      <c r="O61" s="28">
        <v>425385000</v>
      </c>
      <c r="Q61" s="28">
        <f t="shared" si="8"/>
        <v>-52443000</v>
      </c>
      <c r="S61" s="84">
        <f>Q61/O61</f>
        <v>-0.12328361366761875</v>
      </c>
    </row>
    <row r="62" spans="1:28" s="2" customFormat="1" x14ac:dyDescent="0.35">
      <c r="A62" s="6" t="s">
        <v>14</v>
      </c>
      <c r="B62" s="20">
        <f>ROUND(('[3]Changes FY09'!B62),-3)</f>
        <v>0</v>
      </c>
      <c r="C62" s="20">
        <f>ROUND(('[3]Changes FY09'!C62),-3)</f>
        <v>0</v>
      </c>
      <c r="D62" s="20">
        <f>ROUND(('[3]Changes FY09'!D62),-3)</f>
        <v>0</v>
      </c>
      <c r="E62" s="20">
        <f>ROUND(('[3]Changes FY09'!E62),-3)</f>
        <v>0</v>
      </c>
      <c r="F62" s="20">
        <f>ROUND(('[3]Changes FY09'!F62),-3)</f>
        <v>0</v>
      </c>
      <c r="G62" s="20">
        <f>ROUND(('[3]Changes FY09'!G62),-3)</f>
        <v>0</v>
      </c>
      <c r="H62" s="20">
        <f>ROUND(('[3]Changes FY09'!H62),-3)</f>
        <v>0</v>
      </c>
      <c r="I62" s="28">
        <f t="shared" si="11"/>
        <v>0</v>
      </c>
      <c r="J62" s="28"/>
      <c r="K62" s="31">
        <f>ROUND(('[3]Changes FY09'!K62),-3)-1000</f>
        <v>37963000</v>
      </c>
      <c r="L62" s="31">
        <f>ROUND(('[3]Changes FY09'!L62),-3)</f>
        <v>33414000</v>
      </c>
      <c r="M62" s="28">
        <f t="shared" si="12"/>
        <v>71377000</v>
      </c>
      <c r="O62" s="28">
        <v>50391000</v>
      </c>
      <c r="Q62" s="28">
        <f t="shared" si="8"/>
        <v>20986000</v>
      </c>
      <c r="S62" s="84">
        <f>Q62/O62</f>
        <v>0.4164632573276974</v>
      </c>
    </row>
    <row r="63" spans="1:28" s="2" customFormat="1" ht="9.9499999999999993" customHeight="1" x14ac:dyDescent="0.35">
      <c r="A63" s="6" t="s">
        <v>13</v>
      </c>
      <c r="B63" s="20">
        <f>ROUND(('[3]Changes FY09'!B63),-3)</f>
        <v>0</v>
      </c>
      <c r="C63" s="20">
        <f>ROUND(('[3]Changes FY09'!C63),-3)</f>
        <v>0</v>
      </c>
      <c r="D63" s="20">
        <f>ROUND(('[3]Changes FY09'!D63),-3)</f>
        <v>0</v>
      </c>
      <c r="E63" s="20">
        <f>ROUND(('[3]Changes FY09'!E63),-3)</f>
        <v>0</v>
      </c>
      <c r="F63" s="20">
        <f>ROUND(('[3]Changes FY09'!F63),-3)</f>
        <v>0</v>
      </c>
      <c r="G63" s="30">
        <f>ROUND(('[3]Changes FY09'!G63),-3)</f>
        <v>0</v>
      </c>
      <c r="H63" s="20">
        <f>ROUND(('[3]Changes FY09'!H63),-3)</f>
        <v>0</v>
      </c>
      <c r="I63" s="28">
        <f t="shared" si="11"/>
        <v>0</v>
      </c>
      <c r="J63" s="28"/>
      <c r="K63" s="29">
        <f>ROUND(('[3]Changes FY09'!K63),-3)</f>
        <v>142504000</v>
      </c>
      <c r="L63" s="29">
        <f>ROUND(('[3]Changes FY09'!L63),-3)</f>
        <v>51309000</v>
      </c>
      <c r="M63" s="28">
        <f t="shared" si="12"/>
        <v>193813000</v>
      </c>
      <c r="O63" s="28">
        <v>201490000</v>
      </c>
      <c r="Q63" s="28">
        <f t="shared" si="8"/>
        <v>-7677000</v>
      </c>
      <c r="S63" s="84">
        <f>Q63/O63</f>
        <v>-3.8101146458881331E-2</v>
      </c>
    </row>
    <row r="64" spans="1:28" s="2" customFormat="1" ht="9.9499999999999993" customHeight="1" x14ac:dyDescent="0.35">
      <c r="A64" s="6" t="s">
        <v>90</v>
      </c>
      <c r="B64" s="20"/>
      <c r="C64" s="30">
        <f>ROUND(('[3]Changes FY09'!C64),-3)</f>
        <v>-6804000</v>
      </c>
      <c r="D64" s="20"/>
      <c r="E64" s="20"/>
      <c r="F64" s="20"/>
      <c r="G64" s="30"/>
      <c r="H64" s="20"/>
      <c r="I64" s="28">
        <f t="shared" si="11"/>
        <v>-6804000</v>
      </c>
      <c r="J64" s="28"/>
      <c r="K64" s="29"/>
      <c r="L64" s="29"/>
      <c r="M64" s="28">
        <f t="shared" si="12"/>
        <v>-6804000</v>
      </c>
      <c r="O64" s="28"/>
      <c r="Q64" s="28">
        <f t="shared" si="8"/>
        <v>-6804000</v>
      </c>
      <c r="S64" s="84" t="s">
        <v>89</v>
      </c>
    </row>
    <row r="65" spans="1:19" s="2" customFormat="1" ht="9.9499999999999993" customHeight="1" x14ac:dyDescent="0.35">
      <c r="A65" s="6" t="s">
        <v>12</v>
      </c>
      <c r="B65" s="20">
        <f>ROUND(('[3]Changes FY09'!B65),-3)</f>
        <v>0</v>
      </c>
      <c r="C65" s="20">
        <f>ROUND(('[3]Changes FY09'!C65),-3)</f>
        <v>102000</v>
      </c>
      <c r="D65" s="20">
        <f>ROUND(('[3]Changes FY09'!D65),-3)</f>
        <v>0</v>
      </c>
      <c r="E65" s="20">
        <f>ROUND(('[3]Changes FY09'!E65),-3)</f>
        <v>0</v>
      </c>
      <c r="F65" s="20">
        <f>ROUND(('[3]Changes FY09'!F65),-3)</f>
        <v>0</v>
      </c>
      <c r="G65" s="20">
        <f>ROUND(('[3]Changes FY09'!G65),-3)</f>
        <v>0</v>
      </c>
      <c r="H65" s="20">
        <f>ROUND(('[3]Changes FY09'!H65),-3)</f>
        <v>0</v>
      </c>
      <c r="I65" s="28">
        <f t="shared" si="11"/>
        <v>102000</v>
      </c>
      <c r="J65" s="28"/>
      <c r="K65" s="29">
        <f>ROUND(('[3]Changes FY09'!K65),-3)</f>
        <v>0</v>
      </c>
      <c r="L65" s="29">
        <f>ROUND(('[3]Changes FY09'!L65),-3)</f>
        <v>0</v>
      </c>
      <c r="M65" s="28">
        <f t="shared" si="12"/>
        <v>102000</v>
      </c>
      <c r="O65" s="28">
        <v>3516000</v>
      </c>
      <c r="Q65" s="28">
        <f t="shared" si="8"/>
        <v>-3414000</v>
      </c>
      <c r="S65" s="84">
        <f>Q65/O65</f>
        <v>-0.97098976109215018</v>
      </c>
    </row>
    <row r="66" spans="1:19" s="2" customFormat="1" ht="9.9499999999999993" customHeight="1" x14ac:dyDescent="0.35">
      <c r="A66" s="6" t="s">
        <v>11</v>
      </c>
      <c r="B66" s="20">
        <f>ROUND(('[3]Changes FY09'!B66),-3)</f>
        <v>0</v>
      </c>
      <c r="C66" s="20">
        <f>ROUND(('[3]Changes FY09'!C66),-3)</f>
        <v>0</v>
      </c>
      <c r="D66" s="20">
        <f>ROUND(('[3]Changes FY09'!D66),-3)</f>
        <v>152098000</v>
      </c>
      <c r="E66" s="20">
        <f>ROUND(('[3]Changes FY09'!E66),-3)</f>
        <v>0</v>
      </c>
      <c r="F66" s="20">
        <f>ROUND(('[3]Changes FY09'!F66),-3)</f>
        <v>0</v>
      </c>
      <c r="G66" s="20">
        <f>ROUND(('[3]Changes FY09'!G66),-3)</f>
        <v>0</v>
      </c>
      <c r="H66" s="20">
        <f>ROUND(('[3]Changes FY09'!H66),-3)</f>
        <v>0</v>
      </c>
      <c r="I66" s="28">
        <f t="shared" si="11"/>
        <v>152098000</v>
      </c>
      <c r="J66" s="28"/>
      <c r="K66" s="29">
        <f>ROUND(('[3]Changes FY09'!K66),-3)</f>
        <v>0</v>
      </c>
      <c r="L66" s="29">
        <f>ROUND(('[3]Changes FY09'!L66),-3)</f>
        <v>0</v>
      </c>
      <c r="M66" s="28">
        <f t="shared" si="12"/>
        <v>152098000</v>
      </c>
      <c r="O66" s="28">
        <v>149659000</v>
      </c>
      <c r="Q66" s="28">
        <f t="shared" si="8"/>
        <v>2439000</v>
      </c>
      <c r="S66" s="84">
        <f>Q66/O66</f>
        <v>1.6297048623871602E-2</v>
      </c>
    </row>
    <row r="67" spans="1:19" s="2" customFormat="1" ht="9.9499999999999993" customHeight="1" x14ac:dyDescent="0.35">
      <c r="A67" s="6" t="s">
        <v>10</v>
      </c>
      <c r="B67" s="20">
        <f>ROUND(('[3]Changes FY09'!B67),-3)</f>
        <v>0</v>
      </c>
      <c r="C67" s="20">
        <f>ROUND(('[3]Changes FY09'!C67),-3)</f>
        <v>0</v>
      </c>
      <c r="D67" s="20">
        <f>ROUND(('[3]Changes FY09'!D67),-3)</f>
        <v>0</v>
      </c>
      <c r="E67" s="20">
        <f>ROUND(('[3]Changes FY09'!E67),-3)</f>
        <v>0</v>
      </c>
      <c r="F67" s="20">
        <f>ROUND(('[3]Changes FY09'!F67),-3)</f>
        <v>0</v>
      </c>
      <c r="G67" s="20">
        <f>ROUND(('[3]Changes FY09'!G67),-3)</f>
        <v>0</v>
      </c>
      <c r="H67" s="20">
        <f>ROUND(('[3]Changes FY09'!H67),-3)</f>
        <v>0</v>
      </c>
      <c r="I67" s="28">
        <f t="shared" si="11"/>
        <v>0</v>
      </c>
      <c r="J67" s="28"/>
      <c r="K67" s="29">
        <f>ROUND(('[3]Changes FY09'!K67),-3)</f>
        <v>36703000</v>
      </c>
      <c r="L67" s="29">
        <f>ROUND(('[3]Changes FY09'!L67),-3)</f>
        <v>72966000</v>
      </c>
      <c r="M67" s="28">
        <f t="shared" si="12"/>
        <v>109669000</v>
      </c>
      <c r="O67" s="28">
        <v>133269000</v>
      </c>
      <c r="Q67" s="28">
        <f t="shared" si="8"/>
        <v>-23600000</v>
      </c>
      <c r="S67" s="84">
        <f>Q67/O67</f>
        <v>-0.1770854437265981</v>
      </c>
    </row>
    <row r="68" spans="1:19" s="2" customFormat="1" ht="9.9499999999999993" customHeight="1" x14ac:dyDescent="0.35">
      <c r="A68" s="6" t="s">
        <v>9</v>
      </c>
      <c r="B68" s="20">
        <f>ROUND(('[3]Changes FY09'!B68),-3)</f>
        <v>0</v>
      </c>
      <c r="C68" s="20">
        <f>ROUND(('[3]Changes FY09'!C68),-3)</f>
        <v>0</v>
      </c>
      <c r="D68" s="20">
        <f>ROUND(('[3]Changes FY09'!D68),-3)</f>
        <v>0</v>
      </c>
      <c r="E68" s="20">
        <f>ROUND(('[3]Changes FY09'!E68),-3)</f>
        <v>0</v>
      </c>
      <c r="F68" s="20">
        <f>ROUND(('[3]Changes FY09'!F68),-3)</f>
        <v>0</v>
      </c>
      <c r="G68" s="20">
        <f>ROUND(('[3]Changes FY09'!G68),-3)</f>
        <v>0</v>
      </c>
      <c r="H68" s="20">
        <f>ROUND(('[3]Changes FY09'!H68),-3)</f>
        <v>0</v>
      </c>
      <c r="I68" s="28">
        <f t="shared" si="11"/>
        <v>0</v>
      </c>
      <c r="J68" s="28"/>
      <c r="K68" s="29">
        <f>ROUND(('[3]Changes FY09'!K68),-3)</f>
        <v>728474000</v>
      </c>
      <c r="L68" s="29">
        <f>ROUND(('[3]Changes FY09'!L68),-3)</f>
        <v>1186011000</v>
      </c>
      <c r="M68" s="28">
        <f t="shared" si="12"/>
        <v>1914485000</v>
      </c>
      <c r="O68" s="28">
        <v>1147924000</v>
      </c>
      <c r="Q68" s="28">
        <f t="shared" si="8"/>
        <v>766561000</v>
      </c>
      <c r="S68" s="84">
        <f>Q68/O68</f>
        <v>0.66778027116777761</v>
      </c>
    </row>
    <row r="69" spans="1:19" s="2" customFormat="1" x14ac:dyDescent="0.35">
      <c r="A69" s="6" t="s">
        <v>8</v>
      </c>
      <c r="B69" s="20">
        <f>ROUND(('[3]Changes FY09'!B69),-3)</f>
        <v>0</v>
      </c>
      <c r="C69" s="20">
        <f>ROUND(('[3]Changes FY09'!C69),-3)</f>
        <v>0</v>
      </c>
      <c r="D69" s="20">
        <f>ROUND(('[3]Changes FY09'!D69),-3)</f>
        <v>0</v>
      </c>
      <c r="E69" s="20">
        <f>ROUND(('[3]Changes FY09'!E69),-3)</f>
        <v>0</v>
      </c>
      <c r="F69" s="20">
        <f>ROUND(('[3]Changes FY09'!F69),-3)</f>
        <v>0</v>
      </c>
      <c r="G69" s="20">
        <f>ROUND(('[3]Changes FY09'!G69),-3)</f>
        <v>0</v>
      </c>
      <c r="H69" s="20">
        <f>ROUND(('[3]Changes FY09'!H69),-3)</f>
        <v>0</v>
      </c>
      <c r="I69" s="28">
        <f t="shared" si="11"/>
        <v>0</v>
      </c>
      <c r="J69" s="28"/>
      <c r="K69" s="29">
        <f>ROUND(('[3]Changes FY09'!K69),-3)</f>
        <v>0</v>
      </c>
      <c r="L69" s="29">
        <f>ROUND(('[3]Changes FY09'!L69),-3)</f>
        <v>0</v>
      </c>
      <c r="M69" s="28">
        <f t="shared" si="12"/>
        <v>0</v>
      </c>
      <c r="O69" s="28">
        <v>0</v>
      </c>
      <c r="Q69" s="28">
        <f t="shared" si="8"/>
        <v>0</v>
      </c>
      <c r="S69" s="84" t="s">
        <v>89</v>
      </c>
    </row>
    <row r="70" spans="1:19" s="2" customFormat="1" x14ac:dyDescent="0.35">
      <c r="A70" s="6" t="s">
        <v>7</v>
      </c>
      <c r="B70" s="20">
        <f>ROUND(('[3]Changes FY09'!B70),-3)</f>
        <v>0</v>
      </c>
      <c r="C70" s="20">
        <f>ROUND(('[3]Changes FY09'!C70),-3)</f>
        <v>0</v>
      </c>
      <c r="D70" s="20">
        <f>ROUND(('[3]Changes FY09'!D70),-3)</f>
        <v>0</v>
      </c>
      <c r="E70" s="20">
        <f>ROUND(('[3]Changes FY09'!E70),-3)</f>
        <v>0</v>
      </c>
      <c r="F70" s="20">
        <f>ROUND(('[3]Changes FY09'!F70),-3)</f>
        <v>0</v>
      </c>
      <c r="G70" s="20">
        <f>ROUND(('[3]Changes FY09'!G70),-3)+1000</f>
        <v>756941000</v>
      </c>
      <c r="H70" s="20">
        <f>ROUND(('[3]Changes FY09'!H70),-3)</f>
        <v>0</v>
      </c>
      <c r="I70" s="28">
        <f t="shared" si="11"/>
        <v>756941000</v>
      </c>
      <c r="J70" s="28"/>
      <c r="K70" s="29">
        <f>ROUND(('[3]Changes FY09'!K70),-3)</f>
        <v>0</v>
      </c>
      <c r="L70" s="29">
        <f>ROUND(('[3]Changes FY09'!L70),-3)</f>
        <v>0</v>
      </c>
      <c r="M70" s="28">
        <f t="shared" si="12"/>
        <v>756941000</v>
      </c>
      <c r="O70" s="28">
        <v>2441301000</v>
      </c>
      <c r="Q70" s="28">
        <f t="shared" si="8"/>
        <v>-1684360000</v>
      </c>
      <c r="S70" s="84">
        <f>Q70/O70</f>
        <v>-0.68994359974456243</v>
      </c>
    </row>
    <row r="71" spans="1:19" s="2" customFormat="1" x14ac:dyDescent="0.35">
      <c r="A71" s="6" t="s">
        <v>6</v>
      </c>
      <c r="B71" s="20">
        <f>ROUND(('[3]Changes FY09'!B71),-3)</f>
        <v>0</v>
      </c>
      <c r="C71" s="20">
        <f>ROUND(('[3]Changes FY09'!C71),-3)</f>
        <v>0</v>
      </c>
      <c r="D71" s="20">
        <f>ROUND(('[3]Changes FY09'!D71),-3)</f>
        <v>0</v>
      </c>
      <c r="E71" s="20">
        <f>ROUND(('[3]Changes FY09'!E71),-3)</f>
        <v>0</v>
      </c>
      <c r="F71" s="20">
        <f>ROUND(('[3]Changes FY09'!F71),-3)</f>
        <v>0</v>
      </c>
      <c r="G71" s="20">
        <f>ROUND(('[3]Changes FY09'!G71),-3)</f>
        <v>0</v>
      </c>
      <c r="H71" s="20">
        <f>ROUND(('[3]Changes FY09'!H71),-3)</f>
        <v>0</v>
      </c>
      <c r="I71" s="28">
        <f t="shared" si="11"/>
        <v>0</v>
      </c>
      <c r="J71" s="28"/>
      <c r="K71" s="29">
        <f>ROUND(('[3]Changes FY09'!K71),-3)</f>
        <v>0</v>
      </c>
      <c r="L71" s="29">
        <f>ROUND(('[3]Changes FY09'!L71),-3)</f>
        <v>0</v>
      </c>
      <c r="M71" s="28">
        <f t="shared" si="12"/>
        <v>0</v>
      </c>
      <c r="O71" s="28"/>
      <c r="Q71" s="28">
        <f t="shared" si="8"/>
        <v>0</v>
      </c>
      <c r="S71" s="84" t="s">
        <v>89</v>
      </c>
    </row>
    <row r="72" spans="1:19" s="2" customFormat="1" x14ac:dyDescent="0.35">
      <c r="A72" s="6" t="s">
        <v>5</v>
      </c>
      <c r="B72" s="20">
        <f>ROUND(('[3]Changes FY09'!B72),-3)</f>
        <v>0</v>
      </c>
      <c r="C72" s="20">
        <f>ROUND(('[3]Changes FY09'!C72),-3)</f>
        <v>0</v>
      </c>
      <c r="D72" s="20">
        <f>ROUND(('[3]Changes FY09'!D72),-3)</f>
        <v>0</v>
      </c>
      <c r="E72" s="20">
        <f>ROUND(('[3]Changes FY09'!E72),-3)</f>
        <v>0</v>
      </c>
      <c r="F72" s="20">
        <f>ROUND(('[3]Changes FY09'!F72),-3)</f>
        <v>0</v>
      </c>
      <c r="G72" s="20">
        <f>ROUND(('[3]Changes FY09'!G72),-3)</f>
        <v>0</v>
      </c>
      <c r="H72" s="20">
        <f>ROUND(('[3]Changes FY09'!H72),-3)</f>
        <v>0</v>
      </c>
      <c r="I72" s="28">
        <f t="shared" si="11"/>
        <v>0</v>
      </c>
      <c r="J72" s="28"/>
      <c r="K72" s="29">
        <f>ROUND(('[3]Changes FY09'!K72),-3)</f>
        <v>0</v>
      </c>
      <c r="L72" s="29">
        <f>ROUND(('[3]Changes FY09'!L72),-3)</f>
        <v>0</v>
      </c>
      <c r="M72" s="28">
        <f t="shared" si="12"/>
        <v>0</v>
      </c>
      <c r="O72" s="28"/>
      <c r="Q72" s="28">
        <f t="shared" si="8"/>
        <v>0</v>
      </c>
      <c r="S72" s="84" t="s">
        <v>89</v>
      </c>
    </row>
    <row r="73" spans="1:19" s="2" customFormat="1" x14ac:dyDescent="0.35">
      <c r="A73" s="6" t="s">
        <v>4</v>
      </c>
      <c r="B73" s="20">
        <f>ROUND(('[3]Changes FY09'!B73),-3)</f>
        <v>0</v>
      </c>
      <c r="C73" s="20">
        <f>ROUND(('[3]Changes FY09'!C73),-3)</f>
        <v>0</v>
      </c>
      <c r="D73" s="20">
        <f>ROUND(('[3]Changes FY09'!D73),-3)</f>
        <v>0</v>
      </c>
      <c r="E73" s="20">
        <f>ROUND(('[3]Changes FY09'!E73),-3)</f>
        <v>0</v>
      </c>
      <c r="F73" s="20">
        <f>ROUND(('[3]Changes FY09'!F73),-3)</f>
        <v>0</v>
      </c>
      <c r="G73" s="20">
        <f>ROUND(('[3]Changes FY09'!G73),-3)</f>
        <v>0</v>
      </c>
      <c r="H73" s="20">
        <f>ROUND(('[3]Changes FY09'!H73),-3)</f>
        <v>0</v>
      </c>
      <c r="I73" s="28">
        <f t="shared" si="11"/>
        <v>0</v>
      </c>
      <c r="J73" s="28"/>
      <c r="K73" s="29">
        <f>ROUND(('[3]Changes FY09'!K73),-3)</f>
        <v>0</v>
      </c>
      <c r="L73" s="29">
        <f>ROUND(('[3]Changes FY09'!L73),-3)</f>
        <v>0</v>
      </c>
      <c r="M73" s="28">
        <f t="shared" si="12"/>
        <v>0</v>
      </c>
      <c r="O73" s="28"/>
      <c r="Q73" s="28">
        <f t="shared" si="8"/>
        <v>0</v>
      </c>
      <c r="S73" s="84" t="s">
        <v>89</v>
      </c>
    </row>
    <row r="74" spans="1:19" s="2" customFormat="1" x14ac:dyDescent="0.35">
      <c r="A74" s="6" t="s">
        <v>3</v>
      </c>
      <c r="B74" s="20">
        <f>ROUND(('[3]Changes FY09'!B74),-3)</f>
        <v>0</v>
      </c>
      <c r="C74" s="20">
        <f>ROUND(('[3]Changes FY09'!C74),-3)</f>
        <v>0</v>
      </c>
      <c r="D74" s="20">
        <f>ROUND(('[3]Changes FY09'!D74),-3)</f>
        <v>0</v>
      </c>
      <c r="E74" s="20">
        <f>ROUND(('[3]Changes FY09'!E74),-3)-1000</f>
        <v>69886000</v>
      </c>
      <c r="F74" s="20">
        <f>ROUND(('[3]Changes FY09'!F74),-3)</f>
        <v>0</v>
      </c>
      <c r="G74" s="20">
        <f>ROUND(('[3]Changes FY09'!G74),-3)</f>
        <v>0</v>
      </c>
      <c r="H74" s="20">
        <f>ROUND(('[3]Changes FY09'!H74),-3)</f>
        <v>0</v>
      </c>
      <c r="I74" s="28">
        <f t="shared" si="11"/>
        <v>69886000</v>
      </c>
      <c r="J74" s="28"/>
      <c r="K74" s="29">
        <f>ROUND(('[3]Changes FY09'!K74),-3)</f>
        <v>0</v>
      </c>
      <c r="L74" s="29">
        <f>ROUND(('[3]Changes FY09'!L74),-3)</f>
        <v>0</v>
      </c>
      <c r="M74" s="28">
        <f t="shared" si="12"/>
        <v>69886000</v>
      </c>
      <c r="O74" s="28">
        <v>70500000</v>
      </c>
      <c r="Q74" s="28">
        <f t="shared" si="8"/>
        <v>-614000</v>
      </c>
      <c r="S74" s="84">
        <f>Q74/O74</f>
        <v>-8.7092198581560278E-3</v>
      </c>
    </row>
    <row r="75" spans="1:19" s="2" customFormat="1" x14ac:dyDescent="0.35">
      <c r="A75" s="6" t="s">
        <v>2</v>
      </c>
      <c r="B75" s="20">
        <f>ROUND(('[3]Changes FY09'!B75),-3)</f>
        <v>0</v>
      </c>
      <c r="C75" s="20">
        <f>ROUND(('[3]Changes FY09'!C75),-3)</f>
        <v>0</v>
      </c>
      <c r="D75" s="20">
        <f>ROUND(('[3]Changes FY09'!D75),-3)</f>
        <v>0</v>
      </c>
      <c r="E75" s="20">
        <f>ROUND(('[3]Changes FY09'!E75),-3)</f>
        <v>0</v>
      </c>
      <c r="F75" s="20">
        <f>ROUND(('[3]Changes FY09'!F75),-3)</f>
        <v>666665000</v>
      </c>
      <c r="G75" s="20">
        <f>ROUND(('[3]Changes FY09'!G75),-3)</f>
        <v>0</v>
      </c>
      <c r="H75" s="20">
        <f>ROUND(('[3]Changes FY09'!H75),-3)</f>
        <v>0</v>
      </c>
      <c r="I75" s="28">
        <f t="shared" si="11"/>
        <v>666665000</v>
      </c>
      <c r="J75" s="28"/>
      <c r="K75" s="29">
        <f>ROUND(('[3]Changes FY09'!K75),-3)</f>
        <v>0</v>
      </c>
      <c r="L75" s="29">
        <f>ROUND(('[3]Changes FY09'!L75),-3)</f>
        <v>0</v>
      </c>
      <c r="M75" s="28">
        <f t="shared" si="12"/>
        <v>666665000</v>
      </c>
      <c r="O75" s="28">
        <v>542519000</v>
      </c>
      <c r="Q75" s="28">
        <f t="shared" si="8"/>
        <v>124146000</v>
      </c>
      <c r="S75" s="84">
        <f>Q75/O75</f>
        <v>0.22883253858390212</v>
      </c>
    </row>
    <row r="76" spans="1:19" s="2" customFormat="1" ht="12" thickBot="1" x14ac:dyDescent="0.45">
      <c r="A76" s="27"/>
      <c r="B76" s="26">
        <f t="shared" ref="B76:I76" si="13">SUM(B60:B75)</f>
        <v>0</v>
      </c>
      <c r="C76" s="25">
        <f t="shared" si="13"/>
        <v>-44729000</v>
      </c>
      <c r="D76" s="25">
        <f t="shared" si="13"/>
        <v>502118000</v>
      </c>
      <c r="E76" s="25">
        <f t="shared" si="13"/>
        <v>147361000</v>
      </c>
      <c r="F76" s="25">
        <f t="shared" si="13"/>
        <v>662594000</v>
      </c>
      <c r="G76" s="25">
        <f t="shared" si="13"/>
        <v>756941000</v>
      </c>
      <c r="H76" s="25">
        <f t="shared" si="13"/>
        <v>-7572000</v>
      </c>
      <c r="I76" s="23">
        <f t="shared" si="13"/>
        <v>2016713000</v>
      </c>
      <c r="J76" s="24"/>
      <c r="K76" s="23">
        <f>SUM(K60:K75)</f>
        <v>945644000</v>
      </c>
      <c r="L76" s="23">
        <f>SUM(L60:L75)</f>
        <v>1343700000</v>
      </c>
      <c r="M76" s="23">
        <f>SUM(M60:M75)</f>
        <v>4306057000</v>
      </c>
      <c r="N76" s="22">
        <f>I76+J76+K76+L76</f>
        <v>4306057000</v>
      </c>
      <c r="O76" s="23">
        <f>SUM(O60:O75)</f>
        <v>5176443000</v>
      </c>
      <c r="Q76" s="23">
        <f t="shared" si="8"/>
        <v>-870386000</v>
      </c>
      <c r="S76" s="84">
        <f>Q76/O76</f>
        <v>-0.16814364612920493</v>
      </c>
    </row>
    <row r="77" spans="1:19" s="2" customFormat="1" ht="10.7" thickTop="1" x14ac:dyDescent="0.35">
      <c r="A77" s="21" t="s">
        <v>1</v>
      </c>
      <c r="B77" s="19"/>
      <c r="C77" s="19"/>
      <c r="D77" s="19"/>
      <c r="E77" s="19"/>
      <c r="F77" s="19"/>
      <c r="G77" s="19"/>
      <c r="H77" s="19"/>
      <c r="I77" s="19"/>
      <c r="J77" s="20"/>
      <c r="K77" s="19"/>
      <c r="L77" s="19"/>
      <c r="M77" s="19"/>
      <c r="O77" s="19"/>
      <c r="Q77" s="19"/>
    </row>
    <row r="78" spans="1:19" s="2" customFormat="1" x14ac:dyDescent="0.35">
      <c r="A78" s="2" t="s">
        <v>0</v>
      </c>
      <c r="B78" s="18">
        <f t="shared" ref="B78:M78" si="14">B56-B76</f>
        <v>0</v>
      </c>
      <c r="C78" s="18">
        <f t="shared" si="14"/>
        <v>0</v>
      </c>
      <c r="D78" s="18">
        <f t="shared" si="14"/>
        <v>0</v>
      </c>
      <c r="E78" s="18">
        <f t="shared" si="14"/>
        <v>0</v>
      </c>
      <c r="F78" s="18">
        <f t="shared" si="14"/>
        <v>0</v>
      </c>
      <c r="G78" s="18">
        <f t="shared" si="14"/>
        <v>0</v>
      </c>
      <c r="H78" s="18">
        <f t="shared" si="14"/>
        <v>0</v>
      </c>
      <c r="I78" s="18">
        <f t="shared" si="14"/>
        <v>0</v>
      </c>
      <c r="J78" s="18">
        <f t="shared" si="14"/>
        <v>0</v>
      </c>
      <c r="K78" s="18">
        <f t="shared" si="14"/>
        <v>0</v>
      </c>
      <c r="L78" s="18">
        <f t="shared" si="14"/>
        <v>0</v>
      </c>
      <c r="M78" s="18">
        <f t="shared" si="14"/>
        <v>0</v>
      </c>
    </row>
    <row r="79" spans="1:19" s="2" customFormat="1" x14ac:dyDescent="0.35"/>
    <row r="80" spans="1:19" s="2" customFormat="1" x14ac:dyDescent="0.35">
      <c r="D80" s="17"/>
    </row>
    <row r="81" spans="1:23" s="2" customFormat="1" x14ac:dyDescent="0.35">
      <c r="G81" s="14"/>
      <c r="H81" s="14"/>
      <c r="I81" s="14"/>
      <c r="J81" s="14"/>
      <c r="K81" s="14"/>
    </row>
    <row r="82" spans="1:23" s="2" customFormat="1" x14ac:dyDescent="0.35">
      <c r="G82" s="14"/>
      <c r="H82" s="16"/>
      <c r="I82" s="16"/>
      <c r="J82" s="14"/>
      <c r="K82" s="14"/>
    </row>
    <row r="83" spans="1:23" ht="11.1" customHeight="1" x14ac:dyDescent="0.35">
      <c r="A83" s="2"/>
      <c r="B83" s="2"/>
      <c r="C83" s="2"/>
      <c r="D83" s="2"/>
      <c r="E83" s="2"/>
      <c r="G83" s="15"/>
      <c r="H83" s="15"/>
      <c r="I83" s="15"/>
      <c r="J83" s="14"/>
      <c r="K83" s="15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x14ac:dyDescent="0.35">
      <c r="A84" s="2"/>
      <c r="B84" s="2"/>
      <c r="C84" s="2"/>
      <c r="D84" s="2"/>
      <c r="E84" s="2"/>
      <c r="G84" s="15"/>
      <c r="H84" s="15"/>
      <c r="I84" s="15"/>
      <c r="J84" s="14"/>
      <c r="K84" s="14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x14ac:dyDescent="0.35">
      <c r="A85" s="2"/>
      <c r="B85" s="2"/>
      <c r="C85" s="2"/>
      <c r="D85" s="2"/>
      <c r="E85" s="2"/>
      <c r="G85" s="15"/>
      <c r="H85" s="15"/>
      <c r="I85" s="15"/>
      <c r="J85" s="14"/>
      <c r="K85" s="15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1.1" customHeight="1" x14ac:dyDescent="0.35">
      <c r="A86" s="2"/>
      <c r="B86" s="2"/>
      <c r="C86" s="2"/>
      <c r="D86" s="2"/>
      <c r="E86" s="2"/>
      <c r="G86" s="15"/>
      <c r="H86" s="15"/>
      <c r="I86" s="15"/>
      <c r="J86" s="14"/>
      <c r="K86" s="14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x14ac:dyDescent="0.35">
      <c r="A87" s="2"/>
      <c r="B87" s="2"/>
      <c r="C87" s="2"/>
      <c r="D87" s="2"/>
      <c r="E87" s="2"/>
      <c r="G87" s="15"/>
      <c r="H87" s="15"/>
      <c r="I87" s="15"/>
      <c r="J87" s="14"/>
      <c r="K87" s="14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x14ac:dyDescent="0.35">
      <c r="A88" s="2"/>
      <c r="B88" s="2"/>
      <c r="C88" s="2"/>
      <c r="D88" s="2"/>
      <c r="E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x14ac:dyDescent="0.35">
      <c r="A89" s="2"/>
      <c r="B89" s="2"/>
      <c r="C89" s="2"/>
      <c r="D89" s="2"/>
      <c r="E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x14ac:dyDescent="0.35">
      <c r="A90" s="2"/>
      <c r="B90" s="2"/>
      <c r="C90" s="2"/>
      <c r="D90" s="2"/>
      <c r="E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x14ac:dyDescent="0.35">
      <c r="A91" s="2"/>
      <c r="B91" s="2"/>
      <c r="C91" s="2"/>
      <c r="D91" s="2"/>
      <c r="E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x14ac:dyDescent="0.35">
      <c r="A92" s="2"/>
      <c r="B92" s="2"/>
      <c r="C92" s="2"/>
      <c r="D92" s="2"/>
      <c r="E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x14ac:dyDescent="0.35">
      <c r="A93" s="2"/>
      <c r="B93" s="2"/>
      <c r="C93" s="2"/>
      <c r="D93" s="2"/>
      <c r="E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x14ac:dyDescent="0.35">
      <c r="A94" s="2"/>
      <c r="B94" s="2"/>
      <c r="C94" s="2"/>
      <c r="D94" s="2"/>
      <c r="E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x14ac:dyDescent="0.35">
      <c r="A95" s="2"/>
      <c r="B95" s="2"/>
      <c r="C95" s="2"/>
      <c r="D95" s="2"/>
      <c r="E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x14ac:dyDescent="0.35">
      <c r="A96" s="2"/>
      <c r="B96" s="2"/>
      <c r="C96" s="2"/>
      <c r="D96" s="2"/>
      <c r="E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x14ac:dyDescent="0.35">
      <c r="A97" s="2"/>
      <c r="B97" s="2"/>
      <c r="C97" s="2"/>
      <c r="D97" s="2"/>
      <c r="E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x14ac:dyDescent="0.35">
      <c r="A98" s="2"/>
      <c r="B98" s="2"/>
      <c r="C98" s="2"/>
      <c r="D98" s="2"/>
      <c r="E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x14ac:dyDescent="0.35">
      <c r="A99" s="2"/>
      <c r="B99" s="2"/>
      <c r="C99" s="2"/>
      <c r="D99" s="2"/>
      <c r="E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x14ac:dyDescent="0.35">
      <c r="A100" s="2"/>
      <c r="B100" s="2"/>
      <c r="C100" s="2"/>
      <c r="D100" s="2"/>
      <c r="E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x14ac:dyDescent="0.35">
      <c r="A101" s="2"/>
      <c r="B101" s="2"/>
      <c r="C101" s="2"/>
      <c r="D101" s="2"/>
      <c r="E101" s="2"/>
      <c r="F101" s="5"/>
      <c r="G101" s="5"/>
      <c r="H101" s="5"/>
      <c r="I101" s="5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x14ac:dyDescent="0.35">
      <c r="A102" s="2"/>
      <c r="B102" s="2"/>
      <c r="C102" s="2"/>
      <c r="D102" s="2"/>
      <c r="E102" s="2"/>
      <c r="F102" s="5"/>
      <c r="G102" s="5"/>
      <c r="H102" s="5"/>
      <c r="I102" s="5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x14ac:dyDescent="0.35">
      <c r="A103" s="2"/>
      <c r="B103" s="2"/>
      <c r="C103" s="2"/>
      <c r="D103" s="2"/>
      <c r="E103" s="2"/>
      <c r="F103" s="2"/>
      <c r="G103" s="2"/>
      <c r="H103" s="2"/>
      <c r="I103" s="13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x14ac:dyDescent="0.35">
      <c r="A104" s="2"/>
      <c r="B104" s="2"/>
      <c r="C104" s="2"/>
      <c r="D104" s="2"/>
      <c r="E104" s="2"/>
      <c r="F104" s="2"/>
      <c r="G104" s="2"/>
      <c r="H104" s="2"/>
      <c r="I104" s="13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x14ac:dyDescent="0.35">
      <c r="A105" s="2"/>
      <c r="B105" s="2"/>
      <c r="C105" s="2"/>
      <c r="D105" s="2"/>
      <c r="E105" s="2"/>
      <c r="F105" s="2"/>
      <c r="G105" s="2"/>
      <c r="H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x14ac:dyDescent="0.35">
      <c r="A106" s="2"/>
      <c r="B106" s="2"/>
      <c r="C106" s="2"/>
      <c r="D106" s="2"/>
      <c r="E106" s="2"/>
      <c r="F106" s="2"/>
      <c r="G106" s="2"/>
      <c r="H106" s="2"/>
      <c r="I106" s="1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x14ac:dyDescent="0.35">
      <c r="A107" s="2"/>
      <c r="B107" s="2"/>
      <c r="C107" s="2"/>
      <c r="D107" s="2"/>
      <c r="E107" s="2"/>
      <c r="F107" s="2"/>
      <c r="G107" s="2"/>
      <c r="H107" s="2"/>
      <c r="I107" s="1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x14ac:dyDescent="0.35">
      <c r="A108" s="2"/>
      <c r="B108" s="2"/>
      <c r="C108" s="2"/>
      <c r="D108" s="2"/>
      <c r="E108" s="2"/>
      <c r="F108" s="2"/>
      <c r="G108" s="2"/>
      <c r="H108" s="2"/>
      <c r="I108" s="1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x14ac:dyDescent="0.35">
      <c r="A109" s="2"/>
      <c r="B109" s="2"/>
      <c r="C109" s="2"/>
      <c r="D109" s="2"/>
      <c r="E109" s="2"/>
      <c r="F109" s="2"/>
      <c r="G109" s="2"/>
      <c r="H109" s="2"/>
      <c r="I109" s="1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1.1" customHeight="1" x14ac:dyDescent="0.35">
      <c r="A110" s="2"/>
      <c r="B110" s="2"/>
      <c r="C110" s="2"/>
      <c r="D110" s="2"/>
      <c r="E110" s="2"/>
      <c r="F110" s="2"/>
      <c r="G110" s="2"/>
      <c r="H110" s="2"/>
      <c r="I110" s="1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1.1" customHeight="1" x14ac:dyDescent="0.35">
      <c r="A111" s="2"/>
      <c r="B111" s="2"/>
      <c r="C111" s="2"/>
      <c r="D111" s="2"/>
      <c r="E111" s="2"/>
      <c r="F111" s="2"/>
      <c r="G111" s="2"/>
      <c r="H111" s="2"/>
      <c r="I111" s="1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1.1" customHeight="1" x14ac:dyDescent="0.35">
      <c r="A112" s="2"/>
      <c r="B112" s="2"/>
      <c r="C112" s="2"/>
      <c r="D112" s="2"/>
      <c r="E112" s="2"/>
      <c r="F112" s="2"/>
      <c r="G112" s="2"/>
      <c r="H112" s="2"/>
      <c r="I112" s="1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1.1" customHeight="1" x14ac:dyDescent="0.35">
      <c r="A113" s="2"/>
      <c r="B113" s="2"/>
      <c r="C113" s="2"/>
      <c r="D113" s="2"/>
      <c r="E113" s="2"/>
      <c r="F113" s="2"/>
      <c r="G113" s="2"/>
      <c r="H113" s="2"/>
      <c r="I113" s="1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2.1" customHeight="1" x14ac:dyDescent="0.35">
      <c r="A114" s="2"/>
      <c r="B114" s="2"/>
      <c r="C114" s="2"/>
      <c r="D114" s="2"/>
      <c r="E114" s="2"/>
      <c r="F114" s="2"/>
      <c r="G114" s="2"/>
      <c r="H114" s="2"/>
      <c r="I114" s="1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x14ac:dyDescent="0.35">
      <c r="A115" s="2"/>
      <c r="B115" s="2"/>
      <c r="C115" s="2"/>
      <c r="D115" s="2"/>
      <c r="E115" s="2"/>
      <c r="F115" s="2"/>
      <c r="G115" s="2"/>
      <c r="H115" s="2"/>
      <c r="I115" s="1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x14ac:dyDescent="0.35">
      <c r="A116" s="2"/>
      <c r="B116" s="2"/>
      <c r="C116" s="2"/>
      <c r="D116" s="2"/>
      <c r="E116" s="2"/>
      <c r="F116" s="2"/>
      <c r="G116" s="2"/>
      <c r="H116" s="2"/>
      <c r="I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x14ac:dyDescent="0.35">
      <c r="A117" s="2"/>
      <c r="B117" s="2"/>
      <c r="C117" s="2"/>
      <c r="D117" s="2"/>
      <c r="E117" s="2"/>
      <c r="F117" s="2"/>
      <c r="G117" s="2"/>
      <c r="H117" s="2"/>
      <c r="I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x14ac:dyDescent="0.35">
      <c r="A118" s="2"/>
      <c r="B118" s="2"/>
      <c r="C118" s="2"/>
      <c r="D118" s="2"/>
      <c r="E118" s="2"/>
      <c r="F118" s="2"/>
      <c r="G118" s="2"/>
      <c r="H118" s="2"/>
      <c r="I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x14ac:dyDescent="0.35">
      <c r="A119" s="2"/>
      <c r="B119" s="2"/>
      <c r="C119" s="2"/>
      <c r="D119" s="2"/>
      <c r="E119" s="2"/>
      <c r="F119" s="2"/>
      <c r="G119" s="2"/>
      <c r="H119" s="2"/>
      <c r="I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x14ac:dyDescent="0.35">
      <c r="A120" s="2"/>
      <c r="B120" s="2"/>
      <c r="C120" s="2"/>
      <c r="D120" s="2"/>
      <c r="E120" s="2"/>
      <c r="F120" s="2"/>
      <c r="G120" s="2"/>
      <c r="H120" s="2"/>
      <c r="I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x14ac:dyDescent="0.35">
      <c r="A121" s="2"/>
      <c r="B121" s="2"/>
      <c r="C121" s="2"/>
      <c r="D121" s="2"/>
      <c r="E121" s="2"/>
      <c r="F121" s="2"/>
      <c r="G121" s="2"/>
      <c r="H121" s="2"/>
      <c r="I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x14ac:dyDescent="0.35">
      <c r="A122" s="2"/>
      <c r="B122" s="2"/>
      <c r="C122" s="2"/>
      <c r="D122" s="2"/>
      <c r="E122" s="2"/>
      <c r="F122" s="2"/>
      <c r="G122" s="2"/>
      <c r="H122" s="2"/>
      <c r="I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x14ac:dyDescent="0.35">
      <c r="A123" s="2"/>
      <c r="B123" s="2"/>
      <c r="C123" s="2"/>
      <c r="D123" s="2"/>
      <c r="E123" s="2"/>
      <c r="F123" s="2"/>
      <c r="G123" s="2"/>
      <c r="H123" s="2"/>
      <c r="I123" s="2"/>
      <c r="K123" s="2"/>
      <c r="L123" s="2"/>
      <c r="M123" s="2"/>
      <c r="N123" s="2"/>
      <c r="O123" s="2"/>
      <c r="P123" s="2"/>
      <c r="Q123" s="5"/>
      <c r="R123" s="5">
        <f>SUM(R117:R122)</f>
        <v>0</v>
      </c>
    </row>
    <row r="124" spans="1:23" x14ac:dyDescent="0.35">
      <c r="A124" s="2"/>
      <c r="B124" s="2"/>
      <c r="C124" s="2"/>
      <c r="D124" s="2"/>
      <c r="E124" s="2"/>
      <c r="F124" s="2"/>
      <c r="G124" s="2"/>
      <c r="H124" s="2"/>
      <c r="I124" s="2"/>
      <c r="K124" s="2"/>
      <c r="L124" s="2"/>
      <c r="M124" s="2"/>
      <c r="N124" s="2"/>
      <c r="O124" s="2"/>
      <c r="P124" s="2"/>
      <c r="Q124" s="5"/>
      <c r="R124" s="1">
        <f t="shared" ref="R124:R138" si="15">SUM(K124:O124)</f>
        <v>0</v>
      </c>
    </row>
    <row r="125" spans="1:23" x14ac:dyDescent="0.35">
      <c r="A125" s="2"/>
      <c r="B125" s="2"/>
      <c r="C125" s="2"/>
      <c r="D125" s="2"/>
      <c r="E125" s="2"/>
      <c r="F125" s="2"/>
      <c r="G125" s="2"/>
      <c r="H125" s="2"/>
      <c r="I125" s="2"/>
      <c r="K125" s="2"/>
      <c r="L125" s="2"/>
      <c r="M125" s="2"/>
      <c r="N125" s="2"/>
      <c r="O125" s="2"/>
      <c r="P125" s="2"/>
      <c r="Q125" s="5"/>
      <c r="R125" s="1">
        <f t="shared" si="15"/>
        <v>0</v>
      </c>
    </row>
    <row r="126" spans="1:23" x14ac:dyDescent="0.35">
      <c r="A126" s="2"/>
      <c r="B126" s="2"/>
      <c r="C126" s="2"/>
      <c r="D126" s="2"/>
      <c r="E126" s="2"/>
      <c r="F126" s="2"/>
      <c r="G126" s="2"/>
      <c r="H126" s="2"/>
      <c r="I126" s="2"/>
      <c r="K126" s="2"/>
      <c r="L126" s="2"/>
      <c r="M126" s="2"/>
      <c r="N126" s="2"/>
      <c r="O126" s="2"/>
      <c r="P126" s="2"/>
      <c r="R126" s="1">
        <f t="shared" si="15"/>
        <v>0</v>
      </c>
    </row>
    <row r="127" spans="1:23" x14ac:dyDescent="0.35">
      <c r="A127" s="2"/>
      <c r="B127" s="2"/>
      <c r="C127" s="2"/>
      <c r="D127" s="2"/>
      <c r="E127" s="2"/>
      <c r="F127" s="2"/>
      <c r="G127" s="2"/>
      <c r="H127" s="2"/>
      <c r="I127" s="2"/>
      <c r="K127" s="2"/>
      <c r="L127" s="2"/>
      <c r="M127" s="2"/>
      <c r="N127" s="2"/>
      <c r="O127" s="2"/>
      <c r="P127" s="2"/>
      <c r="R127" s="1">
        <f t="shared" si="15"/>
        <v>0</v>
      </c>
    </row>
    <row r="128" spans="1:23" x14ac:dyDescent="0.35">
      <c r="A128" s="2"/>
      <c r="B128" s="2"/>
      <c r="C128" s="2"/>
      <c r="D128" s="2"/>
      <c r="E128" s="2"/>
      <c r="F128" s="2"/>
      <c r="G128" s="2"/>
      <c r="H128" s="2"/>
      <c r="I128" s="2"/>
      <c r="K128" s="2"/>
      <c r="L128" s="2"/>
      <c r="M128" s="2"/>
      <c r="N128" s="2"/>
      <c r="O128" s="2"/>
      <c r="P128" s="2"/>
      <c r="R128" s="1">
        <f t="shared" si="15"/>
        <v>0</v>
      </c>
    </row>
    <row r="129" spans="1:256" x14ac:dyDescent="0.35">
      <c r="A129" s="2"/>
      <c r="B129" s="2"/>
      <c r="C129" s="2"/>
      <c r="D129" s="2"/>
      <c r="E129" s="2"/>
      <c r="F129" s="2"/>
      <c r="G129" s="2"/>
      <c r="H129" s="2"/>
      <c r="I129" s="2"/>
      <c r="K129" s="2"/>
      <c r="L129" s="2"/>
      <c r="M129" s="2"/>
      <c r="N129" s="2"/>
      <c r="O129" s="2"/>
      <c r="P129" s="2"/>
      <c r="R129" s="1">
        <f t="shared" si="15"/>
        <v>0</v>
      </c>
    </row>
    <row r="130" spans="1:256" x14ac:dyDescent="0.35">
      <c r="A130" s="2"/>
      <c r="B130" s="2"/>
      <c r="C130" s="2"/>
      <c r="D130" s="2"/>
      <c r="E130" s="2"/>
      <c r="F130" s="2"/>
      <c r="G130" s="2"/>
      <c r="H130" s="2"/>
      <c r="I130" s="2"/>
      <c r="K130" s="2"/>
      <c r="L130" s="2"/>
      <c r="M130" s="2"/>
      <c r="N130" s="2"/>
      <c r="O130" s="2"/>
      <c r="P130" s="2"/>
      <c r="R130" s="1">
        <f t="shared" si="15"/>
        <v>0</v>
      </c>
    </row>
    <row r="131" spans="1:256" x14ac:dyDescent="0.35">
      <c r="A131" s="2"/>
      <c r="B131" s="2"/>
      <c r="C131" s="2"/>
      <c r="D131" s="2"/>
      <c r="E131" s="2"/>
      <c r="F131" s="2"/>
      <c r="G131" s="2"/>
      <c r="H131" s="2"/>
      <c r="I131" s="2"/>
      <c r="K131" s="2"/>
      <c r="L131" s="2"/>
      <c r="M131" s="2"/>
      <c r="N131" s="2"/>
      <c r="O131" s="2"/>
      <c r="P131" s="2"/>
      <c r="R131" s="1">
        <f t="shared" si="15"/>
        <v>0</v>
      </c>
    </row>
    <row r="132" spans="1:256" x14ac:dyDescent="0.35">
      <c r="A132" s="2"/>
      <c r="B132" s="2"/>
      <c r="C132" s="2"/>
      <c r="D132" s="2"/>
      <c r="E132" s="2"/>
      <c r="F132" s="2"/>
      <c r="G132" s="2"/>
      <c r="H132" s="2"/>
      <c r="I132" s="2"/>
      <c r="K132" s="2"/>
      <c r="L132" s="2"/>
      <c r="M132" s="2"/>
      <c r="N132" s="2"/>
      <c r="O132" s="2"/>
      <c r="P132" s="2"/>
      <c r="R132" s="1">
        <f t="shared" si="15"/>
        <v>0</v>
      </c>
    </row>
    <row r="133" spans="1:256" x14ac:dyDescent="0.35">
      <c r="A133" s="2"/>
      <c r="B133" s="2"/>
      <c r="C133" s="2"/>
      <c r="D133" s="2"/>
      <c r="E133" s="2"/>
      <c r="F133" s="2"/>
      <c r="G133" s="2"/>
      <c r="H133" s="2"/>
      <c r="I133" s="2"/>
      <c r="K133" s="2"/>
      <c r="L133" s="2"/>
      <c r="M133" s="2"/>
      <c r="N133" s="2"/>
      <c r="O133" s="2"/>
      <c r="P133" s="2"/>
      <c r="R133" s="1">
        <f t="shared" si="15"/>
        <v>0</v>
      </c>
    </row>
    <row r="134" spans="1:256" x14ac:dyDescent="0.35">
      <c r="A134" s="2"/>
      <c r="B134" s="2"/>
      <c r="C134" s="2"/>
      <c r="D134" s="2"/>
      <c r="E134" s="2"/>
      <c r="F134" s="2"/>
      <c r="G134" s="2"/>
      <c r="H134" s="2"/>
      <c r="I134" s="2"/>
      <c r="K134" s="2"/>
      <c r="L134" s="2"/>
      <c r="M134" s="2"/>
      <c r="N134" s="2"/>
      <c r="O134" s="2"/>
      <c r="P134" s="2"/>
      <c r="R134" s="1">
        <f t="shared" si="15"/>
        <v>0</v>
      </c>
    </row>
    <row r="135" spans="1:256" x14ac:dyDescent="0.35">
      <c r="A135" s="2"/>
      <c r="B135" s="2"/>
      <c r="C135" s="2"/>
      <c r="D135" s="2"/>
      <c r="E135" s="2"/>
      <c r="F135" s="2"/>
      <c r="G135" s="2"/>
      <c r="H135" s="2"/>
      <c r="I135" s="2"/>
      <c r="K135" s="2"/>
      <c r="L135" s="2"/>
      <c r="M135" s="2"/>
      <c r="N135" s="2"/>
      <c r="O135" s="2"/>
      <c r="P135" s="2"/>
      <c r="R135" s="1">
        <f t="shared" si="15"/>
        <v>0</v>
      </c>
    </row>
    <row r="136" spans="1:256" x14ac:dyDescent="0.35">
      <c r="A136" s="2"/>
      <c r="B136" s="2"/>
      <c r="C136" s="2"/>
      <c r="D136" s="2"/>
      <c r="E136" s="2"/>
      <c r="F136" s="2"/>
      <c r="G136" s="2"/>
      <c r="H136" s="2"/>
      <c r="I136" s="2"/>
      <c r="K136" s="2"/>
      <c r="L136" s="2"/>
      <c r="M136" s="2"/>
      <c r="N136" s="2"/>
      <c r="O136" s="2"/>
      <c r="P136" s="2"/>
      <c r="R136" s="1">
        <f t="shared" si="15"/>
        <v>0</v>
      </c>
    </row>
    <row r="137" spans="1:256" x14ac:dyDescent="0.35">
      <c r="A137" s="2"/>
      <c r="B137" s="2"/>
      <c r="C137" s="2"/>
      <c r="D137" s="2"/>
      <c r="E137" s="2"/>
      <c r="F137" s="2"/>
      <c r="G137" s="2"/>
      <c r="H137" s="2"/>
      <c r="I137" s="2"/>
      <c r="K137" s="2"/>
      <c r="L137" s="2"/>
      <c r="M137" s="2"/>
      <c r="N137" s="2"/>
      <c r="O137" s="2"/>
      <c r="P137" s="2"/>
      <c r="R137" s="1">
        <f t="shared" si="15"/>
        <v>0</v>
      </c>
    </row>
    <row r="138" spans="1:256" x14ac:dyDescent="0.35">
      <c r="A138" s="2"/>
      <c r="B138" s="2"/>
      <c r="C138" s="2"/>
      <c r="D138" s="2"/>
      <c r="E138" s="2"/>
      <c r="F138" s="2"/>
      <c r="G138" s="2"/>
      <c r="H138" s="2"/>
      <c r="I138" s="2"/>
      <c r="K138" s="2"/>
      <c r="L138" s="2"/>
      <c r="M138" s="2"/>
      <c r="N138" s="2"/>
      <c r="O138" s="2"/>
      <c r="P138" s="2"/>
      <c r="R138" s="1">
        <f t="shared" si="15"/>
        <v>0</v>
      </c>
    </row>
    <row r="139" spans="1:256" x14ac:dyDescent="0.35">
      <c r="A139" s="2"/>
      <c r="B139" s="2"/>
      <c r="C139" s="2"/>
      <c r="D139" s="2"/>
      <c r="E139" s="2"/>
      <c r="F139" s="2"/>
      <c r="G139" s="2"/>
      <c r="H139" s="2"/>
      <c r="I139" s="2"/>
      <c r="K139" s="2"/>
      <c r="L139" s="2"/>
      <c r="M139" s="2"/>
      <c r="N139" s="2"/>
      <c r="O139" s="2"/>
      <c r="P139" s="2"/>
    </row>
    <row r="140" spans="1:256" x14ac:dyDescent="0.35">
      <c r="A140" s="2"/>
      <c r="B140" s="2"/>
      <c r="C140" s="2"/>
      <c r="D140" s="2"/>
      <c r="E140" s="2"/>
      <c r="F140" s="2"/>
      <c r="G140" s="2"/>
      <c r="H140" s="2"/>
      <c r="I140" s="2"/>
      <c r="K140" s="2"/>
      <c r="L140" s="2"/>
      <c r="M140" s="2"/>
      <c r="N140" s="2"/>
      <c r="O140" s="2"/>
      <c r="P140" s="2"/>
    </row>
    <row r="141" spans="1:256" x14ac:dyDescent="0.35">
      <c r="A141" s="2"/>
      <c r="B141" s="2"/>
      <c r="C141" s="2"/>
      <c r="D141" s="2"/>
      <c r="E141" s="2"/>
      <c r="F141" s="2"/>
      <c r="G141" s="2"/>
      <c r="H141" s="2"/>
      <c r="I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</row>
    <row r="142" spans="1:256" x14ac:dyDescent="0.35">
      <c r="A142" s="2"/>
      <c r="B142" s="2"/>
      <c r="C142" s="2"/>
      <c r="D142" s="2"/>
      <c r="E142" s="2"/>
      <c r="F142" s="2"/>
      <c r="G142" s="2"/>
      <c r="H142" s="2"/>
      <c r="I142" s="2"/>
      <c r="K142" s="2"/>
      <c r="L142" s="2"/>
      <c r="M142" s="2"/>
      <c r="N142" s="2"/>
      <c r="O142" s="2"/>
      <c r="P142" s="2"/>
    </row>
    <row r="143" spans="1:256" x14ac:dyDescent="0.35">
      <c r="A143" s="2"/>
      <c r="B143" s="2"/>
      <c r="C143" s="2"/>
      <c r="D143" s="2"/>
      <c r="E143" s="2"/>
      <c r="F143" s="2"/>
      <c r="G143" s="2"/>
      <c r="H143" s="2"/>
      <c r="I143" s="2"/>
      <c r="K143" s="2"/>
      <c r="L143" s="2"/>
      <c r="M143" s="2"/>
      <c r="N143" s="2"/>
      <c r="O143" s="2"/>
      <c r="P143" s="2"/>
      <c r="R143" s="1">
        <f>SUM(K143:O143)</f>
        <v>0</v>
      </c>
    </row>
    <row r="144" spans="1:256" x14ac:dyDescent="0.35">
      <c r="A144" s="2"/>
      <c r="B144" s="2"/>
      <c r="C144" s="2"/>
      <c r="D144" s="2"/>
      <c r="E144" s="2"/>
      <c r="F144" s="2"/>
      <c r="G144" s="2"/>
      <c r="H144" s="2"/>
      <c r="I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  <c r="IN144" s="2"/>
      <c r="IO144" s="2"/>
      <c r="IP144" s="2"/>
      <c r="IQ144" s="2"/>
      <c r="IR144" s="2"/>
      <c r="IS144" s="2"/>
      <c r="IT144" s="2"/>
      <c r="IU144" s="2"/>
      <c r="IV144" s="2"/>
    </row>
    <row r="145" spans="1:256" x14ac:dyDescent="0.35">
      <c r="A145" s="2"/>
      <c r="B145" s="2"/>
      <c r="C145" s="2"/>
      <c r="D145" s="2"/>
      <c r="E145" s="2"/>
      <c r="F145" s="2"/>
      <c r="G145" s="2"/>
      <c r="H145" s="2"/>
      <c r="I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</row>
    <row r="146" spans="1:256" x14ac:dyDescent="0.35">
      <c r="A146" s="2"/>
      <c r="B146" s="2"/>
      <c r="C146" s="2"/>
      <c r="D146" s="2"/>
      <c r="E146" s="2"/>
      <c r="F146" s="2"/>
      <c r="G146" s="2"/>
      <c r="H146" s="2"/>
      <c r="I146" s="2"/>
      <c r="K146" s="2"/>
      <c r="L146" s="2"/>
      <c r="M146" s="2"/>
      <c r="N146" s="2"/>
      <c r="O146" s="2"/>
      <c r="P146" s="2"/>
      <c r="Q146" s="11"/>
      <c r="R146" s="9"/>
    </row>
    <row r="147" spans="1:256" ht="12.7" x14ac:dyDescent="0.4">
      <c r="A147" s="2"/>
      <c r="B147" s="2"/>
      <c r="C147" s="2"/>
      <c r="D147" s="2"/>
      <c r="E147" s="2"/>
      <c r="F147" s="2"/>
      <c r="G147" s="2"/>
      <c r="H147" s="2"/>
      <c r="I147" s="2"/>
      <c r="K147" s="2"/>
      <c r="L147" s="2"/>
      <c r="M147" s="2"/>
      <c r="N147" s="2"/>
      <c r="O147" s="2"/>
      <c r="P147" s="2"/>
      <c r="Q147" s="5"/>
      <c r="R147" s="5">
        <f>SUM(R128:R146)</f>
        <v>0</v>
      </c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56" x14ac:dyDescent="0.35">
      <c r="A148" s="2"/>
      <c r="B148" s="2"/>
      <c r="C148" s="2"/>
      <c r="D148" s="2"/>
      <c r="E148" s="2"/>
      <c r="F148" s="2"/>
      <c r="G148" s="2"/>
      <c r="H148" s="2"/>
      <c r="I148" s="2"/>
      <c r="K148" s="2"/>
      <c r="L148" s="2"/>
      <c r="M148" s="2"/>
      <c r="N148" s="2"/>
      <c r="O148" s="2"/>
      <c r="P148" s="2"/>
      <c r="R148" s="1">
        <f t="shared" ref="R148:R156" si="16">SUM(K148:O148)</f>
        <v>0</v>
      </c>
    </row>
    <row r="149" spans="1:256" x14ac:dyDescent="0.35">
      <c r="A149" s="2"/>
      <c r="B149" s="2"/>
      <c r="C149" s="2"/>
      <c r="D149" s="2"/>
      <c r="E149" s="2"/>
      <c r="F149" s="2"/>
      <c r="G149" s="2"/>
      <c r="H149" s="2"/>
      <c r="I149" s="2"/>
      <c r="K149" s="2"/>
      <c r="L149" s="2"/>
      <c r="M149" s="2"/>
      <c r="N149" s="2"/>
      <c r="O149" s="2"/>
      <c r="P149" s="2"/>
      <c r="R149" s="1">
        <f t="shared" si="16"/>
        <v>0</v>
      </c>
    </row>
    <row r="150" spans="1:256" x14ac:dyDescent="0.35">
      <c r="A150" s="2"/>
      <c r="B150" s="2"/>
      <c r="C150" s="2"/>
      <c r="D150" s="2"/>
      <c r="E150" s="2"/>
      <c r="F150" s="2"/>
      <c r="G150" s="2"/>
      <c r="H150" s="2"/>
      <c r="I150" s="2"/>
      <c r="K150" s="2"/>
      <c r="L150" s="2"/>
      <c r="M150" s="2"/>
      <c r="N150" s="2"/>
      <c r="O150" s="2"/>
      <c r="P150" s="2"/>
      <c r="R150" s="1">
        <f t="shared" si="16"/>
        <v>0</v>
      </c>
    </row>
    <row r="151" spans="1:256" x14ac:dyDescent="0.35">
      <c r="A151" s="2"/>
      <c r="B151" s="2"/>
      <c r="C151" s="2"/>
      <c r="D151" s="2"/>
      <c r="E151" s="2"/>
      <c r="F151" s="2"/>
      <c r="G151" s="2"/>
      <c r="H151" s="2"/>
      <c r="I151" s="2"/>
      <c r="K151" s="2"/>
      <c r="L151" s="2"/>
      <c r="M151" s="2"/>
      <c r="N151" s="2"/>
      <c r="O151" s="2"/>
      <c r="P151" s="2"/>
      <c r="R151" s="1">
        <f t="shared" si="16"/>
        <v>0</v>
      </c>
    </row>
    <row r="152" spans="1:256" x14ac:dyDescent="0.35">
      <c r="A152" s="2"/>
      <c r="B152" s="2"/>
      <c r="C152" s="2"/>
      <c r="D152" s="2"/>
      <c r="E152" s="2"/>
      <c r="F152" s="2"/>
      <c r="G152" s="2"/>
      <c r="H152" s="2"/>
      <c r="I152" s="2"/>
      <c r="K152" s="2"/>
      <c r="L152" s="2"/>
      <c r="M152" s="2"/>
      <c r="N152" s="2"/>
      <c r="O152" s="2"/>
      <c r="P152" s="2"/>
      <c r="R152" s="1">
        <f t="shared" si="16"/>
        <v>0</v>
      </c>
    </row>
    <row r="153" spans="1:256" x14ac:dyDescent="0.35">
      <c r="A153" s="2"/>
      <c r="B153" s="2"/>
      <c r="C153" s="2"/>
      <c r="D153" s="2"/>
      <c r="E153" s="2"/>
      <c r="F153" s="2"/>
      <c r="G153" s="2"/>
      <c r="H153" s="2"/>
      <c r="I153" s="2"/>
      <c r="K153" s="2"/>
      <c r="L153" s="2"/>
      <c r="M153" s="2"/>
      <c r="N153" s="2"/>
      <c r="O153" s="2"/>
      <c r="P153" s="2"/>
      <c r="R153" s="1">
        <f t="shared" si="16"/>
        <v>0</v>
      </c>
    </row>
    <row r="154" spans="1:256" x14ac:dyDescent="0.35">
      <c r="A154" s="2"/>
      <c r="B154" s="2"/>
      <c r="C154" s="2"/>
      <c r="D154" s="2"/>
      <c r="E154" s="2"/>
      <c r="F154" s="2"/>
      <c r="G154" s="2"/>
      <c r="H154" s="2"/>
      <c r="I154" s="2"/>
      <c r="K154" s="2"/>
      <c r="L154" s="2"/>
      <c r="M154" s="2"/>
      <c r="N154" s="2"/>
      <c r="O154" s="2"/>
      <c r="P154" s="2"/>
      <c r="R154" s="1">
        <f t="shared" si="16"/>
        <v>0</v>
      </c>
    </row>
    <row r="155" spans="1:256" x14ac:dyDescent="0.35">
      <c r="A155" s="2"/>
      <c r="B155" s="2"/>
      <c r="C155" s="2"/>
      <c r="D155" s="2"/>
      <c r="E155" s="2"/>
      <c r="F155" s="2"/>
      <c r="G155" s="2"/>
      <c r="H155" s="2"/>
      <c r="I155" s="2"/>
      <c r="K155" s="2"/>
      <c r="L155" s="2"/>
      <c r="M155" s="2"/>
      <c r="N155" s="2"/>
      <c r="O155" s="2"/>
      <c r="P155" s="2"/>
      <c r="R155" s="1">
        <f t="shared" si="16"/>
        <v>0</v>
      </c>
    </row>
    <row r="156" spans="1:256" x14ac:dyDescent="0.35">
      <c r="A156" s="2"/>
      <c r="B156" s="2"/>
      <c r="C156" s="2"/>
      <c r="D156" s="2"/>
      <c r="E156" s="2"/>
      <c r="F156" s="2"/>
      <c r="G156" s="2"/>
      <c r="H156" s="2"/>
      <c r="I156" s="2"/>
      <c r="K156" s="2"/>
      <c r="L156" s="2"/>
      <c r="M156" s="2"/>
      <c r="N156" s="2"/>
      <c r="O156" s="2"/>
      <c r="P156" s="2"/>
      <c r="Q156" s="11"/>
      <c r="R156" s="9">
        <f t="shared" si="16"/>
        <v>0</v>
      </c>
    </row>
    <row r="157" spans="1:256" ht="12.7" x14ac:dyDescent="0.4">
      <c r="A157" s="2"/>
      <c r="B157" s="2"/>
      <c r="C157" s="2"/>
      <c r="D157" s="2"/>
      <c r="E157" s="2"/>
      <c r="F157" s="2"/>
      <c r="G157" s="2"/>
      <c r="H157" s="2"/>
      <c r="I157" s="2"/>
      <c r="K157" s="2"/>
      <c r="L157" s="2"/>
      <c r="M157" s="2"/>
      <c r="N157" s="2"/>
      <c r="O157" s="2"/>
      <c r="P157" s="2"/>
      <c r="Q157" s="5"/>
      <c r="R157" s="5">
        <f>SUM(R147:R156)</f>
        <v>0</v>
      </c>
      <c r="S157" s="4"/>
      <c r="T157" s="4"/>
    </row>
    <row r="158" spans="1:256" x14ac:dyDescent="0.35">
      <c r="A158" s="2"/>
      <c r="B158" s="2"/>
      <c r="C158" s="2"/>
      <c r="D158" s="2"/>
      <c r="E158" s="2"/>
      <c r="F158" s="2"/>
      <c r="G158" s="2"/>
      <c r="H158" s="2"/>
      <c r="I158" s="2"/>
      <c r="K158" s="2"/>
      <c r="L158" s="2"/>
      <c r="M158" s="2"/>
      <c r="N158" s="2"/>
      <c r="O158" s="2"/>
      <c r="P158" s="2"/>
      <c r="R158" s="1">
        <f>SUM(K158:O158)</f>
        <v>0</v>
      </c>
    </row>
    <row r="159" spans="1:256" x14ac:dyDescent="0.35">
      <c r="A159" s="2"/>
      <c r="B159" s="2"/>
      <c r="C159" s="2"/>
      <c r="D159" s="2"/>
      <c r="E159" s="2"/>
      <c r="F159" s="2"/>
      <c r="G159" s="2"/>
      <c r="H159" s="2"/>
      <c r="I159" s="2"/>
      <c r="K159" s="2"/>
      <c r="L159" s="2"/>
      <c r="M159" s="2"/>
      <c r="N159" s="2"/>
      <c r="O159" s="2"/>
      <c r="P159" s="2"/>
      <c r="Q159" s="11"/>
      <c r="R159" s="9">
        <f>SUM(K159:O159)</f>
        <v>0</v>
      </c>
    </row>
    <row r="160" spans="1:256" x14ac:dyDescent="0.35">
      <c r="A160" s="2"/>
      <c r="B160" s="2"/>
      <c r="C160" s="2"/>
      <c r="D160" s="2"/>
      <c r="E160" s="2"/>
      <c r="F160" s="2"/>
      <c r="G160" s="2"/>
      <c r="H160" s="2"/>
      <c r="I160" s="2"/>
      <c r="K160" s="2"/>
      <c r="L160" s="2"/>
      <c r="M160" s="2"/>
      <c r="N160" s="2"/>
      <c r="O160" s="2"/>
      <c r="P160" s="2"/>
      <c r="Q160" s="5"/>
      <c r="R160" s="5">
        <f>R123-R157</f>
        <v>0</v>
      </c>
    </row>
    <row r="161" spans="1:28" x14ac:dyDescent="0.35">
      <c r="A161" s="2"/>
      <c r="B161" s="2"/>
      <c r="C161" s="2"/>
      <c r="D161" s="2"/>
      <c r="E161" s="2"/>
      <c r="F161" s="2"/>
      <c r="G161" s="2"/>
      <c r="H161" s="2"/>
      <c r="I161" s="2"/>
      <c r="K161" s="2"/>
      <c r="L161" s="2"/>
      <c r="M161" s="2"/>
      <c r="N161" s="2"/>
      <c r="O161" s="2"/>
      <c r="P161" s="2"/>
      <c r="R161" s="1">
        <f>SUM(K161:O161)</f>
        <v>0</v>
      </c>
    </row>
    <row r="162" spans="1:28" x14ac:dyDescent="0.35">
      <c r="A162" s="2"/>
      <c r="B162" s="2"/>
      <c r="C162" s="2"/>
      <c r="D162" s="2"/>
      <c r="E162" s="2"/>
      <c r="F162" s="2"/>
      <c r="G162" s="2"/>
      <c r="H162" s="2"/>
      <c r="I162" s="2"/>
      <c r="K162" s="2"/>
      <c r="L162" s="2"/>
      <c r="M162" s="2"/>
      <c r="N162" s="2"/>
      <c r="O162" s="2"/>
      <c r="P162" s="2"/>
      <c r="R162" s="1">
        <f>SUM(K162:O162)</f>
        <v>0</v>
      </c>
    </row>
    <row r="163" spans="1:28" x14ac:dyDescent="0.35">
      <c r="A163" s="2"/>
      <c r="B163" s="2"/>
      <c r="C163" s="2"/>
      <c r="D163" s="2"/>
      <c r="E163" s="2"/>
      <c r="F163" s="2"/>
      <c r="G163" s="2"/>
      <c r="H163" s="2"/>
      <c r="I163" s="2"/>
      <c r="K163" s="2"/>
      <c r="L163" s="2"/>
      <c r="M163" s="2"/>
      <c r="N163" s="2"/>
      <c r="O163" s="2"/>
      <c r="P163" s="2"/>
      <c r="R163" s="1">
        <f>SUM(K163:O163)</f>
        <v>0</v>
      </c>
    </row>
    <row r="164" spans="1:28" x14ac:dyDescent="0.35">
      <c r="A164" s="2"/>
      <c r="B164" s="2"/>
      <c r="C164" s="2"/>
      <c r="D164" s="2"/>
      <c r="E164" s="2"/>
      <c r="F164" s="2"/>
      <c r="G164" s="2"/>
      <c r="H164" s="2"/>
      <c r="I164" s="2"/>
      <c r="K164" s="2"/>
      <c r="L164" s="2"/>
      <c r="M164" s="2"/>
      <c r="N164" s="2"/>
      <c r="O164" s="2"/>
      <c r="P164" s="2"/>
      <c r="Q164" s="11"/>
      <c r="R164" s="9">
        <f>SUM(K164:O164)</f>
        <v>0</v>
      </c>
    </row>
    <row r="165" spans="1:28" x14ac:dyDescent="0.35">
      <c r="A165" s="2"/>
      <c r="B165" s="2"/>
      <c r="C165" s="2"/>
      <c r="D165" s="2"/>
      <c r="E165" s="2"/>
      <c r="F165" s="2"/>
      <c r="G165" s="2"/>
      <c r="H165" s="2"/>
      <c r="I165" s="2"/>
      <c r="K165" s="2"/>
      <c r="L165" s="2"/>
      <c r="M165" s="2"/>
      <c r="N165" s="2"/>
      <c r="O165" s="2"/>
      <c r="P165" s="2"/>
      <c r="Q165" s="5"/>
      <c r="R165" s="5">
        <f>SUM(R160:R164)</f>
        <v>0</v>
      </c>
    </row>
    <row r="166" spans="1:28" x14ac:dyDescent="0.35">
      <c r="A166" s="2"/>
      <c r="B166" s="2"/>
      <c r="C166" s="2"/>
      <c r="D166" s="2"/>
      <c r="E166" s="2"/>
      <c r="F166" s="2"/>
      <c r="G166" s="2"/>
      <c r="H166" s="2"/>
      <c r="I166" s="2"/>
      <c r="K166" s="2"/>
      <c r="L166" s="2"/>
      <c r="M166" s="2"/>
      <c r="N166" s="2"/>
      <c r="O166" s="2"/>
      <c r="P166" s="2"/>
      <c r="R166" s="1">
        <f t="shared" ref="R166:R171" si="17">SUM(K166:O166)</f>
        <v>0</v>
      </c>
    </row>
    <row r="167" spans="1:28" x14ac:dyDescent="0.35">
      <c r="A167" s="2"/>
      <c r="B167" s="2"/>
      <c r="C167" s="2"/>
      <c r="D167" s="2"/>
      <c r="E167" s="2"/>
      <c r="F167" s="2"/>
      <c r="G167" s="2"/>
      <c r="H167" s="2"/>
      <c r="I167" s="2"/>
      <c r="K167" s="2"/>
      <c r="L167" s="2"/>
      <c r="M167" s="2"/>
      <c r="N167" s="2"/>
      <c r="O167" s="2"/>
      <c r="P167" s="2"/>
      <c r="R167" s="1">
        <f t="shared" si="17"/>
        <v>0</v>
      </c>
    </row>
    <row r="168" spans="1:28" x14ac:dyDescent="0.35">
      <c r="A168" s="2"/>
      <c r="B168" s="2"/>
      <c r="C168" s="2"/>
      <c r="D168" s="2"/>
      <c r="E168" s="2"/>
      <c r="F168" s="2"/>
      <c r="G168" s="2"/>
      <c r="H168" s="2"/>
      <c r="I168" s="2"/>
      <c r="K168" s="2"/>
      <c r="L168" s="2"/>
      <c r="M168" s="2"/>
      <c r="N168" s="2"/>
      <c r="O168" s="2"/>
      <c r="P168" s="2"/>
      <c r="R168" s="1">
        <f t="shared" si="17"/>
        <v>0</v>
      </c>
    </row>
    <row r="169" spans="1:28" x14ac:dyDescent="0.35">
      <c r="A169" s="2"/>
      <c r="B169" s="2"/>
      <c r="C169" s="2"/>
      <c r="D169" s="2"/>
      <c r="E169" s="2"/>
      <c r="F169" s="2"/>
      <c r="G169" s="2"/>
      <c r="H169" s="2"/>
      <c r="I169" s="2"/>
      <c r="K169" s="2"/>
      <c r="L169" s="2"/>
      <c r="M169" s="2"/>
      <c r="N169" s="2"/>
      <c r="O169" s="2"/>
      <c r="P169" s="2"/>
      <c r="R169" s="1">
        <f t="shared" si="17"/>
        <v>0</v>
      </c>
    </row>
    <row r="170" spans="1:28" x14ac:dyDescent="0.35">
      <c r="A170" s="2"/>
      <c r="B170" s="2"/>
      <c r="C170" s="2"/>
      <c r="D170" s="2"/>
      <c r="E170" s="2"/>
      <c r="F170" s="2"/>
      <c r="G170" s="2"/>
      <c r="H170" s="2"/>
      <c r="I170" s="2"/>
      <c r="K170" s="2"/>
      <c r="L170" s="2"/>
      <c r="M170" s="2"/>
      <c r="N170" s="2"/>
      <c r="O170" s="2"/>
      <c r="P170" s="2"/>
      <c r="R170" s="1">
        <f t="shared" si="17"/>
        <v>0</v>
      </c>
    </row>
    <row r="171" spans="1:28" x14ac:dyDescent="0.35">
      <c r="A171" s="2"/>
      <c r="B171" s="2"/>
      <c r="C171" s="2"/>
      <c r="D171" s="2"/>
      <c r="E171" s="2"/>
      <c r="F171" s="2"/>
      <c r="G171" s="2"/>
      <c r="H171" s="2"/>
      <c r="I171" s="2"/>
      <c r="K171" s="2"/>
      <c r="L171" s="2"/>
      <c r="M171" s="2"/>
      <c r="N171" s="2"/>
      <c r="O171" s="2"/>
      <c r="P171" s="2"/>
      <c r="Q171" s="11"/>
      <c r="R171" s="9">
        <f t="shared" si="17"/>
        <v>0</v>
      </c>
    </row>
    <row r="172" spans="1:28" ht="12.7" x14ac:dyDescent="0.4">
      <c r="A172" s="2"/>
      <c r="B172" s="2"/>
      <c r="C172" s="2"/>
      <c r="D172" s="2"/>
      <c r="E172" s="2"/>
      <c r="F172" s="2"/>
      <c r="G172" s="2"/>
      <c r="H172" s="2"/>
      <c r="I172" s="2"/>
      <c r="K172" s="2"/>
      <c r="L172" s="2"/>
      <c r="M172" s="2"/>
      <c r="N172" s="2"/>
      <c r="O172" s="2"/>
      <c r="P172" s="2"/>
      <c r="Q172" s="5"/>
      <c r="R172" s="5">
        <f>SUM(R165:R171)</f>
        <v>0</v>
      </c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x14ac:dyDescent="0.35">
      <c r="A173" s="2"/>
      <c r="B173" s="2"/>
      <c r="C173" s="2"/>
      <c r="D173" s="2"/>
      <c r="E173" s="2"/>
      <c r="F173" s="2"/>
      <c r="G173" s="2"/>
      <c r="H173" s="2"/>
      <c r="I173" s="2"/>
      <c r="K173" s="2"/>
      <c r="L173" s="2"/>
      <c r="M173" s="2"/>
      <c r="N173" s="2"/>
      <c r="O173" s="2"/>
      <c r="P173" s="2"/>
      <c r="R173" s="1">
        <f t="shared" ref="R173:R195" si="18">SUM(K173:O173)</f>
        <v>0</v>
      </c>
    </row>
    <row r="174" spans="1:28" ht="12.7" x14ac:dyDescent="0.4">
      <c r="A174" s="2"/>
      <c r="B174" s="2"/>
      <c r="C174" s="2"/>
      <c r="D174" s="2"/>
      <c r="E174" s="2"/>
      <c r="F174" s="2"/>
      <c r="G174" s="2"/>
      <c r="H174" s="2"/>
      <c r="I174" s="2"/>
      <c r="K174" s="2"/>
      <c r="L174" s="2"/>
      <c r="M174" s="2"/>
      <c r="N174" s="2"/>
      <c r="O174" s="2"/>
      <c r="P174" s="2"/>
      <c r="Q174" s="5"/>
      <c r="R174" s="5">
        <f t="shared" si="18"/>
        <v>0</v>
      </c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x14ac:dyDescent="0.35">
      <c r="A175" s="2"/>
      <c r="B175" s="2"/>
      <c r="C175" s="2"/>
      <c r="D175" s="2"/>
      <c r="E175" s="2"/>
      <c r="F175" s="2"/>
      <c r="G175" s="2"/>
      <c r="H175" s="2"/>
      <c r="I175" s="2"/>
      <c r="K175" s="2"/>
      <c r="L175" s="2"/>
      <c r="M175" s="2"/>
      <c r="N175" s="2"/>
      <c r="O175" s="2"/>
      <c r="P175" s="2"/>
      <c r="Q175" s="10"/>
      <c r="R175" s="9">
        <f t="shared" si="18"/>
        <v>0</v>
      </c>
    </row>
    <row r="176" spans="1:28" ht="12.7" x14ac:dyDescent="0.4">
      <c r="A176" s="2"/>
      <c r="B176" s="2"/>
      <c r="C176" s="2"/>
      <c r="D176" s="2"/>
      <c r="E176" s="2"/>
      <c r="F176" s="2"/>
      <c r="G176" s="2"/>
      <c r="H176" s="2"/>
      <c r="I176" s="2"/>
      <c r="K176" s="2"/>
      <c r="L176" s="2"/>
      <c r="M176" s="2"/>
      <c r="N176" s="2"/>
      <c r="O176" s="2"/>
      <c r="P176" s="2"/>
      <c r="Q176" s="5"/>
      <c r="R176" s="5">
        <f t="shared" si="18"/>
        <v>0</v>
      </c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18" x14ac:dyDescent="0.35">
      <c r="A177" s="2"/>
      <c r="B177" s="2"/>
      <c r="C177" s="2"/>
      <c r="D177" s="2"/>
      <c r="E177" s="2"/>
      <c r="F177" s="2"/>
      <c r="G177" s="2"/>
      <c r="H177" s="2"/>
      <c r="I177" s="2"/>
      <c r="K177" s="2"/>
      <c r="L177" s="2"/>
      <c r="M177" s="2"/>
      <c r="N177" s="2"/>
      <c r="O177" s="2"/>
      <c r="P177" s="2"/>
      <c r="Q177" s="8"/>
      <c r="R177" s="7">
        <f t="shared" si="18"/>
        <v>0</v>
      </c>
    </row>
    <row r="178" spans="1:18" x14ac:dyDescent="0.35">
      <c r="A178" s="2"/>
      <c r="B178" s="2"/>
      <c r="C178" s="2"/>
      <c r="D178" s="2"/>
      <c r="E178" s="2"/>
      <c r="F178" s="2"/>
      <c r="G178" s="2"/>
      <c r="H178" s="2"/>
      <c r="I178" s="2"/>
      <c r="K178" s="2"/>
      <c r="L178" s="2"/>
      <c r="M178" s="2"/>
      <c r="N178" s="2"/>
      <c r="O178" s="2"/>
      <c r="P178" s="2"/>
      <c r="R178" s="1">
        <f t="shared" si="18"/>
        <v>0</v>
      </c>
    </row>
    <row r="179" spans="1:18" x14ac:dyDescent="0.35">
      <c r="A179" s="2"/>
      <c r="B179" s="2"/>
      <c r="C179" s="2"/>
      <c r="D179" s="2"/>
      <c r="E179" s="2"/>
      <c r="F179" s="2"/>
      <c r="G179" s="2"/>
      <c r="H179" s="2"/>
      <c r="I179" s="2"/>
      <c r="K179" s="2"/>
      <c r="L179" s="2"/>
      <c r="M179" s="2"/>
      <c r="N179" s="2"/>
      <c r="O179" s="2"/>
      <c r="P179" s="2"/>
      <c r="R179" s="1">
        <f t="shared" si="18"/>
        <v>0</v>
      </c>
    </row>
    <row r="180" spans="1:18" x14ac:dyDescent="0.35">
      <c r="A180" s="2"/>
      <c r="B180" s="2"/>
      <c r="C180" s="2"/>
      <c r="D180" s="2"/>
      <c r="E180" s="2"/>
      <c r="F180" s="2"/>
      <c r="G180" s="2"/>
      <c r="H180" s="2"/>
      <c r="I180" s="2"/>
      <c r="K180" s="2"/>
      <c r="L180" s="2"/>
      <c r="M180" s="2"/>
      <c r="N180" s="2"/>
      <c r="O180" s="2"/>
      <c r="P180" s="2"/>
      <c r="R180" s="1">
        <f t="shared" si="18"/>
        <v>0</v>
      </c>
    </row>
    <row r="181" spans="1:18" x14ac:dyDescent="0.35">
      <c r="A181" s="2"/>
      <c r="B181" s="2"/>
      <c r="C181" s="2"/>
      <c r="D181" s="2"/>
      <c r="E181" s="2"/>
      <c r="F181" s="2"/>
      <c r="G181" s="2"/>
      <c r="H181" s="2"/>
      <c r="I181" s="2"/>
      <c r="K181" s="2"/>
      <c r="L181" s="2"/>
      <c r="M181" s="2"/>
      <c r="N181" s="2"/>
      <c r="O181" s="2"/>
      <c r="P181" s="2"/>
      <c r="R181" s="1">
        <f t="shared" si="18"/>
        <v>0</v>
      </c>
    </row>
    <row r="182" spans="1:18" x14ac:dyDescent="0.35">
      <c r="A182" s="2"/>
      <c r="B182" s="2"/>
      <c r="C182" s="2"/>
      <c r="D182" s="2"/>
      <c r="E182" s="2"/>
      <c r="F182" s="2"/>
      <c r="G182" s="2"/>
      <c r="H182" s="2"/>
      <c r="I182" s="2"/>
      <c r="K182" s="2"/>
      <c r="L182" s="2"/>
      <c r="M182" s="2"/>
      <c r="N182" s="2"/>
      <c r="O182" s="2"/>
      <c r="P182" s="2"/>
      <c r="R182" s="1">
        <f t="shared" si="18"/>
        <v>0</v>
      </c>
    </row>
    <row r="183" spans="1:18" x14ac:dyDescent="0.35">
      <c r="A183" s="2"/>
      <c r="B183" s="2"/>
      <c r="C183" s="2"/>
      <c r="D183" s="2"/>
      <c r="E183" s="2"/>
      <c r="F183" s="2"/>
      <c r="G183" s="2"/>
      <c r="H183" s="2"/>
      <c r="I183" s="2"/>
      <c r="K183" s="2"/>
      <c r="L183" s="2"/>
      <c r="M183" s="2"/>
      <c r="N183" s="2"/>
      <c r="O183" s="2"/>
      <c r="P183" s="2"/>
      <c r="R183" s="1">
        <f t="shared" si="18"/>
        <v>0</v>
      </c>
    </row>
    <row r="184" spans="1:18" x14ac:dyDescent="0.35">
      <c r="A184" s="2"/>
      <c r="B184" s="2"/>
      <c r="C184" s="2"/>
      <c r="D184" s="2"/>
      <c r="E184" s="2"/>
      <c r="F184" s="2"/>
      <c r="G184" s="2"/>
      <c r="H184" s="2"/>
      <c r="I184" s="2"/>
      <c r="K184" s="2"/>
      <c r="L184" s="2"/>
      <c r="M184" s="2"/>
      <c r="N184" s="2"/>
      <c r="O184" s="2"/>
      <c r="P184" s="2"/>
      <c r="R184" s="1">
        <f t="shared" si="18"/>
        <v>0</v>
      </c>
    </row>
    <row r="185" spans="1:18" x14ac:dyDescent="0.35">
      <c r="A185" s="2"/>
      <c r="B185" s="2"/>
      <c r="C185" s="2"/>
      <c r="D185" s="2"/>
      <c r="E185" s="2"/>
      <c r="F185" s="2"/>
      <c r="G185" s="2"/>
      <c r="H185" s="2"/>
      <c r="I185" s="2"/>
      <c r="K185" s="2"/>
      <c r="L185" s="2"/>
      <c r="M185" s="2"/>
      <c r="N185" s="2"/>
      <c r="O185" s="2"/>
      <c r="P185" s="2"/>
      <c r="R185" s="1">
        <f t="shared" si="18"/>
        <v>0</v>
      </c>
    </row>
    <row r="186" spans="1:18" x14ac:dyDescent="0.35">
      <c r="A186" s="2"/>
      <c r="B186" s="2"/>
      <c r="C186" s="2"/>
      <c r="D186" s="2"/>
      <c r="E186" s="2"/>
      <c r="F186" s="2"/>
      <c r="G186" s="2"/>
      <c r="H186" s="2"/>
      <c r="I186" s="2"/>
      <c r="K186" s="2"/>
      <c r="L186" s="2"/>
      <c r="M186" s="2"/>
      <c r="N186" s="2"/>
      <c r="O186" s="2"/>
      <c r="P186" s="2"/>
      <c r="R186" s="1">
        <f t="shared" si="18"/>
        <v>0</v>
      </c>
    </row>
    <row r="187" spans="1:18" x14ac:dyDescent="0.35">
      <c r="A187" s="2"/>
      <c r="B187" s="2"/>
      <c r="C187" s="2"/>
      <c r="D187" s="2"/>
      <c r="E187" s="2"/>
      <c r="F187" s="2"/>
      <c r="G187" s="2"/>
      <c r="H187" s="2"/>
      <c r="I187" s="2"/>
      <c r="K187" s="2"/>
      <c r="L187" s="2"/>
      <c r="M187" s="2"/>
      <c r="N187" s="2"/>
      <c r="O187" s="2"/>
      <c r="P187" s="2"/>
      <c r="R187" s="1">
        <f t="shared" si="18"/>
        <v>0</v>
      </c>
    </row>
    <row r="188" spans="1:18" x14ac:dyDescent="0.35">
      <c r="A188" s="2"/>
      <c r="B188" s="2"/>
      <c r="C188" s="2"/>
      <c r="D188" s="2"/>
      <c r="E188" s="2"/>
      <c r="F188" s="2"/>
      <c r="G188" s="2"/>
      <c r="H188" s="2"/>
      <c r="I188" s="2"/>
      <c r="K188" s="2"/>
      <c r="L188" s="2"/>
      <c r="M188" s="2"/>
      <c r="N188" s="2"/>
      <c r="O188" s="2"/>
      <c r="P188" s="2"/>
      <c r="R188" s="1">
        <f t="shared" si="18"/>
        <v>0</v>
      </c>
    </row>
    <row r="189" spans="1:18" x14ac:dyDescent="0.35">
      <c r="A189" s="2"/>
      <c r="B189" s="2"/>
      <c r="C189" s="2"/>
      <c r="D189" s="2"/>
      <c r="E189" s="2"/>
      <c r="F189" s="2"/>
      <c r="G189" s="2"/>
      <c r="H189" s="2"/>
      <c r="I189" s="2"/>
      <c r="K189" s="2"/>
      <c r="L189" s="2"/>
      <c r="M189" s="2"/>
      <c r="N189" s="2"/>
      <c r="O189" s="2"/>
      <c r="P189" s="2"/>
      <c r="R189" s="1">
        <f t="shared" si="18"/>
        <v>0</v>
      </c>
    </row>
    <row r="190" spans="1:18" x14ac:dyDescent="0.35">
      <c r="A190" s="2"/>
      <c r="B190" s="2"/>
      <c r="C190" s="2"/>
      <c r="D190" s="2"/>
      <c r="E190" s="2"/>
      <c r="F190" s="2"/>
      <c r="G190" s="2"/>
      <c r="H190" s="2"/>
      <c r="I190" s="2"/>
      <c r="K190" s="2"/>
      <c r="L190" s="2"/>
      <c r="M190" s="2"/>
      <c r="N190" s="2"/>
      <c r="O190" s="2"/>
      <c r="P190" s="2"/>
      <c r="R190" s="1">
        <f t="shared" si="18"/>
        <v>0</v>
      </c>
    </row>
    <row r="191" spans="1:18" x14ac:dyDescent="0.35">
      <c r="A191" s="2"/>
      <c r="B191" s="2"/>
      <c r="C191" s="2"/>
      <c r="D191" s="2"/>
      <c r="E191" s="2"/>
      <c r="F191" s="2"/>
      <c r="G191" s="2"/>
      <c r="H191" s="2"/>
      <c r="I191" s="2"/>
      <c r="K191" s="2"/>
      <c r="L191" s="2"/>
      <c r="M191" s="2"/>
      <c r="N191" s="2"/>
      <c r="O191" s="2"/>
      <c r="P191" s="2"/>
      <c r="R191" s="1">
        <f t="shared" si="18"/>
        <v>0</v>
      </c>
    </row>
    <row r="192" spans="1:18" x14ac:dyDescent="0.35">
      <c r="A192" s="2"/>
      <c r="B192" s="2"/>
      <c r="C192" s="2"/>
      <c r="D192" s="2"/>
      <c r="E192" s="2"/>
      <c r="F192" s="2"/>
      <c r="G192" s="2"/>
      <c r="H192" s="2"/>
      <c r="I192" s="2"/>
      <c r="K192" s="2"/>
      <c r="L192" s="2"/>
      <c r="M192" s="2"/>
      <c r="N192" s="2"/>
      <c r="O192" s="2"/>
      <c r="P192" s="2"/>
      <c r="R192" s="1">
        <f t="shared" si="18"/>
        <v>0</v>
      </c>
    </row>
    <row r="193" spans="1:256" x14ac:dyDescent="0.35">
      <c r="A193" s="2"/>
      <c r="B193" s="2"/>
      <c r="C193" s="2"/>
      <c r="D193" s="2"/>
      <c r="E193" s="2"/>
      <c r="F193" s="2"/>
      <c r="G193" s="2"/>
      <c r="H193" s="2"/>
      <c r="I193" s="2"/>
      <c r="K193" s="2"/>
      <c r="L193" s="2"/>
      <c r="M193" s="2"/>
      <c r="N193" s="2"/>
      <c r="O193" s="2"/>
      <c r="P193" s="2"/>
      <c r="R193" s="1">
        <f t="shared" si="18"/>
        <v>0</v>
      </c>
    </row>
    <row r="194" spans="1:256" x14ac:dyDescent="0.35">
      <c r="A194" s="2"/>
      <c r="B194" s="2"/>
      <c r="C194" s="2"/>
      <c r="D194" s="2"/>
      <c r="E194" s="2"/>
      <c r="F194" s="2"/>
      <c r="G194" s="2"/>
      <c r="H194" s="2"/>
      <c r="I194" s="2"/>
      <c r="K194" s="2"/>
      <c r="L194" s="2"/>
      <c r="M194" s="2"/>
      <c r="N194" s="2"/>
      <c r="O194" s="2"/>
      <c r="P194" s="2"/>
      <c r="R194" s="1">
        <f t="shared" si="18"/>
        <v>0</v>
      </c>
    </row>
    <row r="195" spans="1:256" x14ac:dyDescent="0.35">
      <c r="A195" s="2"/>
      <c r="B195" s="2"/>
      <c r="C195" s="2"/>
      <c r="D195" s="2"/>
      <c r="E195" s="2"/>
      <c r="F195" s="2"/>
      <c r="G195" s="2"/>
      <c r="H195" s="2"/>
      <c r="I195" s="2"/>
      <c r="K195" s="2"/>
      <c r="L195" s="2"/>
      <c r="M195" s="2"/>
      <c r="N195" s="2"/>
      <c r="O195" s="2"/>
      <c r="P195" s="2"/>
      <c r="R195" s="1">
        <f t="shared" si="18"/>
        <v>0</v>
      </c>
    </row>
    <row r="196" spans="1:256" x14ac:dyDescent="0.35">
      <c r="A196" s="2"/>
      <c r="B196" s="2"/>
      <c r="C196" s="2"/>
      <c r="D196" s="2"/>
      <c r="E196" s="2"/>
      <c r="F196" s="2"/>
      <c r="G196" s="2"/>
      <c r="H196" s="2"/>
      <c r="I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  <c r="GZ196" s="2"/>
      <c r="HA196" s="2"/>
      <c r="HB196" s="2"/>
      <c r="HC196" s="2"/>
      <c r="HD196" s="2"/>
      <c r="HE196" s="2"/>
      <c r="HF196" s="2"/>
      <c r="HG196" s="2"/>
      <c r="HH196" s="2"/>
      <c r="HI196" s="2"/>
      <c r="HJ196" s="2"/>
      <c r="HK196" s="2"/>
      <c r="HL196" s="2"/>
      <c r="HM196" s="2"/>
      <c r="HN196" s="2"/>
      <c r="HO196" s="2"/>
      <c r="HP196" s="2"/>
      <c r="HQ196" s="2"/>
      <c r="HR196" s="2"/>
      <c r="HS196" s="2"/>
      <c r="HT196" s="2"/>
      <c r="HU196" s="2"/>
      <c r="HV196" s="2"/>
      <c r="HW196" s="2"/>
      <c r="HX196" s="2"/>
      <c r="HY196" s="2"/>
      <c r="HZ196" s="2"/>
      <c r="IA196" s="2"/>
      <c r="IB196" s="2"/>
      <c r="IC196" s="2"/>
      <c r="ID196" s="2"/>
      <c r="IE196" s="2"/>
      <c r="IF196" s="2"/>
      <c r="IG196" s="2"/>
      <c r="IH196" s="2"/>
      <c r="II196" s="2"/>
      <c r="IJ196" s="2"/>
      <c r="IK196" s="2"/>
      <c r="IL196" s="2"/>
      <c r="IM196" s="2"/>
      <c r="IN196" s="2"/>
      <c r="IO196" s="2"/>
      <c r="IP196" s="2"/>
      <c r="IQ196" s="2"/>
      <c r="IR196" s="2"/>
      <c r="IS196" s="2"/>
      <c r="IT196" s="2"/>
      <c r="IU196" s="2"/>
      <c r="IV196" s="2"/>
    </row>
    <row r="197" spans="1:256" x14ac:dyDescent="0.35">
      <c r="A197" s="2"/>
      <c r="B197" s="2"/>
      <c r="C197" s="2"/>
      <c r="D197" s="2"/>
      <c r="E197" s="2"/>
      <c r="F197" s="2"/>
      <c r="G197" s="2"/>
      <c r="H197" s="2"/>
      <c r="I197" s="2"/>
      <c r="K197" s="2"/>
      <c r="L197" s="2"/>
      <c r="M197" s="2"/>
      <c r="N197" s="2"/>
      <c r="O197" s="2"/>
      <c r="P197" s="2"/>
      <c r="Q197" s="6"/>
      <c r="R197" s="1">
        <f>SUM(K197:O197)</f>
        <v>0</v>
      </c>
    </row>
    <row r="198" spans="1:256" ht="12.7" x14ac:dyDescent="0.4">
      <c r="A198" s="2"/>
      <c r="B198" s="2"/>
      <c r="C198" s="2"/>
      <c r="D198" s="2"/>
      <c r="E198" s="2"/>
      <c r="F198" s="2"/>
      <c r="G198" s="2"/>
      <c r="H198" s="2"/>
      <c r="I198" s="2"/>
      <c r="K198" s="2"/>
      <c r="L198" s="2"/>
      <c r="M198" s="2"/>
      <c r="N198" s="2"/>
      <c r="O198" s="2"/>
      <c r="P198" s="2"/>
      <c r="Q198" s="5"/>
      <c r="R198" s="1">
        <f>SUM(K198:O198)</f>
        <v>0</v>
      </c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56" x14ac:dyDescent="0.35">
      <c r="A199" s="2"/>
      <c r="B199" s="2"/>
      <c r="C199" s="2"/>
      <c r="D199" s="2"/>
      <c r="E199" s="2"/>
      <c r="F199" s="2"/>
      <c r="G199" s="2"/>
      <c r="H199" s="2"/>
      <c r="I199" s="2"/>
      <c r="K199" s="2"/>
      <c r="L199" s="2"/>
      <c r="M199" s="2"/>
      <c r="N199" s="2"/>
      <c r="O199" s="2"/>
      <c r="P199" s="2"/>
      <c r="Q199" s="3"/>
      <c r="R199" s="3"/>
    </row>
    <row r="200" spans="1:256" x14ac:dyDescent="0.35">
      <c r="A200" s="2"/>
      <c r="B200" s="2"/>
      <c r="C200" s="2"/>
      <c r="D200" s="2"/>
      <c r="E200" s="2"/>
      <c r="F200" s="2"/>
      <c r="G200" s="2"/>
      <c r="H200" s="2"/>
      <c r="I200" s="2"/>
      <c r="K200" s="2"/>
      <c r="L200" s="2"/>
      <c r="M200" s="2"/>
      <c r="N200" s="2"/>
      <c r="O200" s="2"/>
      <c r="P200" s="2"/>
    </row>
    <row r="201" spans="1:256" x14ac:dyDescent="0.35">
      <c r="A201" s="2"/>
      <c r="B201" s="2"/>
      <c r="C201" s="2"/>
      <c r="D201" s="2"/>
      <c r="E201" s="2"/>
      <c r="F201" s="2"/>
      <c r="G201" s="2"/>
      <c r="H201" s="2"/>
      <c r="I201" s="2"/>
      <c r="K201" s="2"/>
      <c r="L201" s="2"/>
      <c r="M201" s="2"/>
      <c r="N201" s="2"/>
      <c r="O201" s="2"/>
      <c r="P201" s="2"/>
    </row>
    <row r="202" spans="1:256" x14ac:dyDescent="0.35">
      <c r="A202" s="2"/>
      <c r="B202" s="2"/>
      <c r="C202" s="2"/>
      <c r="D202" s="2"/>
      <c r="E202" s="2"/>
      <c r="F202" s="2"/>
      <c r="G202" s="2"/>
      <c r="H202" s="2"/>
      <c r="I202" s="2"/>
      <c r="K202" s="2"/>
      <c r="L202" s="2"/>
      <c r="M202" s="2"/>
      <c r="N202" s="2"/>
      <c r="O202" s="2"/>
      <c r="P202" s="2"/>
    </row>
    <row r="203" spans="1:256" x14ac:dyDescent="0.35">
      <c r="A203" s="2"/>
      <c r="B203" s="2"/>
      <c r="C203" s="2"/>
      <c r="D203" s="2"/>
      <c r="E203" s="2"/>
      <c r="F203" s="2"/>
      <c r="G203" s="2"/>
      <c r="H203" s="2"/>
      <c r="I203" s="2"/>
      <c r="K203" s="2"/>
      <c r="L203" s="2"/>
      <c r="M203" s="2"/>
      <c r="N203" s="2"/>
      <c r="O203" s="2"/>
      <c r="P203" s="2"/>
    </row>
    <row r="204" spans="1:256" x14ac:dyDescent="0.35">
      <c r="A204" s="2"/>
      <c r="B204" s="2"/>
      <c r="C204" s="2"/>
      <c r="D204" s="2"/>
      <c r="E204" s="2"/>
      <c r="F204" s="2"/>
      <c r="G204" s="2"/>
      <c r="H204" s="2"/>
      <c r="I204" s="2"/>
      <c r="K204" s="2"/>
      <c r="L204" s="2"/>
      <c r="M204" s="2"/>
      <c r="N204" s="2"/>
      <c r="O204" s="2"/>
      <c r="P204" s="2"/>
    </row>
    <row r="205" spans="1:256" x14ac:dyDescent="0.35">
      <c r="A205" s="2"/>
      <c r="B205" s="2"/>
      <c r="C205" s="2"/>
      <c r="D205" s="2"/>
      <c r="E205" s="2"/>
      <c r="F205" s="2"/>
      <c r="G205" s="2"/>
      <c r="H205" s="2"/>
      <c r="I205" s="2"/>
      <c r="K205" s="2"/>
      <c r="L205" s="2"/>
      <c r="M205" s="2"/>
      <c r="N205" s="2"/>
      <c r="O205" s="2"/>
      <c r="P205" s="2"/>
    </row>
    <row r="206" spans="1:256" x14ac:dyDescent="0.35">
      <c r="A206" s="2"/>
      <c r="B206" s="2"/>
      <c r="C206" s="2"/>
      <c r="D206" s="2"/>
      <c r="E206" s="2"/>
      <c r="F206" s="2"/>
      <c r="G206" s="2"/>
      <c r="H206" s="2"/>
      <c r="I206" s="2"/>
      <c r="K206" s="2"/>
      <c r="L206" s="2"/>
      <c r="M206" s="2"/>
      <c r="N206" s="2"/>
      <c r="O206" s="2"/>
      <c r="P206" s="2"/>
    </row>
    <row r="207" spans="1:256" x14ac:dyDescent="0.35">
      <c r="A207" s="2"/>
      <c r="B207" s="2"/>
      <c r="C207" s="2"/>
      <c r="D207" s="2"/>
      <c r="E207" s="2"/>
      <c r="F207" s="2"/>
      <c r="G207" s="2"/>
      <c r="H207" s="2"/>
      <c r="I207" s="2"/>
      <c r="K207" s="2"/>
      <c r="L207" s="2"/>
      <c r="M207" s="2"/>
      <c r="N207" s="2"/>
      <c r="O207" s="2"/>
      <c r="P207" s="2"/>
    </row>
    <row r="208" spans="1:256" x14ac:dyDescent="0.35">
      <c r="A208" s="2"/>
      <c r="B208" s="2"/>
      <c r="C208" s="2"/>
      <c r="D208" s="2"/>
      <c r="E208" s="2"/>
      <c r="F208" s="2"/>
      <c r="G208" s="2"/>
      <c r="H208" s="2"/>
      <c r="I208" s="2"/>
      <c r="K208" s="2"/>
      <c r="L208" s="2"/>
      <c r="M208" s="2"/>
      <c r="N208" s="2"/>
      <c r="O208" s="2"/>
      <c r="P208" s="2"/>
    </row>
    <row r="209" spans="1:16" x14ac:dyDescent="0.35">
      <c r="A209" s="2"/>
      <c r="B209" s="2"/>
      <c r="C209" s="2"/>
      <c r="D209" s="2"/>
      <c r="E209" s="2"/>
      <c r="F209" s="2"/>
      <c r="G209" s="2"/>
      <c r="H209" s="2"/>
      <c r="I209" s="2"/>
      <c r="K209" s="2"/>
      <c r="L209" s="2"/>
      <c r="M209" s="2"/>
      <c r="N209" s="2"/>
      <c r="O209" s="2"/>
      <c r="P209" s="2"/>
    </row>
    <row r="210" spans="1:16" x14ac:dyDescent="0.35">
      <c r="A210" s="2"/>
      <c r="B210" s="2"/>
      <c r="C210" s="2"/>
      <c r="D210" s="2"/>
      <c r="E210" s="2"/>
      <c r="F210" s="2"/>
      <c r="G210" s="2"/>
      <c r="H210" s="2"/>
      <c r="I210" s="2"/>
      <c r="K210" s="2"/>
      <c r="L210" s="2"/>
      <c r="M210" s="2"/>
      <c r="N210" s="2"/>
      <c r="O210" s="2"/>
      <c r="P210" s="2"/>
    </row>
    <row r="211" spans="1:16" x14ac:dyDescent="0.35">
      <c r="A211" s="2"/>
      <c r="B211" s="2"/>
      <c r="C211" s="2"/>
      <c r="D211" s="2"/>
      <c r="E211" s="2"/>
      <c r="F211" s="2"/>
      <c r="G211" s="2"/>
      <c r="H211" s="2"/>
      <c r="I211" s="2"/>
      <c r="K211" s="2"/>
      <c r="L211" s="2"/>
      <c r="M211" s="2"/>
      <c r="N211" s="2"/>
      <c r="O211" s="2"/>
      <c r="P211" s="2"/>
    </row>
    <row r="212" spans="1:16" x14ac:dyDescent="0.35">
      <c r="A212" s="2"/>
      <c r="B212" s="2"/>
      <c r="C212" s="2"/>
      <c r="D212" s="2"/>
      <c r="E212" s="2"/>
      <c r="F212" s="2"/>
      <c r="G212" s="2"/>
      <c r="H212" s="2"/>
      <c r="I212" s="2"/>
      <c r="K212" s="2"/>
      <c r="L212" s="2"/>
      <c r="M212" s="2"/>
      <c r="N212" s="2"/>
      <c r="O212" s="2"/>
      <c r="P212" s="2"/>
    </row>
    <row r="213" spans="1:16" x14ac:dyDescent="0.35">
      <c r="A213" s="2"/>
      <c r="B213" s="2"/>
      <c r="C213" s="2"/>
      <c r="D213" s="2"/>
      <c r="E213" s="2"/>
      <c r="F213" s="2"/>
      <c r="G213" s="2"/>
      <c r="H213" s="2"/>
      <c r="I213" s="2"/>
      <c r="K213" s="2"/>
      <c r="L213" s="2"/>
      <c r="M213" s="2"/>
      <c r="N213" s="2"/>
      <c r="O213" s="2"/>
      <c r="P213" s="2"/>
    </row>
    <row r="214" spans="1:16" x14ac:dyDescent="0.35">
      <c r="A214" s="2"/>
      <c r="B214" s="2"/>
      <c r="C214" s="2"/>
      <c r="D214" s="2"/>
      <c r="E214" s="2"/>
      <c r="F214" s="2"/>
      <c r="G214" s="2"/>
      <c r="H214" s="2"/>
      <c r="I214" s="2"/>
      <c r="K214" s="2"/>
      <c r="L214" s="2"/>
      <c r="M214" s="2"/>
      <c r="N214" s="2"/>
      <c r="O214" s="2"/>
      <c r="P214" s="2"/>
    </row>
    <row r="215" spans="1:16" x14ac:dyDescent="0.35">
      <c r="A215" s="2"/>
      <c r="B215" s="2"/>
      <c r="C215" s="2"/>
      <c r="D215" s="2"/>
      <c r="E215" s="2"/>
      <c r="F215" s="2"/>
      <c r="G215" s="2"/>
      <c r="H215" s="2"/>
      <c r="I215" s="2"/>
      <c r="K215" s="2"/>
      <c r="L215" s="2"/>
      <c r="M215" s="2"/>
      <c r="N215" s="2"/>
      <c r="O215" s="2"/>
      <c r="P215" s="2"/>
    </row>
    <row r="216" spans="1:16" x14ac:dyDescent="0.35">
      <c r="A216" s="2"/>
      <c r="B216" s="2"/>
      <c r="C216" s="2"/>
      <c r="D216" s="2"/>
      <c r="E216" s="2"/>
      <c r="F216" s="2"/>
      <c r="G216" s="2"/>
      <c r="H216" s="2"/>
      <c r="I216" s="2"/>
      <c r="K216" s="2"/>
      <c r="L216" s="2"/>
      <c r="M216" s="2"/>
      <c r="N216" s="2"/>
      <c r="O216" s="2"/>
      <c r="P216" s="2"/>
    </row>
    <row r="217" spans="1:16" x14ac:dyDescent="0.35">
      <c r="A217" s="2"/>
      <c r="B217" s="2"/>
      <c r="C217" s="2"/>
      <c r="D217" s="2"/>
      <c r="E217" s="2"/>
      <c r="F217" s="2"/>
      <c r="G217" s="2"/>
      <c r="H217" s="2"/>
      <c r="I217" s="2"/>
      <c r="K217" s="2"/>
      <c r="L217" s="2"/>
      <c r="M217" s="2"/>
      <c r="N217" s="2"/>
      <c r="O217" s="2"/>
      <c r="P217" s="2"/>
    </row>
    <row r="218" spans="1:16" x14ac:dyDescent="0.35">
      <c r="A218" s="2"/>
      <c r="B218" s="2"/>
      <c r="C218" s="2"/>
      <c r="D218" s="2"/>
      <c r="E218" s="2"/>
      <c r="F218" s="2"/>
      <c r="G218" s="2"/>
      <c r="H218" s="2"/>
      <c r="I218" s="2"/>
      <c r="K218" s="2"/>
      <c r="L218" s="2"/>
      <c r="M218" s="2"/>
      <c r="N218" s="2"/>
      <c r="O218" s="2"/>
      <c r="P218" s="2"/>
    </row>
    <row r="219" spans="1:16" x14ac:dyDescent="0.35">
      <c r="A219" s="2"/>
      <c r="B219" s="2"/>
      <c r="C219" s="2"/>
      <c r="D219" s="2"/>
      <c r="E219" s="2"/>
      <c r="F219" s="2"/>
      <c r="G219" s="2"/>
      <c r="H219" s="2"/>
      <c r="I219" s="2"/>
      <c r="K219" s="2"/>
      <c r="L219" s="2"/>
      <c r="M219" s="2"/>
      <c r="N219" s="2"/>
      <c r="O219" s="2"/>
      <c r="P219" s="2"/>
    </row>
    <row r="220" spans="1:16" x14ac:dyDescent="0.35">
      <c r="A220" s="2"/>
      <c r="B220" s="2"/>
      <c r="C220" s="2"/>
      <c r="D220" s="2"/>
      <c r="E220" s="2"/>
      <c r="F220" s="2"/>
      <c r="G220" s="2"/>
      <c r="H220" s="2"/>
      <c r="I220" s="2"/>
      <c r="K220" s="2"/>
      <c r="L220" s="2"/>
      <c r="M220" s="2"/>
      <c r="N220" s="2"/>
      <c r="O220" s="2"/>
      <c r="P220" s="2"/>
    </row>
    <row r="221" spans="1:16" x14ac:dyDescent="0.35">
      <c r="A221" s="2"/>
      <c r="B221" s="2"/>
      <c r="C221" s="2"/>
      <c r="D221" s="2"/>
      <c r="E221" s="2"/>
      <c r="F221" s="2"/>
      <c r="G221" s="2"/>
      <c r="H221" s="2"/>
      <c r="I221" s="2"/>
      <c r="K221" s="2"/>
      <c r="L221" s="2"/>
      <c r="M221" s="2"/>
      <c r="N221" s="2"/>
      <c r="O221" s="2"/>
      <c r="P221" s="2"/>
    </row>
    <row r="222" spans="1:16" x14ac:dyDescent="0.35">
      <c r="A222" s="2"/>
      <c r="B222" s="2"/>
      <c r="C222" s="2"/>
      <c r="D222" s="2"/>
      <c r="E222" s="2"/>
      <c r="F222" s="2"/>
      <c r="G222" s="2"/>
      <c r="H222" s="2"/>
      <c r="I222" s="2"/>
      <c r="K222" s="2"/>
      <c r="L222" s="2"/>
      <c r="M222" s="2"/>
      <c r="N222" s="2"/>
      <c r="O222" s="2"/>
      <c r="P222" s="2"/>
    </row>
    <row r="223" spans="1:16" x14ac:dyDescent="0.35">
      <c r="A223" s="2"/>
      <c r="B223" s="2"/>
      <c r="C223" s="2"/>
      <c r="D223" s="2"/>
      <c r="E223" s="2"/>
      <c r="F223" s="2"/>
      <c r="G223" s="2"/>
      <c r="H223" s="2"/>
      <c r="I223" s="2"/>
      <c r="K223" s="2"/>
      <c r="L223" s="2"/>
      <c r="M223" s="2"/>
      <c r="N223" s="2"/>
      <c r="O223" s="2"/>
      <c r="P223" s="2"/>
    </row>
    <row r="224" spans="1:16" x14ac:dyDescent="0.35">
      <c r="A224" s="2"/>
      <c r="B224" s="2"/>
      <c r="C224" s="2"/>
      <c r="D224" s="2"/>
      <c r="E224" s="2"/>
      <c r="F224" s="2"/>
      <c r="G224" s="2"/>
      <c r="H224" s="2"/>
      <c r="I224" s="2"/>
      <c r="K224" s="2"/>
      <c r="L224" s="2"/>
      <c r="M224" s="2"/>
      <c r="N224" s="2"/>
      <c r="O224" s="2"/>
      <c r="P224" s="2"/>
    </row>
    <row r="225" spans="1:16" x14ac:dyDescent="0.35">
      <c r="A225" s="2"/>
      <c r="B225" s="2"/>
      <c r="C225" s="2"/>
      <c r="D225" s="2"/>
      <c r="E225" s="2"/>
      <c r="F225" s="2"/>
      <c r="G225" s="2"/>
      <c r="H225" s="2"/>
      <c r="I225" s="2"/>
      <c r="K225" s="2"/>
      <c r="L225" s="2"/>
      <c r="M225" s="2"/>
      <c r="N225" s="2"/>
      <c r="O225" s="2"/>
      <c r="P225" s="2"/>
    </row>
    <row r="226" spans="1:16" x14ac:dyDescent="0.35">
      <c r="A226" s="2"/>
      <c r="B226" s="2"/>
      <c r="C226" s="2"/>
      <c r="D226" s="2"/>
      <c r="E226" s="2"/>
      <c r="F226" s="2"/>
      <c r="G226" s="2"/>
      <c r="H226" s="2"/>
      <c r="I226" s="2"/>
      <c r="K226" s="2"/>
      <c r="L226" s="2"/>
      <c r="M226" s="2"/>
      <c r="N226" s="2"/>
      <c r="O226" s="2"/>
      <c r="P226" s="2"/>
    </row>
    <row r="227" spans="1:16" x14ac:dyDescent="0.35">
      <c r="A227" s="2"/>
      <c r="B227" s="2"/>
      <c r="C227" s="2"/>
      <c r="D227" s="2"/>
      <c r="E227" s="2"/>
      <c r="F227" s="2"/>
      <c r="G227" s="2"/>
      <c r="H227" s="2"/>
      <c r="I227" s="2"/>
      <c r="K227" s="2"/>
      <c r="L227" s="2"/>
      <c r="M227" s="2"/>
      <c r="N227" s="2"/>
      <c r="O227" s="2"/>
      <c r="P227" s="2"/>
    </row>
    <row r="228" spans="1:16" x14ac:dyDescent="0.35">
      <c r="A228" s="2"/>
      <c r="B228" s="2"/>
      <c r="C228" s="2"/>
      <c r="D228" s="2"/>
      <c r="E228" s="2"/>
      <c r="F228" s="2"/>
      <c r="G228" s="2"/>
      <c r="H228" s="2"/>
      <c r="I228" s="2"/>
      <c r="K228" s="2"/>
      <c r="L228" s="2"/>
      <c r="M228" s="2"/>
      <c r="N228" s="2"/>
      <c r="O228" s="2"/>
      <c r="P228" s="2"/>
    </row>
    <row r="229" spans="1:16" x14ac:dyDescent="0.35">
      <c r="A229" s="2"/>
      <c r="B229" s="2"/>
      <c r="C229" s="2"/>
      <c r="D229" s="2"/>
      <c r="E229" s="2"/>
      <c r="F229" s="2"/>
      <c r="G229" s="2"/>
      <c r="H229" s="2"/>
      <c r="I229" s="2"/>
      <c r="K229" s="2"/>
      <c r="L229" s="2"/>
      <c r="M229" s="2"/>
      <c r="N229" s="2"/>
      <c r="O229" s="2"/>
      <c r="P229" s="2"/>
    </row>
    <row r="230" spans="1:16" x14ac:dyDescent="0.35">
      <c r="A230" s="2"/>
      <c r="B230" s="2"/>
      <c r="C230" s="2"/>
      <c r="D230" s="2"/>
      <c r="E230" s="2"/>
      <c r="F230" s="2"/>
      <c r="G230" s="2"/>
      <c r="H230" s="2"/>
      <c r="I230" s="2"/>
      <c r="K230" s="2"/>
      <c r="L230" s="2"/>
      <c r="M230" s="2"/>
      <c r="N230" s="2"/>
      <c r="O230" s="2"/>
      <c r="P230" s="2"/>
    </row>
    <row r="231" spans="1:16" x14ac:dyDescent="0.35">
      <c r="A231" s="2"/>
      <c r="B231" s="2"/>
      <c r="C231" s="2"/>
      <c r="D231" s="2"/>
      <c r="E231" s="2"/>
      <c r="F231" s="2"/>
      <c r="G231" s="2"/>
      <c r="H231" s="2"/>
      <c r="I231" s="2"/>
      <c r="K231" s="2"/>
      <c r="L231" s="2"/>
      <c r="M231" s="2"/>
      <c r="N231" s="2"/>
      <c r="O231" s="2"/>
      <c r="P231" s="2"/>
    </row>
    <row r="232" spans="1:16" x14ac:dyDescent="0.35">
      <c r="A232" s="2"/>
      <c r="B232" s="2"/>
      <c r="C232" s="2"/>
      <c r="D232" s="2"/>
      <c r="E232" s="2"/>
      <c r="F232" s="2"/>
      <c r="G232" s="2"/>
      <c r="H232" s="2"/>
      <c r="I232" s="2"/>
      <c r="K232" s="2"/>
      <c r="L232" s="2"/>
      <c r="M232" s="2"/>
      <c r="N232" s="2"/>
      <c r="O232" s="2"/>
      <c r="P232" s="2"/>
    </row>
    <row r="233" spans="1:16" x14ac:dyDescent="0.35">
      <c r="A233" s="2"/>
      <c r="B233" s="2"/>
      <c r="C233" s="2"/>
      <c r="D233" s="2"/>
      <c r="E233" s="2"/>
      <c r="F233" s="2"/>
      <c r="G233" s="2"/>
      <c r="H233" s="2"/>
      <c r="I233" s="2"/>
      <c r="K233" s="2"/>
      <c r="L233" s="2"/>
      <c r="M233" s="2"/>
      <c r="N233" s="2"/>
      <c r="O233" s="2"/>
      <c r="P233" s="2"/>
    </row>
    <row r="234" spans="1:16" x14ac:dyDescent="0.35">
      <c r="A234" s="2"/>
      <c r="B234" s="2"/>
      <c r="C234" s="2"/>
      <c r="D234" s="2"/>
      <c r="E234" s="2"/>
      <c r="F234" s="2"/>
      <c r="G234" s="2"/>
      <c r="H234" s="2"/>
      <c r="I234" s="2"/>
      <c r="K234" s="2"/>
      <c r="L234" s="2"/>
      <c r="M234" s="2"/>
      <c r="N234" s="2"/>
      <c r="O234" s="2"/>
      <c r="P234" s="2"/>
    </row>
    <row r="235" spans="1:16" x14ac:dyDescent="0.35">
      <c r="A235" s="2"/>
      <c r="B235" s="2"/>
      <c r="C235" s="2"/>
      <c r="D235" s="2"/>
      <c r="E235" s="2"/>
      <c r="F235" s="2"/>
      <c r="G235" s="2"/>
      <c r="H235" s="2"/>
      <c r="I235" s="2"/>
      <c r="K235" s="2"/>
      <c r="L235" s="2"/>
      <c r="M235" s="2"/>
      <c r="N235" s="2"/>
      <c r="O235" s="2"/>
      <c r="P235" s="2"/>
    </row>
    <row r="236" spans="1:16" x14ac:dyDescent="0.35">
      <c r="A236" s="2"/>
      <c r="B236" s="2"/>
      <c r="C236" s="2"/>
      <c r="D236" s="2"/>
      <c r="E236" s="2"/>
      <c r="F236" s="2"/>
      <c r="G236" s="2"/>
      <c r="H236" s="2"/>
      <c r="I236" s="2"/>
      <c r="K236" s="2"/>
      <c r="L236" s="2"/>
      <c r="M236" s="2"/>
      <c r="N236" s="2"/>
      <c r="O236" s="2"/>
      <c r="P236" s="2"/>
    </row>
    <row r="237" spans="1:16" x14ac:dyDescent="0.35">
      <c r="A237" s="2"/>
      <c r="B237" s="2"/>
      <c r="C237" s="2"/>
      <c r="D237" s="2"/>
      <c r="E237" s="2"/>
      <c r="F237" s="2"/>
      <c r="G237" s="2"/>
      <c r="H237" s="2"/>
      <c r="I237" s="2"/>
      <c r="K237" s="2"/>
      <c r="L237" s="2"/>
      <c r="M237" s="2"/>
      <c r="N237" s="2"/>
      <c r="O237" s="2"/>
      <c r="P237" s="2"/>
    </row>
    <row r="238" spans="1:16" x14ac:dyDescent="0.35">
      <c r="A238" s="2"/>
      <c r="B238" s="2"/>
      <c r="C238" s="2"/>
      <c r="D238" s="2"/>
      <c r="E238" s="2"/>
      <c r="F238" s="2"/>
      <c r="G238" s="2"/>
      <c r="H238" s="2"/>
      <c r="I238" s="2"/>
      <c r="K238" s="2"/>
      <c r="L238" s="2"/>
      <c r="M238" s="2"/>
      <c r="N238" s="2"/>
      <c r="O238" s="2"/>
      <c r="P238" s="2"/>
    </row>
    <row r="239" spans="1:16" x14ac:dyDescent="0.35">
      <c r="A239" s="2"/>
      <c r="B239" s="2"/>
      <c r="C239" s="2"/>
      <c r="D239" s="2"/>
      <c r="E239" s="2"/>
      <c r="F239" s="2"/>
      <c r="G239" s="2"/>
      <c r="H239" s="2"/>
      <c r="I239" s="2"/>
      <c r="K239" s="2"/>
      <c r="L239" s="2"/>
      <c r="M239" s="2"/>
      <c r="N239" s="2"/>
      <c r="O239" s="2"/>
      <c r="P239" s="2"/>
    </row>
    <row r="240" spans="1:16" x14ac:dyDescent="0.35">
      <c r="A240" s="2"/>
      <c r="B240" s="2"/>
      <c r="C240" s="2"/>
      <c r="D240" s="2"/>
      <c r="E240" s="2"/>
      <c r="F240" s="2"/>
      <c r="G240" s="2"/>
      <c r="H240" s="2"/>
      <c r="I240" s="2"/>
      <c r="K240" s="2"/>
      <c r="L240" s="2"/>
      <c r="M240" s="2"/>
      <c r="N240" s="2"/>
      <c r="O240" s="2"/>
      <c r="P240" s="2"/>
    </row>
    <row r="241" spans="1:16" x14ac:dyDescent="0.35">
      <c r="A241" s="2"/>
      <c r="B241" s="2"/>
      <c r="C241" s="2"/>
      <c r="D241" s="2"/>
      <c r="E241" s="2"/>
      <c r="F241" s="2"/>
      <c r="G241" s="2"/>
      <c r="H241" s="2"/>
      <c r="I241" s="2"/>
      <c r="K241" s="2"/>
      <c r="L241" s="2"/>
      <c r="M241" s="2"/>
      <c r="N241" s="2"/>
      <c r="O241" s="2"/>
      <c r="P241" s="2"/>
    </row>
    <row r="242" spans="1:16" x14ac:dyDescent="0.35">
      <c r="A242" s="2"/>
      <c r="B242" s="2"/>
      <c r="C242" s="2"/>
      <c r="D242" s="2"/>
      <c r="E242" s="2"/>
      <c r="F242" s="2"/>
      <c r="G242" s="2"/>
      <c r="H242" s="2"/>
      <c r="I242" s="2"/>
      <c r="K242" s="2"/>
      <c r="L242" s="2"/>
      <c r="M242" s="2"/>
      <c r="N242" s="2"/>
      <c r="O242" s="2"/>
      <c r="P242" s="2"/>
    </row>
    <row r="243" spans="1:16" x14ac:dyDescent="0.35">
      <c r="A243" s="2"/>
      <c r="B243" s="2"/>
      <c r="C243" s="2"/>
      <c r="D243" s="2"/>
      <c r="E243" s="2"/>
      <c r="F243" s="2"/>
      <c r="G243" s="2"/>
      <c r="H243" s="2"/>
      <c r="I243" s="2"/>
      <c r="K243" s="2"/>
      <c r="L243" s="2"/>
      <c r="M243" s="2"/>
      <c r="N243" s="2"/>
      <c r="O243" s="2"/>
      <c r="P243" s="2"/>
    </row>
    <row r="244" spans="1:16" x14ac:dyDescent="0.35">
      <c r="A244" s="2"/>
      <c r="B244" s="2"/>
      <c r="C244" s="2"/>
      <c r="D244" s="2"/>
      <c r="E244" s="2"/>
      <c r="F244" s="2"/>
      <c r="G244" s="2"/>
      <c r="H244" s="2"/>
      <c r="I244" s="2"/>
      <c r="K244" s="2"/>
      <c r="L244" s="2"/>
      <c r="M244" s="2"/>
      <c r="N244" s="2"/>
      <c r="O244" s="2"/>
      <c r="P244" s="2"/>
    </row>
    <row r="245" spans="1:16" x14ac:dyDescent="0.35">
      <c r="A245" s="2"/>
      <c r="B245" s="2"/>
      <c r="C245" s="2"/>
      <c r="D245" s="2"/>
      <c r="E245" s="2"/>
      <c r="F245" s="2"/>
      <c r="G245" s="2"/>
      <c r="H245" s="2"/>
      <c r="I245" s="2"/>
      <c r="K245" s="2"/>
      <c r="L245" s="2"/>
      <c r="M245" s="2"/>
      <c r="N245" s="2"/>
      <c r="O245" s="2"/>
      <c r="P245" s="2"/>
    </row>
    <row r="246" spans="1:16" x14ac:dyDescent="0.35">
      <c r="A246" s="2"/>
      <c r="B246" s="2"/>
      <c r="C246" s="2"/>
      <c r="D246" s="2"/>
      <c r="E246" s="2"/>
      <c r="F246" s="2"/>
      <c r="G246" s="2"/>
      <c r="H246" s="2"/>
      <c r="I246" s="2"/>
      <c r="K246" s="2"/>
      <c r="L246" s="2"/>
      <c r="M246" s="2"/>
      <c r="N246" s="2"/>
      <c r="O246" s="2"/>
      <c r="P246" s="2"/>
    </row>
    <row r="247" spans="1:16" x14ac:dyDescent="0.35">
      <c r="A247" s="2"/>
      <c r="B247" s="2"/>
      <c r="C247" s="2"/>
      <c r="D247" s="2"/>
      <c r="E247" s="2"/>
      <c r="F247" s="2"/>
      <c r="G247" s="2"/>
      <c r="H247" s="2"/>
      <c r="I247" s="2"/>
      <c r="K247" s="2"/>
      <c r="L247" s="2"/>
      <c r="M247" s="2"/>
      <c r="N247" s="2"/>
      <c r="O247" s="2"/>
      <c r="P247" s="2"/>
    </row>
    <row r="248" spans="1:16" x14ac:dyDescent="0.35">
      <c r="A248" s="2"/>
      <c r="B248" s="2"/>
      <c r="C248" s="2"/>
      <c r="D248" s="2"/>
      <c r="E248" s="2"/>
      <c r="F248" s="2"/>
      <c r="G248" s="2"/>
      <c r="H248" s="2"/>
      <c r="I248" s="2"/>
      <c r="K248" s="2"/>
      <c r="L248" s="2"/>
      <c r="M248" s="2"/>
      <c r="N248" s="2"/>
      <c r="O248" s="2"/>
      <c r="P248" s="2"/>
    </row>
    <row r="249" spans="1:16" x14ac:dyDescent="0.35">
      <c r="A249" s="2"/>
      <c r="B249" s="2"/>
      <c r="C249" s="2"/>
      <c r="D249" s="2"/>
      <c r="E249" s="2"/>
      <c r="F249" s="2"/>
      <c r="G249" s="2"/>
      <c r="H249" s="2"/>
      <c r="I249" s="2"/>
      <c r="K249" s="2"/>
      <c r="L249" s="2"/>
      <c r="M249" s="2"/>
      <c r="N249" s="2"/>
      <c r="O249" s="2"/>
      <c r="P249" s="2"/>
    </row>
    <row r="250" spans="1:16" x14ac:dyDescent="0.35">
      <c r="A250" s="2"/>
      <c r="B250" s="2"/>
      <c r="C250" s="2"/>
      <c r="D250" s="2"/>
      <c r="E250" s="2"/>
      <c r="F250" s="2"/>
      <c r="G250" s="2"/>
      <c r="H250" s="2"/>
      <c r="I250" s="2"/>
      <c r="K250" s="2"/>
      <c r="L250" s="2"/>
      <c r="M250" s="2"/>
      <c r="N250" s="2"/>
      <c r="O250" s="2"/>
      <c r="P250" s="2"/>
    </row>
    <row r="251" spans="1:16" x14ac:dyDescent="0.35">
      <c r="A251" s="2"/>
      <c r="B251" s="2"/>
      <c r="C251" s="2"/>
      <c r="D251" s="2"/>
      <c r="E251" s="2"/>
      <c r="F251" s="2"/>
      <c r="G251" s="2"/>
      <c r="H251" s="2"/>
      <c r="I251" s="2"/>
      <c r="K251" s="2"/>
      <c r="L251" s="2"/>
      <c r="M251" s="2"/>
      <c r="N251" s="2"/>
      <c r="O251" s="2"/>
      <c r="P251" s="2"/>
    </row>
    <row r="252" spans="1:16" x14ac:dyDescent="0.35">
      <c r="A252" s="2"/>
      <c r="B252" s="2"/>
      <c r="C252" s="2"/>
      <c r="D252" s="2"/>
      <c r="E252" s="2"/>
      <c r="F252" s="2"/>
      <c r="G252" s="2"/>
      <c r="H252" s="2"/>
      <c r="I252" s="2"/>
      <c r="K252" s="2"/>
      <c r="L252" s="2"/>
      <c r="M252" s="2"/>
      <c r="N252" s="2"/>
      <c r="O252" s="2"/>
      <c r="P252" s="2"/>
    </row>
    <row r="253" spans="1:16" x14ac:dyDescent="0.35">
      <c r="A253" s="2"/>
      <c r="B253" s="2"/>
      <c r="C253" s="2"/>
      <c r="D253" s="2"/>
      <c r="E253" s="2"/>
      <c r="F253" s="2"/>
      <c r="G253" s="2"/>
      <c r="H253" s="2"/>
      <c r="I253" s="2"/>
      <c r="K253" s="2"/>
      <c r="L253" s="2"/>
      <c r="M253" s="2"/>
      <c r="N253" s="2"/>
      <c r="O253" s="2"/>
      <c r="P253" s="2"/>
    </row>
    <row r="254" spans="1:16" x14ac:dyDescent="0.35">
      <c r="A254" s="2"/>
      <c r="B254" s="2"/>
      <c r="C254" s="2"/>
      <c r="D254" s="2"/>
      <c r="E254" s="2"/>
      <c r="F254" s="2"/>
      <c r="G254" s="2"/>
      <c r="H254" s="2"/>
      <c r="I254" s="2"/>
      <c r="K254" s="2"/>
      <c r="L254" s="2"/>
      <c r="M254" s="2"/>
      <c r="N254" s="2"/>
      <c r="O254" s="2"/>
      <c r="P254" s="2"/>
    </row>
    <row r="255" spans="1:16" x14ac:dyDescent="0.35">
      <c r="A255" s="2"/>
      <c r="B255" s="2"/>
      <c r="C255" s="2"/>
      <c r="D255" s="2"/>
      <c r="E255" s="2"/>
      <c r="F255" s="2"/>
      <c r="G255" s="2"/>
      <c r="H255" s="2"/>
      <c r="I255" s="2"/>
      <c r="K255" s="2"/>
      <c r="L255" s="2"/>
      <c r="M255" s="2"/>
      <c r="N255" s="2"/>
      <c r="O255" s="2"/>
      <c r="P255" s="2"/>
    </row>
    <row r="256" spans="1:16" x14ac:dyDescent="0.35">
      <c r="A256" s="2"/>
      <c r="B256" s="2"/>
      <c r="C256" s="2"/>
      <c r="D256" s="2"/>
      <c r="E256" s="2"/>
      <c r="F256" s="2"/>
      <c r="G256" s="2"/>
      <c r="H256" s="2"/>
      <c r="I256" s="2"/>
      <c r="K256" s="2"/>
      <c r="L256" s="2"/>
      <c r="M256" s="2"/>
      <c r="N256" s="2"/>
      <c r="O256" s="2"/>
      <c r="P256" s="2"/>
    </row>
    <row r="257" spans="1:16" x14ac:dyDescent="0.35">
      <c r="A257" s="2"/>
      <c r="B257" s="2"/>
      <c r="C257" s="2"/>
      <c r="D257" s="2"/>
      <c r="E257" s="2"/>
      <c r="F257" s="2"/>
      <c r="G257" s="2"/>
      <c r="H257" s="2"/>
      <c r="I257" s="2"/>
      <c r="K257" s="2"/>
      <c r="L257" s="2"/>
      <c r="M257" s="2"/>
      <c r="N257" s="2"/>
      <c r="O257" s="2"/>
      <c r="P257" s="2"/>
    </row>
    <row r="258" spans="1:16" x14ac:dyDescent="0.35">
      <c r="A258" s="2"/>
      <c r="B258" s="2"/>
      <c r="C258" s="2"/>
      <c r="D258" s="2"/>
      <c r="E258" s="2"/>
      <c r="F258" s="2"/>
      <c r="G258" s="2"/>
      <c r="H258" s="2"/>
      <c r="I258" s="2"/>
      <c r="K258" s="2"/>
      <c r="L258" s="2"/>
      <c r="M258" s="2"/>
      <c r="N258" s="2"/>
      <c r="O258" s="2"/>
      <c r="P258" s="2"/>
    </row>
    <row r="259" spans="1:16" x14ac:dyDescent="0.35">
      <c r="A259" s="2"/>
      <c r="B259" s="2"/>
      <c r="C259" s="2"/>
      <c r="D259" s="2"/>
      <c r="E259" s="2"/>
      <c r="F259" s="2"/>
      <c r="G259" s="2"/>
      <c r="H259" s="2"/>
      <c r="I259" s="2"/>
      <c r="K259" s="2"/>
      <c r="L259" s="2"/>
      <c r="M259" s="2"/>
      <c r="N259" s="2"/>
      <c r="O259" s="2"/>
      <c r="P259" s="2"/>
    </row>
    <row r="260" spans="1:16" x14ac:dyDescent="0.35">
      <c r="A260" s="2"/>
      <c r="B260" s="2"/>
      <c r="C260" s="2"/>
      <c r="D260" s="2"/>
      <c r="E260" s="2"/>
      <c r="F260" s="2"/>
      <c r="G260" s="2"/>
      <c r="H260" s="2"/>
      <c r="I260" s="2"/>
      <c r="K260" s="2"/>
      <c r="L260" s="2"/>
      <c r="M260" s="2"/>
      <c r="N260" s="2"/>
      <c r="O260" s="2"/>
      <c r="P260" s="2"/>
    </row>
    <row r="261" spans="1:16" x14ac:dyDescent="0.35">
      <c r="A261" s="2"/>
      <c r="B261" s="2"/>
      <c r="C261" s="2"/>
      <c r="D261" s="2"/>
      <c r="E261" s="2"/>
      <c r="F261" s="2"/>
      <c r="G261" s="2"/>
      <c r="H261" s="2"/>
      <c r="I261" s="2"/>
      <c r="K261" s="2"/>
      <c r="L261" s="2"/>
      <c r="M261" s="2"/>
      <c r="N261" s="2"/>
      <c r="O261" s="2"/>
      <c r="P261" s="2"/>
    </row>
    <row r="262" spans="1:16" x14ac:dyDescent="0.35">
      <c r="A262" s="2"/>
      <c r="B262" s="2"/>
      <c r="C262" s="2"/>
      <c r="D262" s="2"/>
      <c r="E262" s="2"/>
      <c r="F262" s="2"/>
      <c r="G262" s="2"/>
      <c r="H262" s="2"/>
      <c r="I262" s="2"/>
      <c r="K262" s="2"/>
      <c r="L262" s="2"/>
      <c r="M262" s="2"/>
      <c r="N262" s="2"/>
      <c r="O262" s="2"/>
      <c r="P262" s="2"/>
    </row>
    <row r="263" spans="1:16" x14ac:dyDescent="0.35">
      <c r="A263" s="2"/>
      <c r="B263" s="2"/>
      <c r="C263" s="2"/>
      <c r="D263" s="2"/>
      <c r="E263" s="2"/>
      <c r="F263" s="2"/>
      <c r="G263" s="2"/>
      <c r="H263" s="2"/>
      <c r="I263" s="2"/>
      <c r="K263" s="2"/>
      <c r="L263" s="2"/>
      <c r="M263" s="2"/>
      <c r="N263" s="2"/>
      <c r="O263" s="2"/>
      <c r="P263" s="2"/>
    </row>
    <row r="264" spans="1:16" x14ac:dyDescent="0.35">
      <c r="A264" s="2"/>
      <c r="B264" s="2"/>
      <c r="C264" s="2"/>
      <c r="D264" s="2"/>
      <c r="E264" s="2"/>
      <c r="F264" s="2"/>
      <c r="G264" s="2"/>
      <c r="H264" s="2"/>
      <c r="I264" s="2"/>
      <c r="K264" s="2"/>
      <c r="L264" s="2"/>
      <c r="M264" s="2"/>
      <c r="N264" s="2"/>
      <c r="O264" s="2"/>
      <c r="P264" s="2"/>
    </row>
    <row r="265" spans="1:16" x14ac:dyDescent="0.35">
      <c r="A265" s="2"/>
      <c r="B265" s="2"/>
      <c r="C265" s="2"/>
      <c r="D265" s="2"/>
      <c r="E265" s="2"/>
      <c r="F265" s="2"/>
      <c r="G265" s="2"/>
      <c r="H265" s="2"/>
      <c r="I265" s="2"/>
      <c r="K265" s="2"/>
      <c r="L265" s="2"/>
      <c r="M265" s="2"/>
      <c r="N265" s="2"/>
      <c r="O265" s="2"/>
      <c r="P265" s="2"/>
    </row>
    <row r="266" spans="1:16" x14ac:dyDescent="0.35">
      <c r="A266" s="2"/>
      <c r="B266" s="2"/>
      <c r="C266" s="2"/>
      <c r="D266" s="2"/>
      <c r="E266" s="2"/>
      <c r="F266" s="2"/>
      <c r="G266" s="2"/>
      <c r="H266" s="2"/>
      <c r="I266" s="2"/>
      <c r="K266" s="2"/>
      <c r="L266" s="2"/>
      <c r="M266" s="2"/>
      <c r="N266" s="2"/>
      <c r="O266" s="2"/>
      <c r="P266" s="2"/>
    </row>
    <row r="267" spans="1:16" x14ac:dyDescent="0.35">
      <c r="A267" s="2"/>
      <c r="B267" s="2"/>
      <c r="C267" s="2"/>
      <c r="D267" s="2"/>
      <c r="E267" s="2"/>
      <c r="F267" s="2"/>
      <c r="G267" s="2"/>
      <c r="H267" s="2"/>
      <c r="I267" s="2"/>
      <c r="K267" s="2"/>
      <c r="L267" s="2"/>
      <c r="M267" s="2"/>
      <c r="N267" s="2"/>
      <c r="O267" s="2"/>
      <c r="P267" s="2"/>
    </row>
    <row r="268" spans="1:16" x14ac:dyDescent="0.35">
      <c r="A268" s="2"/>
      <c r="B268" s="2"/>
      <c r="C268" s="2"/>
      <c r="D268" s="2"/>
      <c r="E268" s="2"/>
      <c r="F268" s="2"/>
      <c r="G268" s="2"/>
      <c r="H268" s="2"/>
      <c r="I268" s="2"/>
      <c r="K268" s="2"/>
      <c r="L268" s="2"/>
      <c r="M268" s="2"/>
      <c r="N268" s="2"/>
      <c r="O268" s="2"/>
      <c r="P268" s="2"/>
    </row>
    <row r="269" spans="1:16" x14ac:dyDescent="0.35">
      <c r="A269" s="2"/>
      <c r="B269" s="2"/>
      <c r="C269" s="2"/>
      <c r="D269" s="2"/>
      <c r="E269" s="2"/>
      <c r="F269" s="2"/>
      <c r="G269" s="2"/>
      <c r="H269" s="2"/>
      <c r="I269" s="2"/>
      <c r="K269" s="2"/>
      <c r="L269" s="2"/>
      <c r="M269" s="2"/>
      <c r="N269" s="2"/>
      <c r="O269" s="2"/>
      <c r="P269" s="2"/>
    </row>
    <row r="270" spans="1:16" x14ac:dyDescent="0.35">
      <c r="A270" s="2"/>
      <c r="B270" s="2"/>
      <c r="C270" s="2"/>
      <c r="D270" s="2"/>
      <c r="E270" s="2"/>
      <c r="F270" s="2"/>
      <c r="G270" s="2"/>
      <c r="H270" s="2"/>
      <c r="I270" s="2"/>
      <c r="K270" s="2"/>
      <c r="L270" s="2"/>
      <c r="M270" s="2"/>
      <c r="N270" s="2"/>
      <c r="O270" s="2"/>
      <c r="P270" s="2"/>
    </row>
    <row r="271" spans="1:16" x14ac:dyDescent="0.35">
      <c r="A271" s="2"/>
      <c r="B271" s="2"/>
      <c r="C271" s="2"/>
      <c r="D271" s="2"/>
      <c r="E271" s="2"/>
      <c r="F271" s="2"/>
      <c r="G271" s="2"/>
      <c r="H271" s="2"/>
      <c r="I271" s="2"/>
      <c r="K271" s="2"/>
      <c r="L271" s="2"/>
      <c r="M271" s="2"/>
      <c r="N271" s="2"/>
      <c r="O271" s="2"/>
      <c r="P271" s="2"/>
    </row>
    <row r="272" spans="1:16" x14ac:dyDescent="0.35">
      <c r="A272" s="2"/>
      <c r="B272" s="2"/>
      <c r="C272" s="2"/>
      <c r="D272" s="2"/>
      <c r="E272" s="2"/>
      <c r="F272" s="2"/>
      <c r="G272" s="2"/>
      <c r="H272" s="2"/>
      <c r="I272" s="2"/>
      <c r="K272" s="2"/>
      <c r="L272" s="2"/>
      <c r="M272" s="2"/>
      <c r="N272" s="2"/>
      <c r="O272" s="2"/>
      <c r="P272" s="2"/>
    </row>
    <row r="273" spans="1:16" x14ac:dyDescent="0.35">
      <c r="A273" s="2"/>
      <c r="B273" s="2"/>
      <c r="C273" s="2"/>
      <c r="D273" s="2"/>
      <c r="E273" s="2"/>
      <c r="F273" s="2"/>
      <c r="G273" s="2"/>
      <c r="H273" s="2"/>
      <c r="I273" s="2"/>
      <c r="K273" s="2"/>
      <c r="L273" s="2"/>
      <c r="M273" s="2"/>
      <c r="N273" s="2"/>
      <c r="O273" s="2"/>
      <c r="P273" s="2"/>
    </row>
    <row r="274" spans="1:16" x14ac:dyDescent="0.35">
      <c r="A274" s="2"/>
      <c r="B274" s="2"/>
      <c r="C274" s="2"/>
      <c r="D274" s="2"/>
      <c r="E274" s="2"/>
      <c r="F274" s="2"/>
      <c r="G274" s="2"/>
      <c r="H274" s="2"/>
      <c r="I274" s="2"/>
      <c r="K274" s="2"/>
      <c r="L274" s="2"/>
      <c r="M274" s="2"/>
      <c r="N274" s="2"/>
      <c r="O274" s="2"/>
      <c r="P274" s="2"/>
    </row>
  </sheetData>
  <printOptions horizontalCentered="1"/>
  <pageMargins left="0" right="0.15" top="0.63" bottom="0.36" header="0.22" footer="0.17"/>
  <pageSetup scale="67" orientation="landscape" horizontalDpi="4294967292" verticalDpi="300" r:id="rId1"/>
  <headerFooter alignWithMargins="0">
    <oddHeader xml:space="preserve">&amp;L&amp;"Times New Roman,Bold"&amp;12REVISED AS OF &amp;D&amp;C&amp;"Times New Roman,Bold"UNIVERSITY of SOUTHERN CALIFORNIA
Statement of Activities
USC, Norris, REDC,  USC Care, AMI-USC, ICT Productions and APF
Restated for Publication &amp;R
</oddHeader>
    <oddFooter>&amp;Cpage &amp;P+1&amp;R&amp;Z&amp;F\&amp;A : &amp;D</oddFooter>
  </headerFooter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28</vt:i4>
      </vt:variant>
    </vt:vector>
  </HeadingPairs>
  <TitlesOfParts>
    <vt:vector size="45" baseType="lpstr">
      <vt:lpstr>Trends</vt:lpstr>
      <vt:lpstr>Graphs </vt:lpstr>
      <vt:lpstr>10 Years AFS- Cmbd</vt:lpstr>
      <vt:lpstr>Expenses (AA)</vt:lpstr>
      <vt:lpstr>Revenues (AA)</vt:lpstr>
      <vt:lpstr>10 Years AFS</vt:lpstr>
      <vt:lpstr>FY'07 PL</vt:lpstr>
      <vt:lpstr>FY'08 PL</vt:lpstr>
      <vt:lpstr>FY'09 PL</vt:lpstr>
      <vt:lpstr>FY'10 PL</vt:lpstr>
      <vt:lpstr>FY'11  PL</vt:lpstr>
      <vt:lpstr>FY'12 PL</vt:lpstr>
      <vt:lpstr>FY'13 PL</vt:lpstr>
      <vt:lpstr>FY'14 PL</vt:lpstr>
      <vt:lpstr>FY'15 PL</vt:lpstr>
      <vt:lpstr>FY'16 PL</vt:lpstr>
      <vt:lpstr>FY7 PL</vt:lpstr>
      <vt:lpstr>'Expenses (AA)'!Print_Area</vt:lpstr>
      <vt:lpstr>'FY''07 PL'!Print_Area</vt:lpstr>
      <vt:lpstr>'FY''08 PL'!Print_Area</vt:lpstr>
      <vt:lpstr>'FY''09 PL'!Print_Area</vt:lpstr>
      <vt:lpstr>'FY''10 PL'!Print_Area</vt:lpstr>
      <vt:lpstr>'FY''11  PL'!Print_Area</vt:lpstr>
      <vt:lpstr>'FY''12 PL'!Print_Area</vt:lpstr>
      <vt:lpstr>'FY''13 PL'!Print_Area</vt:lpstr>
      <vt:lpstr>'FY''14 PL'!Print_Area</vt:lpstr>
      <vt:lpstr>'FY''15 PL'!Print_Area</vt:lpstr>
      <vt:lpstr>'FY''16 PL'!Print_Area</vt:lpstr>
      <vt:lpstr>'FY7 PL'!Print_Area</vt:lpstr>
      <vt:lpstr>'Revenues (AA)'!Print_Area</vt:lpstr>
      <vt:lpstr>'FY''07 PL'!Print_Titles</vt:lpstr>
      <vt:lpstr>'FY''08 PL'!Print_Titles</vt:lpstr>
      <vt:lpstr>'FY''09 PL'!Print_Titles</vt:lpstr>
      <vt:lpstr>'FY''10 PL'!Print_Titles</vt:lpstr>
      <vt:lpstr>'FY''11  PL'!Print_Titles</vt:lpstr>
      <vt:lpstr>'FY''12 PL'!Print_Titles</vt:lpstr>
      <vt:lpstr>'FY''13 PL'!Print_Titles</vt:lpstr>
      <vt:lpstr>'FY''14 PL'!Print_Titles</vt:lpstr>
      <vt:lpstr>'FY''15 PL'!Print_Titles</vt:lpstr>
      <vt:lpstr>'FY''16 PL'!Print_Titles</vt:lpstr>
      <vt:lpstr>'FY7 PL'!Print_Titles</vt:lpstr>
      <vt:lpstr>'Graphs '!PTY</vt:lpstr>
      <vt:lpstr>'Graphs '!TE</vt:lpstr>
      <vt:lpstr>'Graphs '!TP</vt:lpstr>
      <vt:lpstr>'Graphs '!TR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2018-03-26T09:58:49Z</dcterms:modified>
</cp:coreProperties>
</file>