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D8B987DD-45E8-4A6F-B1DC-A9AF6C439FF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HP_EconomicExample" sheetId="1" r:id="rId1"/>
    <sheet name="SensitivityDiagram_COE" sheetId="3" r:id="rId2"/>
    <sheet name="SensitivityDiagram_Relative" sheetId="4" r:id="rId3"/>
  </sheets>
  <definedNames>
    <definedName name="AggregateFractionOfHeatRecovered">CHP_EconomicExample!$B$44</definedName>
    <definedName name="AggregateSalesPriceForHeat">CHP_EconomicExample!$B$47</definedName>
    <definedName name="AnnualAshDisposal">CHP_EconomicExample!$B$40</definedName>
    <definedName name="AnnualFuelConsumption">CHP_EconomicExample!$B$37</definedName>
    <definedName name="AnnualHeatSales">CHP_EconomicExample!$B$46</definedName>
    <definedName name="AnnualHours">CHP_EconomicExample!$B$30</definedName>
    <definedName name="AnnualNetGeneration">CHP_EconomicExample!$B$36</definedName>
    <definedName name="CapacityFactor">CHP_EconomicExample!$B$29</definedName>
    <definedName name="CapitalCost">CHP_EconomicExample!$B$23</definedName>
    <definedName name="CapitalCostPerNEC">CHP_EconomicExample!$B$38</definedName>
    <definedName name="EscalationHeatSales">CHP_EconomicExample!$B$81</definedName>
    <definedName name="FuelAshConcentration">CHP_EconomicExample!$B$39</definedName>
    <definedName name="FuelConsumptionRate">CHP_EconomicExample!$B$33</definedName>
    <definedName name="FuelHeatingValue">CHP_EconomicExample!$B$32</definedName>
    <definedName name="FuelPower">CHP_EconomicExample!$B$34</definedName>
    <definedName name="GrossElectricalCapacity">CHP_EconomicExample!$B$26</definedName>
    <definedName name="GrossStationElectricalEfficiency">CHP_EconomicExample!$B$35</definedName>
    <definedName name="HeatIncomePerUnitNEE">CHP_EconomicExample!$B$49</definedName>
    <definedName name="IncomeHeatSales">CHP_EconomicExample!$B$161</definedName>
    <definedName name="NetElectricalCapacity">CHP_EconomicExample!$B$27</definedName>
    <definedName name="NetStationElectricalEfficiency">CHP_EconomicExample!$B$31</definedName>
    <definedName name="OverallCHPefficiencyGross">CHP_EconomicExample!$B$50</definedName>
    <definedName name="OverallCHPefficiencyNet">CHP_EconomicExample!$B$51</definedName>
    <definedName name="ParasiticLoad">CHP_EconomicExample!$B$28</definedName>
    <definedName name="_xlnm.Print_Area" localSheetId="0">CHP_EconomicExample!$A$202:$K$229</definedName>
    <definedName name="RecoveredHeat">CHP_EconomicExample!$B$45</definedName>
    <definedName name="TotalHeatProductionRate">CHP_EconomicExample!$B$43</definedName>
    <definedName name="TotalIncomeFromHeatSales">CHP_EconomicExample!$B$48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C32" i="1"/>
  <c r="B38" i="1" l="1"/>
  <c r="B30" i="1"/>
  <c r="B36" i="1" s="1"/>
  <c r="C164" i="1" s="1"/>
  <c r="B28" i="1"/>
  <c r="B169" i="1"/>
  <c r="B172" i="1" s="1"/>
  <c r="B86" i="1"/>
  <c r="B90" i="1" s="1"/>
  <c r="B91" i="1"/>
  <c r="J159" i="1" s="1"/>
  <c r="B94" i="1"/>
  <c r="B95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AY205" i="1"/>
  <c r="AY206" i="1"/>
  <c r="AY207" i="1"/>
  <c r="BA207" i="1" s="1"/>
  <c r="AY208" i="1"/>
  <c r="AY209" i="1" s="1"/>
  <c r="AY210" i="1" s="1"/>
  <c r="BA210" i="1" s="1"/>
  <c r="BA206" i="1"/>
  <c r="BA205" i="1"/>
  <c r="AZ205" i="1" s="1"/>
  <c r="BA204" i="1"/>
  <c r="AR205" i="1"/>
  <c r="AR206" i="1"/>
  <c r="AR207" i="1"/>
  <c r="AT207" i="1" s="1"/>
  <c r="AS207" i="1" s="1"/>
  <c r="AT206" i="1"/>
  <c r="AT205" i="1"/>
  <c r="AT204" i="1"/>
  <c r="AK205" i="1"/>
  <c r="AM204" i="1"/>
  <c r="AD205" i="1"/>
  <c r="AF204" i="1"/>
  <c r="W205" i="1"/>
  <c r="W206" i="1"/>
  <c r="W207" i="1" s="1"/>
  <c r="Y206" i="1"/>
  <c r="X206" i="1" s="1"/>
  <c r="Y205" i="1"/>
  <c r="Y204" i="1"/>
  <c r="P205" i="1"/>
  <c r="P206" i="1"/>
  <c r="P207" i="1" s="1"/>
  <c r="P208" i="1" s="1"/>
  <c r="R206" i="1"/>
  <c r="Q206" i="1" s="1"/>
  <c r="R205" i="1"/>
  <c r="R204" i="1"/>
  <c r="I205" i="1"/>
  <c r="I206" i="1"/>
  <c r="I207" i="1"/>
  <c r="I208" i="1" s="1"/>
  <c r="I209" i="1"/>
  <c r="I210" i="1" s="1"/>
  <c r="K210" i="1" s="1"/>
  <c r="K209" i="1"/>
  <c r="J209" i="1" s="1"/>
  <c r="K208" i="1"/>
  <c r="J208" i="1" s="1"/>
  <c r="K205" i="1"/>
  <c r="K204" i="1"/>
  <c r="BA202" i="1"/>
  <c r="AY201" i="1"/>
  <c r="AT202" i="1"/>
  <c r="AR201" i="1"/>
  <c r="AR200" i="1"/>
  <c r="AT201" i="1"/>
  <c r="AS201" i="1" s="1"/>
  <c r="AM202" i="1"/>
  <c r="AK201" i="1"/>
  <c r="AM201" i="1"/>
  <c r="AF202" i="1"/>
  <c r="AE202" i="1" s="1"/>
  <c r="AD201" i="1"/>
  <c r="AF201" i="1"/>
  <c r="AD200" i="1"/>
  <c r="AF200" i="1" s="1"/>
  <c r="AD199" i="1"/>
  <c r="AD198" i="1" s="1"/>
  <c r="AD197" i="1" s="1"/>
  <c r="AD196" i="1" s="1"/>
  <c r="Y202" i="1"/>
  <c r="W201" i="1"/>
  <c r="Y201" i="1"/>
  <c r="W200" i="1"/>
  <c r="Y200" i="1"/>
  <c r="R202" i="1"/>
  <c r="P201" i="1"/>
  <c r="R201" i="1" s="1"/>
  <c r="Q201" i="1" s="1"/>
  <c r="K202" i="1"/>
  <c r="I201" i="1"/>
  <c r="K201" i="1"/>
  <c r="J201" i="1" s="1"/>
  <c r="B205" i="1"/>
  <c r="B206" i="1"/>
  <c r="B207" i="1" s="1"/>
  <c r="B208" i="1" s="1"/>
  <c r="B209" i="1" s="1"/>
  <c r="D205" i="1"/>
  <c r="D204" i="1"/>
  <c r="C204" i="1" s="1"/>
  <c r="D202" i="1"/>
  <c r="B201" i="1"/>
  <c r="D201" i="1"/>
  <c r="B200" i="1"/>
  <c r="D200" i="1" s="1"/>
  <c r="C200" i="1"/>
  <c r="C213" i="1"/>
  <c r="C205" i="1"/>
  <c r="C203" i="1"/>
  <c r="C202" i="1"/>
  <c r="C201" i="1"/>
  <c r="C193" i="1"/>
  <c r="AZ213" i="1"/>
  <c r="AZ207" i="1"/>
  <c r="AZ206" i="1"/>
  <c r="AZ204" i="1"/>
  <c r="AZ203" i="1"/>
  <c r="AZ202" i="1"/>
  <c r="AZ193" i="1"/>
  <c r="AS213" i="1"/>
  <c r="AS206" i="1"/>
  <c r="AS205" i="1"/>
  <c r="AS204" i="1"/>
  <c r="AS203" i="1"/>
  <c r="AS202" i="1"/>
  <c r="AS193" i="1"/>
  <c r="AL213" i="1"/>
  <c r="AL204" i="1"/>
  <c r="AL203" i="1"/>
  <c r="AL202" i="1"/>
  <c r="AL201" i="1"/>
  <c r="AL193" i="1"/>
  <c r="AE213" i="1"/>
  <c r="AE204" i="1"/>
  <c r="AE203" i="1"/>
  <c r="AE201" i="1"/>
  <c r="AE200" i="1"/>
  <c r="AE193" i="1"/>
  <c r="X213" i="1"/>
  <c r="X205" i="1"/>
  <c r="X204" i="1"/>
  <c r="X203" i="1"/>
  <c r="X202" i="1"/>
  <c r="X201" i="1"/>
  <c r="X200" i="1"/>
  <c r="X193" i="1"/>
  <c r="J213" i="1"/>
  <c r="J205" i="1"/>
  <c r="J204" i="1"/>
  <c r="J203" i="1"/>
  <c r="J202" i="1"/>
  <c r="J193" i="1"/>
  <c r="Q202" i="1"/>
  <c r="Q203" i="1"/>
  <c r="Q204" i="1"/>
  <c r="Q205" i="1"/>
  <c r="Q213" i="1"/>
  <c r="Q193" i="1"/>
  <c r="B102" i="1"/>
  <c r="B69" i="1"/>
  <c r="B62" i="1"/>
  <c r="B157" i="1"/>
  <c r="B74" i="1"/>
  <c r="B160" i="1"/>
  <c r="V160" i="1" s="1"/>
  <c r="B103" i="1"/>
  <c r="C147" i="1"/>
  <c r="C160" i="1"/>
  <c r="B104" i="1"/>
  <c r="D147" i="1"/>
  <c r="D160" i="1"/>
  <c r="B105" i="1"/>
  <c r="E160" i="1"/>
  <c r="B106" i="1"/>
  <c r="F160" i="1"/>
  <c r="B107" i="1"/>
  <c r="G160" i="1"/>
  <c r="B108" i="1"/>
  <c r="H160" i="1"/>
  <c r="B109" i="1"/>
  <c r="I160" i="1"/>
  <c r="B110" i="1"/>
  <c r="J160" i="1"/>
  <c r="B111" i="1"/>
  <c r="K160" i="1"/>
  <c r="B112" i="1"/>
  <c r="L160" i="1"/>
  <c r="B113" i="1"/>
  <c r="M160" i="1"/>
  <c r="B114" i="1"/>
  <c r="N160" i="1"/>
  <c r="B115" i="1"/>
  <c r="O160" i="1"/>
  <c r="B116" i="1"/>
  <c r="P160" i="1"/>
  <c r="B117" i="1"/>
  <c r="Q160" i="1"/>
  <c r="B118" i="1"/>
  <c r="R160" i="1"/>
  <c r="B119" i="1"/>
  <c r="S160" i="1"/>
  <c r="B120" i="1"/>
  <c r="T160" i="1"/>
  <c r="B121" i="1"/>
  <c r="U160" i="1"/>
  <c r="AW189" i="1"/>
  <c r="D12" i="1"/>
  <c r="E122" i="1"/>
  <c r="F122" i="1"/>
  <c r="D122" i="1"/>
  <c r="D20" i="1"/>
  <c r="B14" i="1"/>
  <c r="D16" i="1"/>
  <c r="B122" i="1"/>
  <c r="D206" i="1"/>
  <c r="C206" i="1"/>
  <c r="AR199" i="1"/>
  <c r="AT200" i="1"/>
  <c r="AS200" i="1"/>
  <c r="AR208" i="1"/>
  <c r="AT208" i="1" s="1"/>
  <c r="AS208" i="1" s="1"/>
  <c r="AF199" i="1"/>
  <c r="AE199" i="1" s="1"/>
  <c r="E147" i="1"/>
  <c r="F147" i="1" s="1"/>
  <c r="Y207" i="1"/>
  <c r="X207" i="1" s="1"/>
  <c r="W208" i="1"/>
  <c r="B199" i="1"/>
  <c r="D199" i="1" s="1"/>
  <c r="C199" i="1" s="1"/>
  <c r="I200" i="1"/>
  <c r="I199" i="1" s="1"/>
  <c r="W199" i="1"/>
  <c r="AK200" i="1"/>
  <c r="AM200" i="1" s="1"/>
  <c r="AL200" i="1" s="1"/>
  <c r="K206" i="1"/>
  <c r="J206" i="1" s="1"/>
  <c r="P200" i="1"/>
  <c r="R200" i="1" s="1"/>
  <c r="K207" i="1"/>
  <c r="J207" i="1" s="1"/>
  <c r="BA208" i="1"/>
  <c r="AZ208" i="1" s="1"/>
  <c r="I211" i="1"/>
  <c r="J210" i="1"/>
  <c r="K200" i="1"/>
  <c r="J200" i="1"/>
  <c r="G147" i="1"/>
  <c r="H147" i="1" s="1"/>
  <c r="I147" i="1" s="1"/>
  <c r="J147" i="1" s="1"/>
  <c r="K147" i="1" s="1"/>
  <c r="L147" i="1" s="1"/>
  <c r="M147" i="1" s="1"/>
  <c r="D207" i="1"/>
  <c r="C207" i="1"/>
  <c r="B198" i="1"/>
  <c r="D198" i="1" s="1"/>
  <c r="C198" i="1" s="1"/>
  <c r="AF198" i="1"/>
  <c r="AE198" i="1" s="1"/>
  <c r="AT199" i="1"/>
  <c r="AS199" i="1"/>
  <c r="AR198" i="1"/>
  <c r="P199" i="1"/>
  <c r="Q200" i="1"/>
  <c r="Y199" i="1"/>
  <c r="X199" i="1"/>
  <c r="W198" i="1"/>
  <c r="Y198" i="1" s="1"/>
  <c r="AZ210" i="1"/>
  <c r="AY211" i="1"/>
  <c r="BA211" i="1" s="1"/>
  <c r="AZ211" i="1" s="1"/>
  <c r="K199" i="1"/>
  <c r="J199" i="1" s="1"/>
  <c r="I198" i="1"/>
  <c r="K198" i="1" s="1"/>
  <c r="AF197" i="1"/>
  <c r="AE197" i="1" s="1"/>
  <c r="X198" i="1"/>
  <c r="W197" i="1"/>
  <c r="AR197" i="1"/>
  <c r="AR196" i="1" s="1"/>
  <c r="AT196" i="1" s="1"/>
  <c r="AT198" i="1"/>
  <c r="AS198" i="1"/>
  <c r="G157" i="1"/>
  <c r="D208" i="1"/>
  <c r="C208" i="1"/>
  <c r="AT197" i="1"/>
  <c r="AS197" i="1" s="1"/>
  <c r="J198" i="1"/>
  <c r="I197" i="1"/>
  <c r="K197" i="1" s="1"/>
  <c r="J197" i="1" s="1"/>
  <c r="D209" i="1"/>
  <c r="C209" i="1" s="1"/>
  <c r="B210" i="1"/>
  <c r="Y197" i="1"/>
  <c r="X197" i="1" s="1"/>
  <c r="W196" i="1"/>
  <c r="AF196" i="1"/>
  <c r="AE196" i="1"/>
  <c r="AD195" i="1"/>
  <c r="I196" i="1"/>
  <c r="I195" i="1" s="1"/>
  <c r="K195" i="1" s="1"/>
  <c r="J195" i="1" s="1"/>
  <c r="AR195" i="1"/>
  <c r="AR194" i="1" s="1"/>
  <c r="AR193" i="1" s="1"/>
  <c r="AS196" i="1"/>
  <c r="K196" i="1"/>
  <c r="J196" i="1" s="1"/>
  <c r="AT195" i="1"/>
  <c r="AS195" i="1" s="1"/>
  <c r="AT194" i="1"/>
  <c r="AS194" i="1"/>
  <c r="R208" i="1" l="1"/>
  <c r="Q208" i="1" s="1"/>
  <c r="P209" i="1"/>
  <c r="N147" i="1"/>
  <c r="O147" i="1" s="1"/>
  <c r="M157" i="1"/>
  <c r="K211" i="1"/>
  <c r="J211" i="1" s="1"/>
  <c r="I212" i="1"/>
  <c r="W209" i="1"/>
  <c r="Y208" i="1"/>
  <c r="X208" i="1" s="1"/>
  <c r="BA201" i="1"/>
  <c r="AZ201" i="1" s="1"/>
  <c r="AY200" i="1"/>
  <c r="I194" i="1"/>
  <c r="H157" i="1"/>
  <c r="B197" i="1"/>
  <c r="R199" i="1"/>
  <c r="Q199" i="1" s="1"/>
  <c r="P198" i="1"/>
  <c r="AD206" i="1"/>
  <c r="AF205" i="1"/>
  <c r="AE205" i="1" s="1"/>
  <c r="B211" i="1"/>
  <c r="D210" i="1"/>
  <c r="C210" i="1" s="1"/>
  <c r="AY212" i="1"/>
  <c r="R207" i="1"/>
  <c r="Q207" i="1" s="1"/>
  <c r="AK199" i="1"/>
  <c r="D157" i="1"/>
  <c r="E157" i="1"/>
  <c r="I157" i="1"/>
  <c r="C157" i="1"/>
  <c r="F157" i="1"/>
  <c r="L157" i="1"/>
  <c r="K157" i="1"/>
  <c r="J157" i="1"/>
  <c r="AD194" i="1"/>
  <c r="AF195" i="1"/>
  <c r="AE195" i="1" s="1"/>
  <c r="W195" i="1"/>
  <c r="Y196" i="1"/>
  <c r="X196" i="1" s="1"/>
  <c r="AR209" i="1"/>
  <c r="AM205" i="1"/>
  <c r="AL205" i="1" s="1"/>
  <c r="AK206" i="1"/>
  <c r="F159" i="1"/>
  <c r="BA209" i="1"/>
  <c r="AZ209" i="1" s="1"/>
  <c r="B177" i="1"/>
  <c r="B178" i="1" s="1"/>
  <c r="G159" i="1"/>
  <c r="K159" i="1"/>
  <c r="B93" i="1"/>
  <c r="B153" i="1" s="1"/>
  <c r="B159" i="1"/>
  <c r="C159" i="1"/>
  <c r="T159" i="1"/>
  <c r="R159" i="1"/>
  <c r="L159" i="1"/>
  <c r="H159" i="1"/>
  <c r="P159" i="1"/>
  <c r="O159" i="1"/>
  <c r="Q159" i="1"/>
  <c r="M159" i="1"/>
  <c r="D159" i="1"/>
  <c r="I159" i="1"/>
  <c r="U159" i="1"/>
  <c r="N159" i="1"/>
  <c r="E159" i="1"/>
  <c r="S159" i="1"/>
  <c r="H164" i="1"/>
  <c r="B92" i="1"/>
  <c r="B149" i="1" s="1"/>
  <c r="C61" i="1"/>
  <c r="O164" i="1"/>
  <c r="I164" i="1"/>
  <c r="B35" i="1"/>
  <c r="B43" i="1"/>
  <c r="B45" i="1" s="1"/>
  <c r="B46" i="1" s="1"/>
  <c r="B51" i="1" s="1"/>
  <c r="B37" i="1"/>
  <c r="B63" i="1" s="1"/>
  <c r="M164" i="1"/>
  <c r="E164" i="1"/>
  <c r="B164" i="1"/>
  <c r="C59" i="1"/>
  <c r="C57" i="1"/>
  <c r="C60" i="1"/>
  <c r="F164" i="1"/>
  <c r="D164" i="1"/>
  <c r="J164" i="1"/>
  <c r="K164" i="1"/>
  <c r="G164" i="1"/>
  <c r="C56" i="1"/>
  <c r="C55" i="1"/>
  <c r="L164" i="1"/>
  <c r="C58" i="1"/>
  <c r="AF194" i="1" l="1"/>
  <c r="AE194" i="1" s="1"/>
  <c r="AD193" i="1"/>
  <c r="BA212" i="1"/>
  <c r="AZ212" i="1" s="1"/>
  <c r="AY213" i="1"/>
  <c r="AD207" i="1"/>
  <c r="AF206" i="1"/>
  <c r="AE206" i="1" s="1"/>
  <c r="P197" i="1"/>
  <c r="R198" i="1"/>
  <c r="Q198" i="1" s="1"/>
  <c r="I193" i="1"/>
  <c r="K194" i="1"/>
  <c r="J194" i="1" s="1"/>
  <c r="Y209" i="1"/>
  <c r="X209" i="1" s="1"/>
  <c r="W210" i="1"/>
  <c r="P147" i="1"/>
  <c r="O157" i="1"/>
  <c r="N164" i="1"/>
  <c r="AM206" i="1"/>
  <c r="AL206" i="1" s="1"/>
  <c r="AK207" i="1"/>
  <c r="Y195" i="1"/>
  <c r="X195" i="1" s="1"/>
  <c r="W194" i="1"/>
  <c r="AM199" i="1"/>
  <c r="AL199" i="1" s="1"/>
  <c r="AK198" i="1"/>
  <c r="D211" i="1"/>
  <c r="C211" i="1" s="1"/>
  <c r="B212" i="1"/>
  <c r="BA200" i="1"/>
  <c r="AZ200" i="1" s="1"/>
  <c r="AY199" i="1"/>
  <c r="I213" i="1"/>
  <c r="K212" i="1"/>
  <c r="J212" i="1" s="1"/>
  <c r="P210" i="1"/>
  <c r="R209" i="1"/>
  <c r="Q209" i="1" s="1"/>
  <c r="AR210" i="1"/>
  <c r="AT209" i="1"/>
  <c r="AS209" i="1" s="1"/>
  <c r="N157" i="1"/>
  <c r="B196" i="1"/>
  <c r="D197" i="1"/>
  <c r="C197" i="1" s="1"/>
  <c r="B97" i="1"/>
  <c r="U152" i="1" s="1"/>
  <c r="V159" i="1"/>
  <c r="B96" i="1"/>
  <c r="G148" i="1" s="1"/>
  <c r="B40" i="1"/>
  <c r="B156" i="1"/>
  <c r="M156" i="1" s="1"/>
  <c r="B48" i="1"/>
  <c r="B50" i="1"/>
  <c r="C54" i="1"/>
  <c r="C62" i="1"/>
  <c r="D212" i="1" l="1"/>
  <c r="C212" i="1" s="1"/>
  <c r="B213" i="1"/>
  <c r="W211" i="1"/>
  <c r="Y210" i="1"/>
  <c r="X210" i="1" s="1"/>
  <c r="D196" i="1"/>
  <c r="C196" i="1" s="1"/>
  <c r="B195" i="1"/>
  <c r="BA199" i="1"/>
  <c r="AZ199" i="1" s="1"/>
  <c r="AY198" i="1"/>
  <c r="AM198" i="1"/>
  <c r="AL198" i="1" s="1"/>
  <c r="AK197" i="1"/>
  <c r="AR211" i="1"/>
  <c r="AT210" i="1"/>
  <c r="AS210" i="1" s="1"/>
  <c r="Y194" i="1"/>
  <c r="X194" i="1" s="1"/>
  <c r="W193" i="1"/>
  <c r="P196" i="1"/>
  <c r="R197" i="1"/>
  <c r="Q197" i="1" s="1"/>
  <c r="P211" i="1"/>
  <c r="R210" i="1"/>
  <c r="Q210" i="1" s="1"/>
  <c r="AK208" i="1"/>
  <c r="AM207" i="1"/>
  <c r="AL207" i="1" s="1"/>
  <c r="Q147" i="1"/>
  <c r="P157" i="1"/>
  <c r="P164" i="1"/>
  <c r="AF207" i="1"/>
  <c r="AE207" i="1" s="1"/>
  <c r="AD208" i="1"/>
  <c r="F152" i="1"/>
  <c r="S152" i="1"/>
  <c r="L152" i="1"/>
  <c r="C152" i="1"/>
  <c r="M152" i="1"/>
  <c r="H152" i="1"/>
  <c r="B152" i="1"/>
  <c r="B154" i="1" s="1"/>
  <c r="B155" i="1" s="1"/>
  <c r="T152" i="1"/>
  <c r="G152" i="1"/>
  <c r="B98" i="1"/>
  <c r="B75" i="1" s="1"/>
  <c r="I162" i="1" s="1"/>
  <c r="K152" i="1"/>
  <c r="D152" i="1"/>
  <c r="Q152" i="1"/>
  <c r="J152" i="1"/>
  <c r="R152" i="1"/>
  <c r="N152" i="1"/>
  <c r="E152" i="1"/>
  <c r="O152" i="1"/>
  <c r="I152" i="1"/>
  <c r="P152" i="1"/>
  <c r="G156" i="1"/>
  <c r="N156" i="1"/>
  <c r="C156" i="1"/>
  <c r="D148" i="1"/>
  <c r="B148" i="1"/>
  <c r="B150" i="1" s="1"/>
  <c r="B151" i="1" s="1"/>
  <c r="C149" i="1" s="1"/>
  <c r="T148" i="1"/>
  <c r="F148" i="1"/>
  <c r="O148" i="1"/>
  <c r="I148" i="1"/>
  <c r="H148" i="1"/>
  <c r="P148" i="1"/>
  <c r="S148" i="1"/>
  <c r="L148" i="1"/>
  <c r="N148" i="1"/>
  <c r="O156" i="1"/>
  <c r="K156" i="1"/>
  <c r="H156" i="1"/>
  <c r="J156" i="1"/>
  <c r="L156" i="1"/>
  <c r="D156" i="1"/>
  <c r="E156" i="1"/>
  <c r="Q156" i="1"/>
  <c r="I156" i="1"/>
  <c r="F156" i="1"/>
  <c r="P156" i="1"/>
  <c r="M148" i="1"/>
  <c r="Q148" i="1"/>
  <c r="C148" i="1"/>
  <c r="E148" i="1"/>
  <c r="U148" i="1"/>
  <c r="K148" i="1"/>
  <c r="J148" i="1"/>
  <c r="R148" i="1"/>
  <c r="C63" i="1"/>
  <c r="B49" i="1"/>
  <c r="B161" i="1"/>
  <c r="G162" i="1" l="1"/>
  <c r="AM197" i="1"/>
  <c r="AL197" i="1" s="1"/>
  <c r="AK196" i="1"/>
  <c r="B194" i="1"/>
  <c r="D195" i="1"/>
  <c r="C195" i="1" s="1"/>
  <c r="AF208" i="1"/>
  <c r="AE208" i="1" s="1"/>
  <c r="AD209" i="1"/>
  <c r="R147" i="1"/>
  <c r="Q157" i="1"/>
  <c r="Q164" i="1"/>
  <c r="P212" i="1"/>
  <c r="R211" i="1"/>
  <c r="Q211" i="1" s="1"/>
  <c r="AK209" i="1"/>
  <c r="AM208" i="1"/>
  <c r="AL208" i="1" s="1"/>
  <c r="R196" i="1"/>
  <c r="Q196" i="1" s="1"/>
  <c r="P195" i="1"/>
  <c r="AR212" i="1"/>
  <c r="AT211" i="1"/>
  <c r="AS211" i="1" s="1"/>
  <c r="Y211" i="1"/>
  <c r="X211" i="1" s="1"/>
  <c r="W212" i="1"/>
  <c r="BA198" i="1"/>
  <c r="AZ198" i="1" s="1"/>
  <c r="AY197" i="1"/>
  <c r="H162" i="1"/>
  <c r="B158" i="1"/>
  <c r="U158" i="1" s="1"/>
  <c r="V158" i="1" s="1"/>
  <c r="R162" i="1"/>
  <c r="Q162" i="1"/>
  <c r="F162" i="1"/>
  <c r="D162" i="1"/>
  <c r="T162" i="1"/>
  <c r="S162" i="1"/>
  <c r="O162" i="1"/>
  <c r="E162" i="1"/>
  <c r="B162" i="1"/>
  <c r="M162" i="1"/>
  <c r="J162" i="1"/>
  <c r="C162" i="1"/>
  <c r="P162" i="1"/>
  <c r="L162" i="1"/>
  <c r="U162" i="1"/>
  <c r="N162" i="1"/>
  <c r="K162" i="1"/>
  <c r="V152" i="1"/>
  <c r="C150" i="1"/>
  <c r="C151" i="1" s="1"/>
  <c r="V148" i="1"/>
  <c r="C153" i="1"/>
  <c r="I161" i="1"/>
  <c r="R161" i="1"/>
  <c r="L161" i="1"/>
  <c r="G161" i="1"/>
  <c r="J161" i="1"/>
  <c r="P161" i="1"/>
  <c r="D161" i="1"/>
  <c r="C161" i="1"/>
  <c r="M161" i="1"/>
  <c r="N161" i="1"/>
  <c r="K161" i="1"/>
  <c r="H161" i="1"/>
  <c r="O161" i="1"/>
  <c r="Q161" i="1"/>
  <c r="F161" i="1"/>
  <c r="E161" i="1"/>
  <c r="P213" i="1" l="1"/>
  <c r="R212" i="1"/>
  <c r="Q212" i="1" s="1"/>
  <c r="AF209" i="1"/>
  <c r="AE209" i="1" s="1"/>
  <c r="AD210" i="1"/>
  <c r="BA197" i="1"/>
  <c r="AZ197" i="1" s="1"/>
  <c r="AY196" i="1"/>
  <c r="AR213" i="1"/>
  <c r="AT212" i="1"/>
  <c r="AS212" i="1" s="1"/>
  <c r="AM209" i="1"/>
  <c r="AL209" i="1" s="1"/>
  <c r="AK210" i="1"/>
  <c r="AM196" i="1"/>
  <c r="AL196" i="1" s="1"/>
  <c r="AK195" i="1"/>
  <c r="Y212" i="1"/>
  <c r="X212" i="1" s="1"/>
  <c r="W213" i="1"/>
  <c r="P194" i="1"/>
  <c r="R195" i="1"/>
  <c r="Q195" i="1" s="1"/>
  <c r="S147" i="1"/>
  <c r="R164" i="1"/>
  <c r="R157" i="1"/>
  <c r="R156" i="1"/>
  <c r="D194" i="1"/>
  <c r="C194" i="1" s="1"/>
  <c r="B193" i="1"/>
  <c r="B165" i="1"/>
  <c r="B166" i="1" s="1"/>
  <c r="B170" i="1" s="1"/>
  <c r="B163" i="1"/>
  <c r="V162" i="1"/>
  <c r="C154" i="1"/>
  <c r="D149" i="1"/>
  <c r="AK194" i="1" l="1"/>
  <c r="AM195" i="1"/>
  <c r="AL195" i="1" s="1"/>
  <c r="AD211" i="1"/>
  <c r="AF210" i="1"/>
  <c r="AE210" i="1" s="1"/>
  <c r="R194" i="1"/>
  <c r="Q194" i="1" s="1"/>
  <c r="P193" i="1"/>
  <c r="AK211" i="1"/>
  <c r="AM210" i="1"/>
  <c r="AL210" i="1" s="1"/>
  <c r="AY195" i="1"/>
  <c r="BA196" i="1"/>
  <c r="AZ196" i="1" s="1"/>
  <c r="T147" i="1"/>
  <c r="S157" i="1"/>
  <c r="S164" i="1"/>
  <c r="S156" i="1"/>
  <c r="S161" i="1"/>
  <c r="C155" i="1"/>
  <c r="C165" i="1"/>
  <c r="C166" i="1" s="1"/>
  <c r="C170" i="1" s="1"/>
  <c r="C163" i="1"/>
  <c r="D150" i="1"/>
  <c r="U147" i="1" l="1"/>
  <c r="T164" i="1"/>
  <c r="T157" i="1"/>
  <c r="T156" i="1"/>
  <c r="T161" i="1"/>
  <c r="AM211" i="1"/>
  <c r="AL211" i="1" s="1"/>
  <c r="AK212" i="1"/>
  <c r="AD212" i="1"/>
  <c r="AF211" i="1"/>
  <c r="AE211" i="1" s="1"/>
  <c r="AY194" i="1"/>
  <c r="BA195" i="1"/>
  <c r="AZ195" i="1" s="1"/>
  <c r="AK193" i="1"/>
  <c r="AM194" i="1"/>
  <c r="AL194" i="1" s="1"/>
  <c r="D153" i="1"/>
  <c r="D151" i="1"/>
  <c r="AM212" i="1" l="1"/>
  <c r="AL212" i="1" s="1"/>
  <c r="AK213" i="1"/>
  <c r="U157" i="1"/>
  <c r="V157" i="1" s="1"/>
  <c r="U164" i="1"/>
  <c r="V164" i="1" s="1"/>
  <c r="U156" i="1"/>
  <c r="V156" i="1" s="1"/>
  <c r="U161" i="1"/>
  <c r="V161" i="1" s="1"/>
  <c r="BA194" i="1"/>
  <c r="AZ194" i="1" s="1"/>
  <c r="AY193" i="1"/>
  <c r="AF212" i="1"/>
  <c r="AE212" i="1" s="1"/>
  <c r="AD213" i="1"/>
  <c r="D154" i="1"/>
  <c r="E149" i="1"/>
  <c r="D155" i="1" l="1"/>
  <c r="D163" i="1"/>
  <c r="D165" i="1"/>
  <c r="D166" i="1" s="1"/>
  <c r="D170" i="1" s="1"/>
  <c r="E150" i="1"/>
  <c r="E153" i="1" l="1"/>
  <c r="E151" i="1"/>
  <c r="E154" i="1" l="1"/>
  <c r="F149" i="1"/>
  <c r="E155" i="1" l="1"/>
  <c r="E163" i="1"/>
  <c r="E165" i="1"/>
  <c r="E166" i="1" s="1"/>
  <c r="E170" i="1" s="1"/>
  <c r="F150" i="1"/>
  <c r="F153" i="1" l="1"/>
  <c r="F154" i="1" s="1"/>
  <c r="F165" i="1" s="1"/>
  <c r="F166" i="1" s="1"/>
  <c r="F151" i="1"/>
  <c r="F163" i="1" l="1"/>
  <c r="F155" i="1"/>
  <c r="F170" i="1"/>
  <c r="G149" i="1"/>
  <c r="G153" i="1" l="1"/>
  <c r="G154" i="1" s="1"/>
  <c r="G155" i="1" s="1"/>
  <c r="G150" i="1"/>
  <c r="H153" i="1" l="1"/>
  <c r="H154" i="1" s="1"/>
  <c r="H155" i="1" s="1"/>
  <c r="G163" i="1"/>
  <c r="G165" i="1"/>
  <c r="G166" i="1" s="1"/>
  <c r="G151" i="1"/>
  <c r="I153" i="1" l="1"/>
  <c r="I154" i="1" s="1"/>
  <c r="I155" i="1" s="1"/>
  <c r="H149" i="1"/>
  <c r="H150" i="1" s="1"/>
  <c r="G170" i="1"/>
  <c r="J153" i="1" l="1"/>
  <c r="J154" i="1" s="1"/>
  <c r="J155" i="1" s="1"/>
  <c r="H163" i="1"/>
  <c r="H165" i="1"/>
  <c r="H166" i="1" s="1"/>
  <c r="H151" i="1"/>
  <c r="K153" i="1" l="1"/>
  <c r="K154" i="1" s="1"/>
  <c r="K155" i="1" s="1"/>
  <c r="I149" i="1"/>
  <c r="I150" i="1" s="1"/>
  <c r="I151" i="1" s="1"/>
  <c r="H170" i="1"/>
  <c r="L153" i="1" l="1"/>
  <c r="L154" i="1" s="1"/>
  <c r="L155" i="1" s="1"/>
  <c r="J149" i="1"/>
  <c r="J150" i="1" s="1"/>
  <c r="J151" i="1" s="1"/>
  <c r="I163" i="1"/>
  <c r="I165" i="1"/>
  <c r="I166" i="1" s="1"/>
  <c r="I170" i="1" s="1"/>
  <c r="M153" i="1" l="1"/>
  <c r="M154" i="1" s="1"/>
  <c r="M155" i="1" s="1"/>
  <c r="K149" i="1"/>
  <c r="K150" i="1" s="1"/>
  <c r="J163" i="1"/>
  <c r="J165" i="1"/>
  <c r="J166" i="1" s="1"/>
  <c r="J170" i="1" s="1"/>
  <c r="N153" i="1" l="1"/>
  <c r="N154" i="1" s="1"/>
  <c r="N155" i="1" s="1"/>
  <c r="K163" i="1"/>
  <c r="K165" i="1"/>
  <c r="K166" i="1" s="1"/>
  <c r="K170" i="1" s="1"/>
  <c r="K151" i="1"/>
  <c r="O153" i="1" l="1"/>
  <c r="O154" i="1" s="1"/>
  <c r="O155" i="1" s="1"/>
  <c r="L149" i="1"/>
  <c r="L150" i="1" s="1"/>
  <c r="P153" i="1" l="1"/>
  <c r="P154" i="1" s="1"/>
  <c r="P155" i="1" s="1"/>
  <c r="L163" i="1"/>
  <c r="L165" i="1"/>
  <c r="L166" i="1" s="1"/>
  <c r="L170" i="1" s="1"/>
  <c r="L151" i="1"/>
  <c r="Q153" i="1" l="1"/>
  <c r="Q154" i="1" s="1"/>
  <c r="Q155" i="1" s="1"/>
  <c r="M149" i="1"/>
  <c r="M150" i="1" s="1"/>
  <c r="M151" i="1" s="1"/>
  <c r="R153" i="1" l="1"/>
  <c r="R154" i="1" s="1"/>
  <c r="R155" i="1" s="1"/>
  <c r="N149" i="1"/>
  <c r="N150" i="1" s="1"/>
  <c r="N151" i="1" s="1"/>
  <c r="M163" i="1"/>
  <c r="M165" i="1"/>
  <c r="M166" i="1" s="1"/>
  <c r="M170" i="1" s="1"/>
  <c r="S153" i="1" l="1"/>
  <c r="S154" i="1" s="1"/>
  <c r="S155" i="1" s="1"/>
  <c r="O149" i="1"/>
  <c r="O150" i="1" s="1"/>
  <c r="O151" i="1" s="1"/>
  <c r="N163" i="1"/>
  <c r="N165" i="1"/>
  <c r="N166" i="1" s="1"/>
  <c r="N170" i="1" s="1"/>
  <c r="T153" i="1" l="1"/>
  <c r="T154" i="1" s="1"/>
  <c r="T155" i="1" s="1"/>
  <c r="P149" i="1"/>
  <c r="P150" i="1" s="1"/>
  <c r="O163" i="1"/>
  <c r="O165" i="1"/>
  <c r="O166" i="1" s="1"/>
  <c r="O170" i="1" s="1"/>
  <c r="U153" i="1" l="1"/>
  <c r="P163" i="1"/>
  <c r="P165" i="1"/>
  <c r="P166" i="1" s="1"/>
  <c r="P170" i="1" s="1"/>
  <c r="P151" i="1"/>
  <c r="U154" i="1" l="1"/>
  <c r="V153" i="1"/>
  <c r="Q149" i="1"/>
  <c r="Q150" i="1" s="1"/>
  <c r="V154" i="1" l="1"/>
  <c r="U155" i="1"/>
  <c r="Q163" i="1"/>
  <c r="Q165" i="1"/>
  <c r="Q166" i="1" s="1"/>
  <c r="Q170" i="1" s="1"/>
  <c r="Q151" i="1"/>
  <c r="R149" i="1" l="1"/>
  <c r="R150" i="1" s="1"/>
  <c r="R151" i="1" s="1"/>
  <c r="S149" i="1" l="1"/>
  <c r="S150" i="1" s="1"/>
  <c r="S151" i="1" s="1"/>
  <c r="R165" i="1"/>
  <c r="R166" i="1" s="1"/>
  <c r="R170" i="1" s="1"/>
  <c r="R163" i="1"/>
  <c r="T149" i="1" l="1"/>
  <c r="T150" i="1" s="1"/>
  <c r="S163" i="1"/>
  <c r="S165" i="1"/>
  <c r="S166" i="1" s="1"/>
  <c r="S170" i="1" s="1"/>
  <c r="T163" i="1" l="1"/>
  <c r="T165" i="1"/>
  <c r="T166" i="1" s="1"/>
  <c r="T170" i="1" s="1"/>
  <c r="T151" i="1"/>
  <c r="U149" i="1" l="1"/>
  <c r="U150" i="1" l="1"/>
  <c r="V149" i="1"/>
  <c r="U163" i="1" l="1"/>
  <c r="V163" i="1" s="1"/>
  <c r="U165" i="1"/>
  <c r="V150" i="1"/>
  <c r="U151" i="1"/>
  <c r="U166" i="1" l="1"/>
  <c r="V165" i="1"/>
  <c r="U170" i="1" l="1"/>
  <c r="B171" i="1" s="1"/>
  <c r="V166" i="1"/>
  <c r="B173" i="1" l="1"/>
  <c r="B179" i="1"/>
  <c r="B180" i="1" s="1"/>
  <c r="AV192" i="1" l="1"/>
  <c r="AH192" i="1"/>
  <c r="T192" i="1"/>
  <c r="AA192" i="1"/>
  <c r="F192" i="1"/>
  <c r="BC192" i="1"/>
  <c r="M192" i="1"/>
  <c r="AO192" i="1"/>
  <c r="V173" i="1"/>
  <c r="B174" i="1"/>
  <c r="AG192" i="1" l="1"/>
  <c r="AU192" i="1"/>
  <c r="Z192" i="1"/>
  <c r="S192" i="1"/>
  <c r="AN192" i="1"/>
  <c r="BB192" i="1"/>
  <c r="V174" i="1"/>
  <c r="L192" i="1"/>
  <c r="E192" i="1"/>
</calcChain>
</file>

<file path=xl/sharedStrings.xml><?xml version="1.0" encoding="utf-8"?>
<sst xmlns="http://schemas.openxmlformats.org/spreadsheetml/2006/main" count="342" uniqueCount="225">
  <si>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</si>
  <si>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</si>
  <si>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</si>
  <si>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</si>
  <si>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</si>
  <si>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</si>
  <si>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</si>
  <si>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</si>
  <si>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</si>
  <si>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</si>
  <si>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</si>
  <si>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</si>
  <si>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</si>
  <si>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</si>
  <si>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</si>
  <si>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</si>
  <si>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</si>
  <si>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</si>
  <si>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</si>
  <si>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</si>
  <si>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</si>
  <si>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</si>
  <si>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</si>
  <si>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</si>
  <si>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</si>
  <si>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</si>
  <si>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</si>
  <si>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</si>
  <si>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</si>
  <si>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</si>
  <si>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</si>
  <si>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</si>
  <si>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</si>
  <si>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</si>
  <si>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</si>
  <si>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</si>
  <si>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</si>
  <si>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</si>
  <si>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</si>
  <si>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</si>
  <si>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</si>
  <si>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</si>
  <si>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</si>
  <si>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</si>
  <si>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</si>
  <si>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</si>
  <si>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</si>
  <si>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</si>
  <si>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</si>
  <si>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</si>
  <si>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</si>
  <si>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</si>
  <si>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</si>
  <si>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</si>
  <si>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</si>
  <si>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</si>
  <si>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</si>
  <si>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</si>
  <si>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</si>
  <si>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</si>
  <si>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</si>
  <si>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</si>
  <si>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</si>
  <si>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</si>
  <si>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</si>
  <si>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</si>
  <si>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</si>
  <si>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</si>
  <si>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</si>
  <si>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</si>
  <si>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</si>
  <si>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</si>
  <si>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</si>
  <si>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</si>
  <si>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</si>
  <si>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</si>
  <si>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</si>
  <si>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</si>
  <si>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</si>
  <si>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</si>
  <si>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</si>
  <si>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</si>
  <si>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</si>
  <si>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</si>
  <si>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</si>
  <si>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</si>
  <si>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</si>
  <si>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</si>
  <si>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</si>
  <si>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</si>
  <si>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</si>
  <si>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</si>
  <si>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</si>
  <si>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</si>
  <si>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</si>
  <si>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</si>
  <si>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</si>
  <si>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</si>
  <si>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</si>
  <si>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</si>
  <si>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</si>
  <si>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</si>
  <si>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</si>
  <si>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</si>
  <si>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</si>
  <si>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</si>
  <si>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</si>
  <si>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</si>
  <si>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</si>
  <si>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</si>
  <si>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</si>
  <si>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</si>
  <si>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</si>
  <si>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</si>
  <si>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</si>
  <si>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</si>
  <si>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</si>
  <si>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</si>
  <si>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</si>
  <si>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</si>
  <si>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</si>
  <si>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</si>
  <si>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</si>
  <si>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</si>
  <si>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</si>
  <si>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</si>
  <si>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Escalation--PTC:  Specified index for production tax credit</t>
  </si>
  <si>
    <t>Net Station Electrical Efficiency (%)</t>
  </si>
  <si>
    <t>Total Facility Capital Cost ($)</t>
  </si>
  <si>
    <t>Capital Cost</t>
  </si>
  <si>
    <t>Total heat production rate (kWth)</t>
  </si>
  <si>
    <t>Recovered heat (kWth)</t>
  </si>
  <si>
    <t>Gross Electrical Capacity (kWe)</t>
  </si>
  <si>
    <t>Parasitic Load (kWe)</t>
  </si>
  <si>
    <t>Fuel Power (kW)</t>
  </si>
  <si>
    <t>Capital cost per net electrical capacity ($/kWe)</t>
  </si>
  <si>
    <t>Enter $/MMBtu</t>
  </si>
  <si>
    <t>Annual Net Generation (kWh)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</si>
  <si>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</si>
  <si>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</si>
  <si>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</si>
  <si>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</si>
  <si>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</si>
  <si>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</si>
  <si>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</si>
  <si>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</si>
  <si>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</si>
  <si>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Example:  Biomass Combined Heat and Power (CHP)</t>
  </si>
  <si>
    <t>Capital Cost: Total installed cost of plant including electrical plus heat recovery and distribution</t>
  </si>
  <si>
    <t>Net Electrical Capacity (kWe)</t>
  </si>
  <si>
    <t>Net Electrical Capacity:  Size of plant based on net power output to grid or sales</t>
  </si>
  <si>
    <t xml:space="preserve">Gross Electrical Capacity:  Total gross generating capacity </t>
  </si>
  <si>
    <t>Parasitic Load:  Electrical power used to operate facility</t>
  </si>
  <si>
    <t>Economic Life:  Example assumes 20 year economic life</t>
  </si>
  <si>
    <t>MACRS--5 year</t>
  </si>
  <si>
    <t>MACRS--10 year</t>
  </si>
  <si>
    <t>Straight Line--20 year</t>
  </si>
  <si>
    <t>Gross Station Electrical Efficiency (%)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</si>
  <si>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</si>
  <si>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</si>
  <si>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</si>
  <si>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</si>
  <si>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</si>
  <si>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</si>
  <si>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</si>
  <si>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</si>
  <si>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Ash Disposal ($/y)--use negative value for sales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</si>
  <si>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</si>
  <si>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</si>
  <si>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</si>
  <si>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</si>
  <si>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</si>
  <si>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This simplified model computes both the current $ and constant $ level annual cost of electricity for a model biomass CHP facility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</si>
  <si>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</si>
  <si>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</si>
  <si>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</si>
  <si>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</si>
  <si>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</si>
  <si>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</si>
  <si>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Ash Disposal:  Cost of ash disposal from plant, use negative value when ash is sold at value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</si>
  <si>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</si>
  <si>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</si>
  <si>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</si>
  <si>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</si>
  <si>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</si>
  <si>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</si>
  <si>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</si>
  <si>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</si>
  <si>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Production Tax Credit on Electrical Energy</t>
  </si>
  <si>
    <t>Income--Capacity</t>
  </si>
  <si>
    <t>Conventional</t>
  </si>
  <si>
    <t>Capacity Payment:  Payment made from power purchaser if plant can guarantee capacity (depends on contract)</t>
  </si>
  <si>
    <t>Escalation for Production Tax Credit (%/y)</t>
  </si>
  <si>
    <t>Escalation--Heat sales (%/y)</t>
  </si>
  <si>
    <t>Capital costs shown are for example only.  Actual costs may vary.</t>
  </si>
  <si>
    <t>Heat Sales Price Conversion:</t>
  </si>
  <si>
    <t>Fraction in Year</t>
  </si>
  <si>
    <t>Case</t>
  </si>
  <si>
    <t>Base</t>
  </si>
  <si>
    <t>($)</t>
  </si>
  <si>
    <t>Relative Change</t>
  </si>
  <si>
    <t>(%)</t>
  </si>
  <si>
    <t>LAC Constant</t>
  </si>
  <si>
    <t>($/kWh)</t>
  </si>
  <si>
    <t>LAC Current</t>
  </si>
  <si>
    <t>Sensitivity Analysis</t>
  </si>
  <si>
    <t>Formula Values</t>
  </si>
  <si>
    <t>Fuel Cost</t>
  </si>
  <si>
    <t>($/t)</t>
  </si>
  <si>
    <t>Heat Price</t>
  </si>
  <si>
    <t>Debt Ratio</t>
  </si>
  <si>
    <t>Efficiency</t>
  </si>
  <si>
    <t>Net Station Efficiency:  heat sales price =</t>
  </si>
  <si>
    <t>Debt Interest Rate</t>
  </si>
  <si>
    <t>Cost of Equity</t>
  </si>
  <si>
    <t>Capacity Factor</t>
  </si>
  <si>
    <t>COE Current</t>
  </si>
  <si>
    <t>COE Constant</t>
  </si>
  <si>
    <t>Relative Change in COE</t>
  </si>
  <si>
    <t>Enter base, minimum, and maximum values in input cells</t>
  </si>
  <si>
    <t>Interest Rate on Debt:  Interest rate applied to debt portion of investment.  Value must be non-zero.</t>
  </si>
  <si>
    <t>Diff</t>
  </si>
  <si>
    <t>different variables from generic-power-only are hightlighted in:</t>
  </si>
  <si>
    <t>Income--Heat</t>
  </si>
  <si>
    <t>Moisture content on a wet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</si>
</sst>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#,##0.0"/>
    <numFmt numFmtId="168" formatCode="0.00000"/>
    <numFmt numFmtId="169" formatCode="#,##0.0000"/>
  </numFmts>
  <fonts count="7">
    <font>
      <sz val="9"/>
      <name val="Helv"/>
    </font>
    <font>
      <sz val="10"/>
      <name val="Geneva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69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3" fontId="3" fillId="4" borderId="6" xfId="0" applyNumberFormat="1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0" fontId="3" fillId="0" borderId="13" xfId="0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wrapText="1"/>
    </xf>
    <xf numFmtId="0" fontId="3" fillId="3" borderId="15" xfId="0" applyFont="1" applyFill="1" applyBorder="1"/>
    <xf numFmtId="0" fontId="3" fillId="3" borderId="16" xfId="0" applyFont="1" applyFill="1" applyBorder="1" applyAlignment="1">
      <alignment horizontal="center" wrapText="1"/>
    </xf>
    <xf numFmtId="3" fontId="3" fillId="2" borderId="17" xfId="1" applyNumberFormat="1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/>
    </xf>
    <xf numFmtId="3" fontId="3" fillId="4" borderId="19" xfId="1" applyNumberFormat="1" applyFont="1" applyFill="1" applyBorder="1" applyAlignment="1">
      <alignment horizontal="center"/>
    </xf>
    <xf numFmtId="166" fontId="3" fillId="4" borderId="17" xfId="0" applyNumberFormat="1" applyFont="1" applyFill="1" applyBorder="1" applyAlignment="1">
      <alignment horizontal="center"/>
    </xf>
    <xf numFmtId="166" fontId="3" fillId="2" borderId="19" xfId="0" applyNumberFormat="1" applyFont="1" applyFill="1" applyBorder="1" applyAlignment="1">
      <alignment horizontal="center"/>
    </xf>
    <xf numFmtId="2" fontId="3" fillId="4" borderId="19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 vertical="center"/>
    </xf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3" fillId="6" borderId="0" xfId="0" applyFont="1" applyFill="1" applyBorder="1"/>
    <xf numFmtId="0" fontId="3" fillId="6" borderId="23" xfId="0" applyFont="1" applyFill="1" applyBorder="1" applyAlignment="1">
      <alignment horizontal="center"/>
    </xf>
    <xf numFmtId="0" fontId="5" fillId="4" borderId="24" xfId="0" applyFont="1" applyFill="1" applyBorder="1"/>
    <xf numFmtId="164" fontId="5" fillId="4" borderId="25" xfId="0" applyNumberFormat="1" applyFont="1" applyFill="1" applyBorder="1"/>
    <xf numFmtId="2" fontId="3" fillId="2" borderId="17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169" fontId="3" fillId="2" borderId="2" xfId="0" applyNumberFormat="1" applyFont="1" applyFill="1" applyBorder="1"/>
    <xf numFmtId="0" fontId="4" fillId="6" borderId="26" xfId="0" applyFont="1" applyFill="1" applyBorder="1" applyAlignment="1">
      <alignment vertical="top"/>
    </xf>
    <xf numFmtId="0" fontId="4" fillId="6" borderId="26" xfId="0" applyFont="1" applyFill="1" applyBorder="1"/>
    <xf numFmtId="0" fontId="4" fillId="0" borderId="3" xfId="0" applyFont="1" applyBorder="1"/>
    <xf numFmtId="0" fontId="3" fillId="0" borderId="13" xfId="0" applyFont="1" applyBorder="1" applyAlignment="1">
      <alignment horizontal="right" wrapText="1"/>
    </xf>
    <xf numFmtId="0" fontId="6" fillId="0" borderId="1" xfId="0" applyFont="1" applyBorder="1"/>
    <xf numFmtId="3" fontId="5" fillId="6" borderId="20" xfId="0" applyNumberFormat="1" applyFont="1" applyFill="1" applyBorder="1" applyAlignment="1"/>
    <xf numFmtId="3" fontId="5" fillId="6" borderId="26" xfId="0" applyNumberFormat="1" applyFont="1" applyFill="1" applyBorder="1" applyAlignment="1"/>
    <xf numFmtId="0" fontId="3" fillId="6" borderId="23" xfId="0" applyFont="1" applyFill="1" applyBorder="1" applyAlignment="1">
      <alignment horizontal="center" wrapText="1"/>
    </xf>
    <xf numFmtId="0" fontId="3" fillId="3" borderId="23" xfId="0" applyFont="1" applyFill="1" applyBorder="1" applyAlignment="1">
      <alignment horizontal="center"/>
    </xf>
    <xf numFmtId="3" fontId="3" fillId="4" borderId="23" xfId="0" applyNumberFormat="1" applyFont="1" applyFill="1" applyBorder="1" applyAlignment="1">
      <alignment horizontal="center"/>
    </xf>
    <xf numFmtId="3" fontId="3" fillId="4" borderId="27" xfId="0" applyNumberFormat="1" applyFont="1" applyFill="1" applyBorder="1" applyAlignment="1">
      <alignment horizontal="center"/>
    </xf>
    <xf numFmtId="169" fontId="5" fillId="6" borderId="21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2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3" fontId="3" fillId="2" borderId="18" xfId="0" applyNumberFormat="1" applyFont="1" applyFill="1" applyBorder="1" applyAlignment="1">
      <alignment horizontal="center"/>
    </xf>
    <xf numFmtId="164" fontId="3" fillId="4" borderId="29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169" fontId="3" fillId="2" borderId="18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8" borderId="5" xfId="0" applyFont="1" applyFill="1" applyBorder="1"/>
    <xf numFmtId="3" fontId="3" fillId="0" borderId="0" xfId="0" applyNumberFormat="1" applyFont="1" applyBorder="1"/>
    <xf numFmtId="0" fontId="3" fillId="8" borderId="2" xfId="0" applyFont="1" applyFill="1" applyBorder="1"/>
    <xf numFmtId="0" fontId="4" fillId="8" borderId="0" xfId="0" applyFont="1" applyFill="1"/>
    <xf numFmtId="0" fontId="3" fillId="4" borderId="30" xfId="0" applyFont="1" applyFill="1" applyBorder="1"/>
    <xf numFmtId="0" fontId="3" fillId="8" borderId="2" xfId="0" applyFont="1" applyFill="1" applyBorder="1" applyAlignment="1">
      <alignment horizontal="center"/>
    </xf>
    <xf numFmtId="3" fontId="5" fillId="6" borderId="26" xfId="0" applyNumberFormat="1" applyFont="1" applyFill="1" applyBorder="1" applyAlignment="1">
      <alignment horizontal="center"/>
    </xf>
    <xf numFmtId="3" fontId="5" fillId="6" borderId="20" xfId="0" applyNumberFormat="1" applyFont="1" applyFill="1" applyBorder="1" applyAlignment="1">
      <alignment horizontal="center"/>
    </xf>
    <xf numFmtId="3" fontId="5" fillId="6" borderId="21" xfId="0" applyNumberFormat="1" applyFont="1" applyFill="1" applyBorder="1" applyAlignment="1">
      <alignment horizontal="center"/>
    </xf>
    <xf numFmtId="9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CHP_EconomicExample!$F$193:$F$213</c:f>
              <c:numCache>
                <c:formatCode>0.0000</c:formatCode>
                <c:ptCount val="21"/>
                <c:pt idx="0">
                  <c:v>2.6666581222568889E-2</c:v>
                </c:pt>
                <c:pt idx="1">
                  <c:v>3.0726142144726392E-2</c:v>
                </c:pt>
                <c:pt idx="2">
                  <c:v>3.4785703066883861E-2</c:v>
                </c:pt>
                <c:pt idx="3">
                  <c:v>3.8845263989041354E-2</c:v>
                </c:pt>
                <c:pt idx="4">
                  <c:v>4.2904824911198833E-2</c:v>
                </c:pt>
                <c:pt idx="5">
                  <c:v>4.6964385833356305E-2</c:v>
                </c:pt>
                <c:pt idx="6">
                  <c:v>5.1023946755513791E-2</c:v>
                </c:pt>
                <c:pt idx="7">
                  <c:v>5.5083507677671263E-2</c:v>
                </c:pt>
                <c:pt idx="8">
                  <c:v>5.9143068599828763E-2</c:v>
                </c:pt>
                <c:pt idx="9">
                  <c:v>6.3202629521986228E-2</c:v>
                </c:pt>
                <c:pt idx="10">
                  <c:v>6.7262190444143707E-2</c:v>
                </c:pt>
                <c:pt idx="11">
                  <c:v>7.4801375013864732E-2</c:v>
                </c:pt>
                <c:pt idx="12">
                  <c:v>8.2340559583585771E-2</c:v>
                </c:pt>
                <c:pt idx="13">
                  <c:v>8.9879744153306809E-2</c:v>
                </c:pt>
                <c:pt idx="14">
                  <c:v>9.7418928723027862E-2</c:v>
                </c:pt>
                <c:pt idx="15">
                  <c:v>0.1049581132927489</c:v>
                </c:pt>
                <c:pt idx="16">
                  <c:v>0.11249729786246995</c:v>
                </c:pt>
                <c:pt idx="17">
                  <c:v>0.12003648243219099</c:v>
                </c:pt>
                <c:pt idx="18">
                  <c:v>0.12757566700191197</c:v>
                </c:pt>
                <c:pt idx="19">
                  <c:v>0.13511485157163308</c:v>
                </c:pt>
                <c:pt idx="20">
                  <c:v>0.14265403614135408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3-4A43-BB80-B2AF2ACCB4FB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CHP_EconomicExample!$M$193:$M$213</c:f>
              <c:numCache>
                <c:formatCode>0.0000</c:formatCode>
                <c:ptCount val="21"/>
                <c:pt idx="0">
                  <c:v>2.5480533865148688E-2</c:v>
                </c:pt>
                <c:pt idx="1">
                  <c:v>2.9658699523048181E-2</c:v>
                </c:pt>
                <c:pt idx="2">
                  <c:v>3.3836865180947709E-2</c:v>
                </c:pt>
                <c:pt idx="3">
                  <c:v>3.8015030838847191E-2</c:v>
                </c:pt>
                <c:pt idx="4">
                  <c:v>4.2193196496746702E-2</c:v>
                </c:pt>
                <c:pt idx="5">
                  <c:v>4.6371362154646205E-2</c:v>
                </c:pt>
                <c:pt idx="6">
                  <c:v>5.0549527812545694E-2</c:v>
                </c:pt>
                <c:pt idx="7">
                  <c:v>5.4727693470445191E-2</c:v>
                </c:pt>
                <c:pt idx="8">
                  <c:v>5.8905859128344687E-2</c:v>
                </c:pt>
                <c:pt idx="9">
                  <c:v>6.3084024786244211E-2</c:v>
                </c:pt>
                <c:pt idx="10">
                  <c:v>6.7262190444143707E-2</c:v>
                </c:pt>
                <c:pt idx="11">
                  <c:v>8.2032621874223804E-2</c:v>
                </c:pt>
                <c:pt idx="12">
                  <c:v>9.6803053304303915E-2</c:v>
                </c:pt>
                <c:pt idx="13">
                  <c:v>0.11157348473438405</c:v>
                </c:pt>
                <c:pt idx="14">
                  <c:v>0.12634391616446414</c:v>
                </c:pt>
                <c:pt idx="15">
                  <c:v>0.14111434759454425</c:v>
                </c:pt>
                <c:pt idx="16">
                  <c:v>0.15588477902462436</c:v>
                </c:pt>
                <c:pt idx="17">
                  <c:v>0.17065521045470447</c:v>
                </c:pt>
                <c:pt idx="18">
                  <c:v>0.18542564188478453</c:v>
                </c:pt>
                <c:pt idx="19">
                  <c:v>0.20019607331486466</c:v>
                </c:pt>
                <c:pt idx="20">
                  <c:v>0.21496650474494472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3-4A43-BB80-B2AF2ACCB4FB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CHP_EconomicExample!$AA$193:$AA$213</c:f>
              <c:numCache>
                <c:formatCode>0.0000</c:formatCode>
                <c:ptCount val="21"/>
                <c:pt idx="0">
                  <c:v>0.10334541140317727</c:v>
                </c:pt>
                <c:pt idx="1">
                  <c:v>9.9737089307273874E-2</c:v>
                </c:pt>
                <c:pt idx="2">
                  <c:v>9.6128767211370522E-2</c:v>
                </c:pt>
                <c:pt idx="3">
                  <c:v>9.2520445115467156E-2</c:v>
                </c:pt>
                <c:pt idx="4">
                  <c:v>8.8912123019563805E-2</c:v>
                </c:pt>
                <c:pt idx="5">
                  <c:v>8.5303800923660494E-2</c:v>
                </c:pt>
                <c:pt idx="6">
                  <c:v>8.1695478827757101E-2</c:v>
                </c:pt>
                <c:pt idx="7">
                  <c:v>7.8087156731853777E-2</c:v>
                </c:pt>
                <c:pt idx="8">
                  <c:v>7.4478834635950439E-2</c:v>
                </c:pt>
                <c:pt idx="9">
                  <c:v>7.0870512540047059E-2</c:v>
                </c:pt>
                <c:pt idx="10">
                  <c:v>6.7262190444143707E-2</c:v>
                </c:pt>
                <c:pt idx="11">
                  <c:v>6.6059416412175928E-2</c:v>
                </c:pt>
                <c:pt idx="12">
                  <c:v>6.4856642380208121E-2</c:v>
                </c:pt>
                <c:pt idx="13">
                  <c:v>6.3653868348240383E-2</c:v>
                </c:pt>
                <c:pt idx="14">
                  <c:v>6.2451094316272583E-2</c:v>
                </c:pt>
                <c:pt idx="15">
                  <c:v>6.1248320284304818E-2</c:v>
                </c:pt>
                <c:pt idx="16">
                  <c:v>6.0045546252337011E-2</c:v>
                </c:pt>
                <c:pt idx="17">
                  <c:v>5.8842772220369231E-2</c:v>
                </c:pt>
                <c:pt idx="18">
                  <c:v>5.7639998188401431E-2</c:v>
                </c:pt>
                <c:pt idx="19">
                  <c:v>5.6437224156433645E-2</c:v>
                </c:pt>
                <c:pt idx="20">
                  <c:v>5.5234450124465879E-2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3-4A43-BB80-B2AF2ACCB4FB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CHP_EconomicExample!$AH$193:$AH$213</c:f>
              <c:numCache>
                <c:formatCode>0.0000</c:formatCode>
                <c:ptCount val="21"/>
                <c:pt idx="0">
                  <c:v>6.1386449360423985E-2</c:v>
                </c:pt>
                <c:pt idx="1">
                  <c:v>6.1901231773583788E-2</c:v>
                </c:pt>
                <c:pt idx="2">
                  <c:v>6.2432562731638282E-2</c:v>
                </c:pt>
                <c:pt idx="3">
                  <c:v>6.2980334516084549E-2</c:v>
                </c:pt>
                <c:pt idx="4">
                  <c:v>6.354442008196852E-2</c:v>
                </c:pt>
                <c:pt idx="5">
                  <c:v>6.412467387675648E-2</c:v>
                </c:pt>
                <c:pt idx="6">
                  <c:v>6.4720932715301965E-2</c:v>
                </c:pt>
                <c:pt idx="7">
                  <c:v>6.5333016703183533E-2</c:v>
                </c:pt>
                <c:pt idx="8">
                  <c:v>6.5960730200631562E-2</c:v>
                </c:pt>
                <c:pt idx="9">
                  <c:v>6.6603862819286458E-2</c:v>
                </c:pt>
                <c:pt idx="10">
                  <c:v>6.7262190444143707E-2</c:v>
                </c:pt>
                <c:pt idx="11">
                  <c:v>6.8972905267447565E-2</c:v>
                </c:pt>
                <c:pt idx="12">
                  <c:v>7.0773080409378047E-2</c:v>
                </c:pt>
                <c:pt idx="13">
                  <c:v>7.2658366895016535E-2</c:v>
                </c:pt>
                <c:pt idx="14">
                  <c:v>7.4624162758632248E-2</c:v>
                </c:pt>
                <c:pt idx="15">
                  <c:v>7.6665706560671065E-2</c:v>
                </c:pt>
                <c:pt idx="16">
                  <c:v>7.8778162750951772E-2</c:v>
                </c:pt>
                <c:pt idx="17">
                  <c:v>8.0956697300826552E-2</c:v>
                </c:pt>
                <c:pt idx="18">
                  <c:v>8.3196542722750261E-2</c:v>
                </c:pt>
                <c:pt idx="19">
                  <c:v>8.5493052202087902E-2</c:v>
                </c:pt>
                <c:pt idx="20">
                  <c:v>8.7841743062518116E-2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3-4A43-BB80-B2AF2ACCB4FB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CHP_EconomicExample!$AO$193:$AO$213</c:f>
              <c:numCache>
                <c:formatCode>0.0000</c:formatCode>
                <c:ptCount val="21"/>
                <c:pt idx="0">
                  <c:v>5.1662083572701807E-2</c:v>
                </c:pt>
                <c:pt idx="1">
                  <c:v>5.2822194800474682E-2</c:v>
                </c:pt>
                <c:pt idx="2">
                  <c:v>5.4079469784560866E-2</c:v>
                </c:pt>
                <c:pt idx="3">
                  <c:v>5.543272920626028E-2</c:v>
                </c:pt>
                <c:pt idx="4">
                  <c:v>5.6879442063929642E-2</c:v>
                </c:pt>
                <c:pt idx="5">
                  <c:v>5.8415911519288828E-2</c:v>
                </c:pt>
                <c:pt idx="6">
                  <c:v>6.0037496253265585E-2</c:v>
                </c:pt>
                <c:pt idx="7">
                  <c:v>6.1738847325762986E-2</c:v>
                </c:pt>
                <c:pt idx="8">
                  <c:v>6.3514142595620673E-2</c:v>
                </c:pt>
                <c:pt idx="9">
                  <c:v>6.5357304387541088E-2</c:v>
                </c:pt>
                <c:pt idx="10">
                  <c:v>6.7262190444143707E-2</c:v>
                </c:pt>
                <c:pt idx="11">
                  <c:v>7.2255318401806753E-2</c:v>
                </c:pt>
                <c:pt idx="12">
                  <c:v>7.7510154327372308E-2</c:v>
                </c:pt>
                <c:pt idx="13">
                  <c:v>8.2954351685055883E-2</c:v>
                </c:pt>
                <c:pt idx="14">
                  <c:v>8.8531551568882524E-2</c:v>
                </c:pt>
                <c:pt idx="15">
                  <c:v>9.4199768114511265E-2</c:v>
                </c:pt>
                <c:pt idx="16">
                  <c:v>9.9928623927556581E-2</c:v>
                </c:pt>
                <c:pt idx="17">
                  <c:v>0.10569653990710903</c:v>
                </c:pt>
                <c:pt idx="18">
                  <c:v>0.11148835142705173</c:v>
                </c:pt>
                <c:pt idx="19">
                  <c:v>0.11729346340626827</c:v>
                </c:pt>
                <c:pt idx="20">
                  <c:v>0.12310449522188321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23-4A43-BB80-B2AF2ACCB4FB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CHP_EconomicExample!$AV$193:$AV$213</c:f>
              <c:numCache>
                <c:formatCode>0.0000</c:formatCode>
                <c:ptCount val="21"/>
                <c:pt idx="0">
                  <c:v>0.10269530905478207</c:v>
                </c:pt>
                <c:pt idx="1">
                  <c:v>9.1792811020739495E-2</c:v>
                </c:pt>
                <c:pt idx="2">
                  <c:v>8.4978749749462887E-2</c:v>
                </c:pt>
                <c:pt idx="3">
                  <c:v>8.0316497300694678E-2</c:v>
                </c:pt>
                <c:pt idx="4">
                  <c:v>7.692576824704507E-2</c:v>
                </c:pt>
                <c:pt idx="5">
                  <c:v>7.4348814166271357E-2</c:v>
                </c:pt>
                <c:pt idx="6">
                  <c:v>7.2324064531377741E-2</c:v>
                </c:pt>
                <c:pt idx="7">
                  <c:v>7.0691201922592595E-2</c:v>
                </c:pt>
                <c:pt idx="8">
                  <c:v>6.9346491538887139E-2</c:v>
                </c:pt>
                <c:pt idx="9">
                  <c:v>6.8219842298485309E-2</c:v>
                </c:pt>
                <c:pt idx="10">
                  <c:v>6.7262190444143707E-2</c:v>
                </c:pt>
                <c:pt idx="11">
                  <c:v>6.572162006976813E-2</c:v>
                </c:pt>
                <c:pt idx="12">
                  <c:v>6.4536565935633061E-2</c:v>
                </c:pt>
                <c:pt idx="13">
                  <c:v>6.3596695415456969E-2</c:v>
                </c:pt>
                <c:pt idx="14">
                  <c:v>6.2833050617813926E-2</c:v>
                </c:pt>
                <c:pt idx="15">
                  <c:v>6.220031635690966E-2</c:v>
                </c:pt>
                <c:pt idx="16">
                  <c:v>6.1667487505621871E-2</c:v>
                </c:pt>
                <c:pt idx="17">
                  <c:v>6.121263360818105E-2</c:v>
                </c:pt>
                <c:pt idx="18">
                  <c:v>6.0819805242209445E-2</c:v>
                </c:pt>
                <c:pt idx="19">
                  <c:v>6.0477125178276803E-2</c:v>
                </c:pt>
                <c:pt idx="20">
                  <c:v>6.017556672201603E-2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23-4A43-BB80-B2AF2ACCB4FB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CHP_EconomicExample!$BC$193:$BC$213</c:f>
              <c:numCache>
                <c:formatCode>0.0000</c:formatCode>
                <c:ptCount val="21"/>
                <c:pt idx="0">
                  <c:v>0.12540491834855499</c:v>
                </c:pt>
                <c:pt idx="1">
                  <c:v>0.11429900402973484</c:v>
                </c:pt>
                <c:pt idx="2">
                  <c:v>0.10523295152457558</c:v>
                </c:pt>
                <c:pt idx="3">
                  <c:v>9.769202934738698E-2</c:v>
                </c:pt>
                <c:pt idx="4">
                  <c:v>9.1321250266658702E-2</c:v>
                </c:pt>
                <c:pt idx="5">
                  <c:v>8.5867863373555287E-2</c:v>
                </c:pt>
                <c:pt idx="6">
                  <c:v>8.11470209884807E-2</c:v>
                </c:pt>
                <c:pt idx="7">
                  <c:v>7.7020410512016926E-2</c:v>
                </c:pt>
                <c:pt idx="8">
                  <c:v>7.3382477591976483E-2</c:v>
                </c:pt>
                <c:pt idx="9">
                  <c:v>7.0151270091567866E-2</c:v>
                </c:pt>
                <c:pt idx="10">
                  <c:v>6.7262190444143707E-2</c:v>
                </c:pt>
                <c:pt idx="11">
                  <c:v>6.6365963424422525E-2</c:v>
                </c:pt>
                <c:pt idx="12">
                  <c:v>6.5500289598555486E-2</c:v>
                </c:pt>
                <c:pt idx="13">
                  <c:v>6.4663632772438182E-2</c:v>
                </c:pt>
                <c:pt idx="14">
                  <c:v>6.385455803948957E-2</c:v>
                </c:pt>
                <c:pt idx="15">
                  <c:v>6.3071723568150106E-2</c:v>
                </c:pt>
                <c:pt idx="16">
                  <c:v>6.2313873175683161E-2</c:v>
                </c:pt>
                <c:pt idx="17">
                  <c:v>6.1579829601827785E-2</c:v>
                </c:pt>
                <c:pt idx="18">
                  <c:v>6.0868488406545213E-2</c:v>
                </c:pt>
                <c:pt idx="19">
                  <c:v>6.0178812425332198E-2</c:v>
                </c:pt>
                <c:pt idx="20">
                  <c:v>5.9509826723555537E-2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23-4A43-BB80-B2AF2ACC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0784"/>
        <c:axId val="1"/>
      </c:scatterChart>
      <c:valAx>
        <c:axId val="3241007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410078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CHP_EconomicExample!$G$193:$G$213</c:f>
              <c:numCache>
                <c:formatCode>#,##0</c:formatCode>
                <c:ptCount val="21"/>
                <c:pt idx="0">
                  <c:v>-60.354277720536743</c:v>
                </c:pt>
                <c:pt idx="1">
                  <c:v>-54.318849948483027</c:v>
                </c:pt>
                <c:pt idx="2">
                  <c:v>-48.283422176429383</c:v>
                </c:pt>
                <c:pt idx="3">
                  <c:v>-42.247994404375689</c:v>
                </c:pt>
                <c:pt idx="4">
                  <c:v>-36.212566632322016</c:v>
                </c:pt>
                <c:pt idx="5">
                  <c:v>-30.177138860268361</c:v>
                </c:pt>
                <c:pt idx="6">
                  <c:v>-24.141711088214677</c:v>
                </c:pt>
                <c:pt idx="7">
                  <c:v>-18.106283316161019</c:v>
                </c:pt>
                <c:pt idx="8">
                  <c:v>-12.070855544107321</c:v>
                </c:pt>
                <c:pt idx="9">
                  <c:v>-6.0354277720536693</c:v>
                </c:pt>
                <c:pt idx="10">
                  <c:v>0</c:v>
                </c:pt>
                <c:pt idx="11">
                  <c:v>11.208651576671089</c:v>
                </c:pt>
                <c:pt idx="12">
                  <c:v>22.4173031533422</c:v>
                </c:pt>
                <c:pt idx="13">
                  <c:v>33.625954730013305</c:v>
                </c:pt>
                <c:pt idx="14">
                  <c:v>44.834606306684442</c:v>
                </c:pt>
                <c:pt idx="15">
                  <c:v>56.043257883355544</c:v>
                </c:pt>
                <c:pt idx="16">
                  <c:v>67.251909460026681</c:v>
                </c:pt>
                <c:pt idx="17">
                  <c:v>78.460561036697797</c:v>
                </c:pt>
                <c:pt idx="18">
                  <c:v>89.669212613368813</c:v>
                </c:pt>
                <c:pt idx="19">
                  <c:v>100.87786419004003</c:v>
                </c:pt>
                <c:pt idx="20">
                  <c:v>112.08651576671109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1-4352-B4CA-586B8189E86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CHP_EconomicExample!$N$193:$N$213</c:f>
              <c:numCache>
                <c:formatCode>#,##0</c:formatCode>
                <c:ptCount val="21"/>
                <c:pt idx="0">
                  <c:v>-62.117597275830029</c:v>
                </c:pt>
                <c:pt idx="1">
                  <c:v>-55.905837548247042</c:v>
                </c:pt>
                <c:pt idx="2">
                  <c:v>-49.694077820663999</c:v>
                </c:pt>
                <c:pt idx="3">
                  <c:v>-43.482318093081027</c:v>
                </c:pt>
                <c:pt idx="4">
                  <c:v>-37.270558365498005</c:v>
                </c:pt>
                <c:pt idx="5">
                  <c:v>-31.058798637915004</c:v>
                </c:pt>
                <c:pt idx="6">
                  <c:v>-24.847038910332021</c:v>
                </c:pt>
                <c:pt idx="7">
                  <c:v>-18.635279182749027</c:v>
                </c:pt>
                <c:pt idx="8">
                  <c:v>-12.42351945516603</c:v>
                </c:pt>
                <c:pt idx="9">
                  <c:v>-6.2117597275829946</c:v>
                </c:pt>
                <c:pt idx="10">
                  <c:v>0</c:v>
                </c:pt>
                <c:pt idx="11">
                  <c:v>21.959486202498642</c:v>
                </c:pt>
                <c:pt idx="12">
                  <c:v>43.918972404997305</c:v>
                </c:pt>
                <c:pt idx="13">
                  <c:v>65.878458607496</c:v>
                </c:pt>
                <c:pt idx="14">
                  <c:v>87.837944809994625</c:v>
                </c:pt>
                <c:pt idx="15">
                  <c:v>109.79743101249329</c:v>
                </c:pt>
                <c:pt idx="16">
                  <c:v>131.75691721499194</c:v>
                </c:pt>
                <c:pt idx="17">
                  <c:v>153.71640341749062</c:v>
                </c:pt>
                <c:pt idx="18">
                  <c:v>175.67588961998919</c:v>
                </c:pt>
                <c:pt idx="19">
                  <c:v>197.63537582248787</c:v>
                </c:pt>
                <c:pt idx="20">
                  <c:v>219.59486202498644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1-4352-B4CA-586B8189E86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CHP_EconomicExample!$AB$193:$AB$213</c:f>
              <c:numCache>
                <c:formatCode>#,##0</c:formatCode>
                <c:ptCount val="21"/>
                <c:pt idx="0">
                  <c:v>53.645622779707146</c:v>
                </c:pt>
                <c:pt idx="1">
                  <c:v>48.281060501736377</c:v>
                </c:pt>
                <c:pt idx="2">
                  <c:v>42.916498223765672</c:v>
                </c:pt>
                <c:pt idx="3">
                  <c:v>37.551935945794938</c:v>
                </c:pt>
                <c:pt idx="4">
                  <c:v>32.187373667824232</c:v>
                </c:pt>
                <c:pt idx="5">
                  <c:v>26.822811389853584</c:v>
                </c:pt>
                <c:pt idx="6">
                  <c:v>21.458249111882814</c:v>
                </c:pt>
                <c:pt idx="7">
                  <c:v>16.093686833912145</c:v>
                </c:pt>
                <c:pt idx="8">
                  <c:v>10.729124555941457</c:v>
                </c:pt>
                <c:pt idx="9">
                  <c:v>5.3645622779707089</c:v>
                </c:pt>
                <c:pt idx="10">
                  <c:v>0</c:v>
                </c:pt>
                <c:pt idx="11">
                  <c:v>-1.7881874259902293</c:v>
                </c:pt>
                <c:pt idx="12">
                  <c:v>-3.5763748519804994</c:v>
                </c:pt>
                <c:pt idx="13">
                  <c:v>-5.3645622779706672</c:v>
                </c:pt>
                <c:pt idx="14">
                  <c:v>-7.1527497039609269</c:v>
                </c:pt>
                <c:pt idx="15">
                  <c:v>-8.940937129951136</c:v>
                </c:pt>
                <c:pt idx="16">
                  <c:v>-10.729124555941407</c:v>
                </c:pt>
                <c:pt idx="17">
                  <c:v>-12.517311981931636</c:v>
                </c:pt>
                <c:pt idx="18">
                  <c:v>-14.305499407921896</c:v>
                </c:pt>
                <c:pt idx="19">
                  <c:v>-16.093686833912134</c:v>
                </c:pt>
                <c:pt idx="20">
                  <c:v>-17.881874259902343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1-4352-B4CA-586B8189E86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CHP_EconomicExample!$AI$193:$AI$213</c:f>
              <c:numCache>
                <c:formatCode>#,##0</c:formatCode>
                <c:ptCount val="21"/>
                <c:pt idx="0">
                  <c:v>-8.7355779598035728</c:v>
                </c:pt>
                <c:pt idx="1">
                  <c:v>-7.9702409855530956</c:v>
                </c:pt>
                <c:pt idx="2">
                  <c:v>-7.1803009694072868</c:v>
                </c:pt>
                <c:pt idx="3">
                  <c:v>-6.3659180585486945</c:v>
                </c:pt>
                <c:pt idx="4">
                  <c:v>-5.5272811331687484</c:v>
                </c:pt>
                <c:pt idx="5">
                  <c:v>-4.664606589035639</c:v>
                </c:pt>
                <c:pt idx="6">
                  <c:v>-3.7781370366641114</c:v>
                </c:pt>
                <c:pt idx="7">
                  <c:v>-2.8681399285713285</c:v>
                </c:pt>
                <c:pt idx="8">
                  <c:v>-1.9349061261882516</c:v>
                </c:pt>
                <c:pt idx="9">
                  <c:v>-0.97874841795992673</c:v>
                </c:pt>
                <c:pt idx="10">
                  <c:v>0</c:v>
                </c:pt>
                <c:pt idx="11">
                  <c:v>2.5433528286957592</c:v>
                </c:pt>
                <c:pt idx="12">
                  <c:v>5.2197080440754826</c:v>
                </c:pt>
                <c:pt idx="13">
                  <c:v>8.0225999409786617</c:v>
                </c:pt>
                <c:pt idx="14">
                  <c:v>10.945186687909185</c:v>
                </c:pt>
                <c:pt idx="15">
                  <c:v>13.980389360552101</c:v>
                </c:pt>
                <c:pt idx="16">
                  <c:v>17.121018852889176</c:v>
                </c:pt>
                <c:pt idx="17">
                  <c:v>20.359888320995321</c:v>
                </c:pt>
                <c:pt idx="18">
                  <c:v>23.689909848890302</c:v>
                </c:pt>
                <c:pt idx="19">
                  <c:v>27.104174927344332</c:v>
                </c:pt>
                <c:pt idx="20">
                  <c:v>30.596019074734432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1-4352-B4CA-586B8189E86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CHP_EconomicExample!$AP$193:$AP$213</c:f>
              <c:numCache>
                <c:formatCode>#,##0</c:formatCode>
                <c:ptCount val="21"/>
                <c:pt idx="0">
                  <c:v>-23.192980734691712</c:v>
                </c:pt>
                <c:pt idx="1">
                  <c:v>-21.468220925187349</c:v>
                </c:pt>
                <c:pt idx="2">
                  <c:v>-19.599005879135202</c:v>
                </c:pt>
                <c:pt idx="3">
                  <c:v>-17.5870889124655</c:v>
                </c:pt>
                <c:pt idx="4">
                  <c:v>-15.436232914294063</c:v>
                </c:pt>
                <c:pt idx="5">
                  <c:v>-13.151934045622649</c:v>
                </c:pt>
                <c:pt idx="6">
                  <c:v>-10.741092645321594</c:v>
                </c:pt>
                <c:pt idx="7">
                  <c:v>-8.2116610861304782</c:v>
                </c:pt>
                <c:pt idx="8">
                  <c:v>-5.5722952579659317</c:v>
                </c:pt>
                <c:pt idx="9">
                  <c:v>-2.8320309582907313</c:v>
                </c:pt>
                <c:pt idx="10">
                  <c:v>0</c:v>
                </c:pt>
                <c:pt idx="11">
                  <c:v>7.4233799474750546</c:v>
                </c:pt>
                <c:pt idx="12">
                  <c:v>15.235846194659358</c:v>
                </c:pt>
                <c:pt idx="13">
                  <c:v>23.329839746957628</c:v>
                </c:pt>
                <c:pt idx="14">
                  <c:v>31.621570728359572</c:v>
                </c:pt>
                <c:pt idx="15">
                  <c:v>40.048617941958383</c:v>
                </c:pt>
                <c:pt idx="16">
                  <c:v>48.565818727744144</c:v>
                </c:pt>
                <c:pt idx="17">
                  <c:v>57.141091018857345</c:v>
                </c:pt>
                <c:pt idx="18">
                  <c:v>65.751889272227288</c:v>
                </c:pt>
                <c:pt idx="19">
                  <c:v>74.382461575752345</c:v>
                </c:pt>
                <c:pt idx="20">
                  <c:v>83.021835014594757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1-4352-B4CA-586B8189E86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CHP_EconomicExample!$AW$193:$AW$213</c:f>
              <c:numCache>
                <c:formatCode>#,##0</c:formatCode>
                <c:ptCount val="21"/>
                <c:pt idx="0">
                  <c:v>52.679103039415509</c:v>
                </c:pt>
                <c:pt idx="1">
                  <c:v>36.470148258056895</c:v>
                </c:pt>
                <c:pt idx="2">
                  <c:v>26.339551519707754</c:v>
                </c:pt>
                <c:pt idx="3">
                  <c:v>19.40809059346887</c:v>
                </c:pt>
                <c:pt idx="4">
                  <c:v>14.367028101658766</c:v>
                </c:pt>
                <c:pt idx="5">
                  <c:v>10.535820607883069</c:v>
                </c:pt>
                <c:pt idx="6">
                  <c:v>7.5255861484879034</c:v>
                </c:pt>
                <c:pt idx="7">
                  <c:v>5.0979777134918445</c:v>
                </c:pt>
                <c:pt idx="8">
                  <c:v>3.0987707670244409</c:v>
                </c:pt>
                <c:pt idx="9">
                  <c:v>1.4237595416058604</c:v>
                </c:pt>
                <c:pt idx="10">
                  <c:v>0</c:v>
                </c:pt>
                <c:pt idx="11">
                  <c:v>-2.2903957843224085</c:v>
                </c:pt>
                <c:pt idx="12">
                  <c:v>-4.0522386953396596</c:v>
                </c:pt>
                <c:pt idx="13">
                  <c:v>-5.4495623833878284</c:v>
                </c:pt>
                <c:pt idx="14">
                  <c:v>-6.584887879926919</c:v>
                </c:pt>
                <c:pt idx="15">
                  <c:v>-7.5255861484879238</c:v>
                </c:pt>
                <c:pt idx="16">
                  <c:v>-8.3177531114866454</c:v>
                </c:pt>
                <c:pt idx="17">
                  <c:v>-8.9939932018514455</c:v>
                </c:pt>
                <c:pt idx="18">
                  <c:v>-9.5780187344392065</c:v>
                </c:pt>
                <c:pt idx="19">
                  <c:v>-10.087487816058267</c:v>
                </c:pt>
                <c:pt idx="20">
                  <c:v>-10.53582060788311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1-4352-B4CA-586B8189E86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CHP_EconomicExample!$BD$193:$BD$213</c:f>
              <c:numCache>
                <c:formatCode>#,##0</c:formatCode>
                <c:ptCount val="21"/>
                <c:pt idx="0">
                  <c:v>86.441918588266219</c:v>
                </c:pt>
                <c:pt idx="1">
                  <c:v>69.930540880395114</c:v>
                </c:pt>
                <c:pt idx="2">
                  <c:v>56.451865200500414</c:v>
                </c:pt>
                <c:pt idx="3">
                  <c:v>45.240630289186036</c:v>
                </c:pt>
                <c:pt idx="4">
                  <c:v>35.76906976066185</c:v>
                </c:pt>
                <c:pt idx="5">
                  <c:v>27.661413948245144</c:v>
                </c:pt>
                <c:pt idx="6">
                  <c:v>20.64284623003368</c:v>
                </c:pt>
                <c:pt idx="7">
                  <c:v>14.507734588240478</c:v>
                </c:pt>
                <c:pt idx="8">
                  <c:v>9.0991493250806688</c:v>
                </c:pt>
                <c:pt idx="9">
                  <c:v>4.295250613081544</c:v>
                </c:pt>
                <c:pt idx="10">
                  <c:v>0</c:v>
                </c:pt>
                <c:pt idx="11">
                  <c:v>-1.3324380514569072</c:v>
                </c:pt>
                <c:pt idx="12">
                  <c:v>-2.6194520784323103</c:v>
                </c:pt>
                <c:pt idx="13">
                  <c:v>-3.8633259704252962</c:v>
                </c:pt>
                <c:pt idx="14">
                  <c:v>-5.0661930308141319</c:v>
                </c:pt>
                <c:pt idx="15">
                  <c:v>-6.2300481865417021</c:v>
                </c:pt>
                <c:pt idx="16">
                  <c:v>-7.3567590287886313</c:v>
                </c:pt>
                <c:pt idx="17">
                  <c:v>-8.448075813163868</c:v>
                </c:pt>
                <c:pt idx="18">
                  <c:v>-9.5056405320430244</c:v>
                </c:pt>
                <c:pt idx="19">
                  <c:v>-10.530995157961339</c:v>
                </c:pt>
                <c:pt idx="20">
                  <c:v>-11.525589145102161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1-4352-B4CA-586B8189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08040"/>
        <c:axId val="1"/>
      </c:scatterChart>
      <c:valAx>
        <c:axId val="3495080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5080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114300</xdr:rowOff>
    </xdr:from>
    <xdr:to>
      <xdr:col>2</xdr:col>
      <xdr:colOff>552450</xdr:colOff>
      <xdr:row>10</xdr:row>
      <xdr:rowOff>238125</xdr:rowOff>
    </xdr:to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809AB271-0F70-45C0-BE48-1A59432CEF8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184" name="AutoShape 2">
          <a:extLst>
            <a:ext uri="{FF2B5EF4-FFF2-40B4-BE49-F238E27FC236}">
              <a16:creationId xmlns:a16="http://schemas.microsoft.com/office/drawing/2014/main" id="{4F949FCF-E74A-4F8F-9CE7-D3A4641FED0F}"/>
            </a:ext>
          </a:extLst>
        </xdr:cNvPr>
        <xdr:cNvSpPr>
          <a:spLocks noChangeArrowheads="1"/>
        </xdr:cNvSpPr>
      </xdr:nvSpPr>
      <xdr:spPr bwMode="auto">
        <a:xfrm>
          <a:off x="4133850" y="25527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114300</xdr:rowOff>
    </xdr:from>
    <xdr:to>
      <xdr:col>2</xdr:col>
      <xdr:colOff>552450</xdr:colOff>
      <xdr:row>14</xdr:row>
      <xdr:rowOff>238125</xdr:rowOff>
    </xdr:to>
    <xdr:sp macro="" textlink="">
      <xdr:nvSpPr>
        <xdr:cNvPr id="1185" name="AutoShape 3">
          <a:extLst>
            <a:ext uri="{FF2B5EF4-FFF2-40B4-BE49-F238E27FC236}">
              <a16:creationId xmlns:a16="http://schemas.microsoft.com/office/drawing/2014/main" id="{6CC0A1D5-9962-4C5D-A790-BBC8A7EEAB76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18</xdr:row>
      <xdr:rowOff>114300</xdr:rowOff>
    </xdr:from>
    <xdr:to>
      <xdr:col>2</xdr:col>
      <xdr:colOff>552450</xdr:colOff>
      <xdr:row>18</xdr:row>
      <xdr:rowOff>238125</xdr:rowOff>
    </xdr:to>
    <xdr:sp macro="" textlink="">
      <xdr:nvSpPr>
        <xdr:cNvPr id="1186" name="AutoShape 4">
          <a:extLst>
            <a:ext uri="{FF2B5EF4-FFF2-40B4-BE49-F238E27FC236}">
              <a16:creationId xmlns:a16="http://schemas.microsoft.com/office/drawing/2014/main" id="{81CA1B14-7BFB-4847-887C-74048D9EEA29}"/>
            </a:ext>
          </a:extLst>
        </xdr:cNvPr>
        <xdr:cNvSpPr>
          <a:spLocks noChangeArrowheads="1"/>
        </xdr:cNvSpPr>
      </xdr:nvSpPr>
      <xdr:spPr bwMode="auto">
        <a:xfrm>
          <a:off x="4133850" y="38100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8</xdr:row>
      <xdr:rowOff>152400</xdr:rowOff>
    </xdr:from>
    <xdr:to>
      <xdr:col>0</xdr:col>
      <xdr:colOff>2571750</xdr:colOff>
      <xdr:row>19</xdr:row>
      <xdr:rowOff>133350</xdr:rowOff>
    </xdr:to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C985A704-5977-412F-A708-1954B41D20AC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2543175"/>
        </a:xfrm>
        <a:prstGeom prst="downArrow">
          <a:avLst>
            <a:gd name="adj1" fmla="val 38222"/>
            <a:gd name="adj2" fmla="val 7172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191</xdr:row>
      <xdr:rowOff>76200</xdr:rowOff>
    </xdr:from>
    <xdr:to>
      <xdr:col>3</xdr:col>
      <xdr:colOff>714375</xdr:colOff>
      <xdr:row>191</xdr:row>
      <xdr:rowOff>200025</xdr:rowOff>
    </xdr:to>
    <xdr:sp macro="" textlink="">
      <xdr:nvSpPr>
        <xdr:cNvPr id="1188" name="AutoShape 7">
          <a:extLst>
            <a:ext uri="{FF2B5EF4-FFF2-40B4-BE49-F238E27FC236}">
              <a16:creationId xmlns:a16="http://schemas.microsoft.com/office/drawing/2014/main" id="{9D199C01-F974-4F04-A837-BD298A91C644}"/>
            </a:ext>
          </a:extLst>
        </xdr:cNvPr>
        <xdr:cNvSpPr>
          <a:spLocks noChangeArrowheads="1"/>
        </xdr:cNvSpPr>
      </xdr:nvSpPr>
      <xdr:spPr bwMode="auto">
        <a:xfrm>
          <a:off x="4019550" y="311467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191</xdr:row>
      <xdr:rowOff>76200</xdr:rowOff>
    </xdr:from>
    <xdr:to>
      <xdr:col>10</xdr:col>
      <xdr:colOff>714375</xdr:colOff>
      <xdr:row>191</xdr:row>
      <xdr:rowOff>200025</xdr:rowOff>
    </xdr:to>
    <xdr:sp macro="" textlink="">
      <xdr:nvSpPr>
        <xdr:cNvPr id="1189" name="AutoShape 8">
          <a:extLst>
            <a:ext uri="{FF2B5EF4-FFF2-40B4-BE49-F238E27FC236}">
              <a16:creationId xmlns:a16="http://schemas.microsoft.com/office/drawing/2014/main" id="{B91DF8E0-497C-425C-AB94-5EEE863CDE92}"/>
            </a:ext>
          </a:extLst>
        </xdr:cNvPr>
        <xdr:cNvSpPr>
          <a:spLocks noChangeArrowheads="1"/>
        </xdr:cNvSpPr>
      </xdr:nvSpPr>
      <xdr:spPr bwMode="auto">
        <a:xfrm>
          <a:off x="9277350" y="311467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191</xdr:row>
      <xdr:rowOff>76200</xdr:rowOff>
    </xdr:from>
    <xdr:to>
      <xdr:col>17</xdr:col>
      <xdr:colOff>714375</xdr:colOff>
      <xdr:row>191</xdr:row>
      <xdr:rowOff>200025</xdr:rowOff>
    </xdr:to>
    <xdr:sp macro="" textlink="">
      <xdr:nvSpPr>
        <xdr:cNvPr id="1190" name="AutoShape 9">
          <a:extLst>
            <a:ext uri="{FF2B5EF4-FFF2-40B4-BE49-F238E27FC236}">
              <a16:creationId xmlns:a16="http://schemas.microsoft.com/office/drawing/2014/main" id="{FFEC2D38-33B1-4CB9-8D59-939D1EC8233A}"/>
            </a:ext>
          </a:extLst>
        </xdr:cNvPr>
        <xdr:cNvSpPr>
          <a:spLocks noChangeArrowheads="1"/>
        </xdr:cNvSpPr>
      </xdr:nvSpPr>
      <xdr:spPr bwMode="auto">
        <a:xfrm>
          <a:off x="1390650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191</xdr:row>
      <xdr:rowOff>76200</xdr:rowOff>
    </xdr:from>
    <xdr:to>
      <xdr:col>24</xdr:col>
      <xdr:colOff>714375</xdr:colOff>
      <xdr:row>191</xdr:row>
      <xdr:rowOff>200025</xdr:rowOff>
    </xdr:to>
    <xdr:sp macro="" textlink="">
      <xdr:nvSpPr>
        <xdr:cNvPr id="1191" name="AutoShape 10">
          <a:extLst>
            <a:ext uri="{FF2B5EF4-FFF2-40B4-BE49-F238E27FC236}">
              <a16:creationId xmlns:a16="http://schemas.microsoft.com/office/drawing/2014/main" id="{BD25F28B-623F-4F96-A9F6-3FF74285DC9D}"/>
            </a:ext>
          </a:extLst>
        </xdr:cNvPr>
        <xdr:cNvSpPr>
          <a:spLocks noChangeArrowheads="1"/>
        </xdr:cNvSpPr>
      </xdr:nvSpPr>
      <xdr:spPr bwMode="auto">
        <a:xfrm>
          <a:off x="18935700" y="311467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191</xdr:row>
      <xdr:rowOff>76200</xdr:rowOff>
    </xdr:from>
    <xdr:to>
      <xdr:col>45</xdr:col>
      <xdr:colOff>714375</xdr:colOff>
      <xdr:row>191</xdr:row>
      <xdr:rowOff>200025</xdr:rowOff>
    </xdr:to>
    <xdr:sp macro="" textlink="">
      <xdr:nvSpPr>
        <xdr:cNvPr id="1192" name="AutoShape 11">
          <a:extLst>
            <a:ext uri="{FF2B5EF4-FFF2-40B4-BE49-F238E27FC236}">
              <a16:creationId xmlns:a16="http://schemas.microsoft.com/office/drawing/2014/main" id="{43EB46D4-74E1-4C77-9CAB-0046827C15DE}"/>
            </a:ext>
          </a:extLst>
        </xdr:cNvPr>
        <xdr:cNvSpPr>
          <a:spLocks noChangeArrowheads="1"/>
        </xdr:cNvSpPr>
      </xdr:nvSpPr>
      <xdr:spPr bwMode="auto">
        <a:xfrm>
          <a:off x="340423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191</xdr:row>
      <xdr:rowOff>76200</xdr:rowOff>
    </xdr:from>
    <xdr:to>
      <xdr:col>31</xdr:col>
      <xdr:colOff>714375</xdr:colOff>
      <xdr:row>191</xdr:row>
      <xdr:rowOff>200025</xdr:rowOff>
    </xdr:to>
    <xdr:sp macro="" textlink="">
      <xdr:nvSpPr>
        <xdr:cNvPr id="1193" name="AutoShape 12">
          <a:extLst>
            <a:ext uri="{FF2B5EF4-FFF2-40B4-BE49-F238E27FC236}">
              <a16:creationId xmlns:a16="http://schemas.microsoft.com/office/drawing/2014/main" id="{AA71BDD9-94CC-493A-9548-AC7B5B392BEF}"/>
            </a:ext>
          </a:extLst>
        </xdr:cNvPr>
        <xdr:cNvSpPr>
          <a:spLocks noChangeArrowheads="1"/>
        </xdr:cNvSpPr>
      </xdr:nvSpPr>
      <xdr:spPr bwMode="auto">
        <a:xfrm>
          <a:off x="244411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191</xdr:row>
      <xdr:rowOff>76200</xdr:rowOff>
    </xdr:from>
    <xdr:to>
      <xdr:col>38</xdr:col>
      <xdr:colOff>714375</xdr:colOff>
      <xdr:row>191</xdr:row>
      <xdr:rowOff>200025</xdr:rowOff>
    </xdr:to>
    <xdr:sp macro="" textlink="">
      <xdr:nvSpPr>
        <xdr:cNvPr id="1194" name="AutoShape 13">
          <a:extLst>
            <a:ext uri="{FF2B5EF4-FFF2-40B4-BE49-F238E27FC236}">
              <a16:creationId xmlns:a16="http://schemas.microsoft.com/office/drawing/2014/main" id="{0D4572DD-7740-4958-8D1C-15476DE7D872}"/>
            </a:ext>
          </a:extLst>
        </xdr:cNvPr>
        <xdr:cNvSpPr>
          <a:spLocks noChangeArrowheads="1"/>
        </xdr:cNvSpPr>
      </xdr:nvSpPr>
      <xdr:spPr bwMode="auto">
        <a:xfrm>
          <a:off x="292417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191</xdr:row>
      <xdr:rowOff>76200</xdr:rowOff>
    </xdr:from>
    <xdr:to>
      <xdr:col>52</xdr:col>
      <xdr:colOff>714375</xdr:colOff>
      <xdr:row>191</xdr:row>
      <xdr:rowOff>200025</xdr:rowOff>
    </xdr:to>
    <xdr:sp macro="" textlink="">
      <xdr:nvSpPr>
        <xdr:cNvPr id="1195" name="AutoShape 14">
          <a:extLst>
            <a:ext uri="{FF2B5EF4-FFF2-40B4-BE49-F238E27FC236}">
              <a16:creationId xmlns:a16="http://schemas.microsoft.com/office/drawing/2014/main" id="{9A783FD0-F401-4DB7-AC62-BBA1961A2395}"/>
            </a:ext>
          </a:extLst>
        </xdr:cNvPr>
        <xdr:cNvSpPr>
          <a:spLocks noChangeArrowheads="1"/>
        </xdr:cNvSpPr>
      </xdr:nvSpPr>
      <xdr:spPr bwMode="auto">
        <a:xfrm>
          <a:off x="388429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B615E-DF0E-45EA-A388-2A9C7DE73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50796-C443-487C-A684-0E21E0C1CC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</sheetPr>
  <dimension ref="A1:BD251"/>
  <sheetViews>
    <sheetView tabSelected="1" topLeftCell="A11" workbookViewId="0">
      <selection activeCell="E26" sqref="E26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6.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9" ht="20.25">
      <c r="A1" s="1" t="s">
        <v>47</v>
      </c>
    </row>
    <row r="2" spans="1:9" ht="20.25">
      <c r="A2" s="1" t="s">
        <v>147</v>
      </c>
    </row>
    <row r="4" spans="1:9">
      <c r="A4" s="2" t="s">
        <v>172</v>
      </c>
    </row>
    <row r="5" spans="1:9">
      <c r="A5" s="2" t="s">
        <v>74</v>
      </c>
      <c r="B5" s="21" t="s">
        <v>72</v>
      </c>
    </row>
    <row r="6" spans="1:9">
      <c r="A6" s="2" t="s">
        <v>75</v>
      </c>
      <c r="B6" s="34" t="s">
        <v>73</v>
      </c>
      <c r="D6" s="133" t="s">
        <v>222</v>
      </c>
      <c r="E6" s="30"/>
      <c r="F6" s="30"/>
      <c r="G6" s="30"/>
      <c r="H6" s="137" t="s">
        <v>221</v>
      </c>
    </row>
    <row r="7" spans="1:9">
      <c r="A7" s="2" t="s">
        <v>110</v>
      </c>
    </row>
    <row r="8" spans="1:9" ht="12.75" thickBot="1"/>
    <row r="9" spans="1:9" ht="29.25" customHeight="1">
      <c r="B9" s="96" t="s">
        <v>90</v>
      </c>
      <c r="C9" s="86"/>
      <c r="D9" s="87"/>
    </row>
    <row r="10" spans="1:9" ht="12.75" thickBot="1">
      <c r="B10" s="88" t="s">
        <v>190</v>
      </c>
      <c r="C10" s="89"/>
      <c r="D10" s="90" t="s">
        <v>119</v>
      </c>
      <c r="I10" s="17"/>
    </row>
    <row r="11" spans="1:9" ht="24">
      <c r="B11" s="75" t="s">
        <v>86</v>
      </c>
      <c r="C11" s="76"/>
      <c r="D11" s="77" t="s">
        <v>87</v>
      </c>
      <c r="I11" s="70"/>
    </row>
    <row r="12" spans="1:9" ht="12.75" thickBot="1">
      <c r="B12" s="78">
        <v>8000</v>
      </c>
      <c r="C12" s="79" t="s">
        <v>88</v>
      </c>
      <c r="D12" s="80">
        <f>B12*1.055056/0.4535924</f>
        <v>18608.001368629633</v>
      </c>
      <c r="I12" s="74"/>
    </row>
    <row r="13" spans="1:9" ht="24">
      <c r="B13" s="75" t="s">
        <v>118</v>
      </c>
      <c r="C13" s="76"/>
      <c r="D13" s="77" t="s">
        <v>117</v>
      </c>
      <c r="F13" s="71"/>
      <c r="G13" s="72"/>
      <c r="H13" s="73"/>
      <c r="I13" s="74"/>
    </row>
    <row r="14" spans="1:9" ht="12.75" thickBot="1">
      <c r="B14" s="81">
        <f>D14/0.907</f>
        <v>26.460859977949283</v>
      </c>
      <c r="C14" s="79" t="s">
        <v>88</v>
      </c>
      <c r="D14" s="82">
        <v>24</v>
      </c>
      <c r="F14" s="71"/>
      <c r="G14"/>
      <c r="H14"/>
      <c r="I14" s="74"/>
    </row>
    <row r="15" spans="1:9" ht="24">
      <c r="B15" s="75" t="s">
        <v>91</v>
      </c>
      <c r="C15" s="76"/>
      <c r="D15" s="77" t="s">
        <v>92</v>
      </c>
      <c r="F15" s="71"/>
      <c r="G15" s="72"/>
      <c r="H15" s="73"/>
      <c r="I15" s="74"/>
    </row>
    <row r="16" spans="1:9" ht="12.75" thickBot="1">
      <c r="B16" s="93">
        <v>20</v>
      </c>
      <c r="C16" s="79" t="s">
        <v>88</v>
      </c>
      <c r="D16" s="83">
        <f>B16/0.907</f>
        <v>22.050716648291068</v>
      </c>
      <c r="F16" s="71"/>
      <c r="G16" s="72"/>
      <c r="H16" s="73"/>
      <c r="I16" s="74"/>
    </row>
    <row r="17" spans="1:9" ht="12.75" thickBot="1">
      <c r="F17" s="71"/>
      <c r="G17" s="72"/>
      <c r="H17" s="73"/>
      <c r="I17" s="74"/>
    </row>
    <row r="18" spans="1:9" ht="12.75" thickBot="1">
      <c r="B18" s="97" t="s">
        <v>195</v>
      </c>
      <c r="C18" s="86"/>
      <c r="D18" s="87"/>
      <c r="F18" s="71"/>
      <c r="G18" s="72"/>
      <c r="H18" s="73"/>
      <c r="I18" s="74"/>
    </row>
    <row r="19" spans="1:9" ht="24">
      <c r="B19" s="75" t="s">
        <v>136</v>
      </c>
      <c r="C19" s="76"/>
      <c r="D19" s="84" t="s">
        <v>111</v>
      </c>
      <c r="F19" s="71"/>
      <c r="G19" s="72"/>
      <c r="H19" s="73"/>
      <c r="I19" s="74"/>
    </row>
    <row r="20" spans="1:9" ht="12.75" thickBot="1">
      <c r="B20" s="93">
        <v>3</v>
      </c>
      <c r="C20" s="85" t="s">
        <v>88</v>
      </c>
      <c r="D20" s="94">
        <f>B20/1055*3.6</f>
        <v>1.0236966824644549E-2</v>
      </c>
      <c r="F20" s="71"/>
      <c r="G20" s="72"/>
      <c r="H20" s="73"/>
      <c r="I20" s="74"/>
    </row>
    <row r="21" spans="1:9">
      <c r="B21" s="141">
        <v>0.5</v>
      </c>
      <c r="C21" s="2" t="s">
        <v>224</v>
      </c>
    </row>
    <row r="22" spans="1:9">
      <c r="A22" s="18" t="s">
        <v>129</v>
      </c>
      <c r="B22" s="3"/>
    </row>
    <row r="23" spans="1:9">
      <c r="A23" s="11" t="s">
        <v>128</v>
      </c>
      <c r="B23" s="12">
        <v>70000000</v>
      </c>
      <c r="D23" s="2" t="s">
        <v>148</v>
      </c>
    </row>
    <row r="24" spans="1:9">
      <c r="A24" s="17"/>
      <c r="B24" s="31"/>
      <c r="D24" s="2" t="s">
        <v>194</v>
      </c>
    </row>
    <row r="25" spans="1:9">
      <c r="A25" s="32" t="s">
        <v>174</v>
      </c>
      <c r="B25" s="31"/>
    </row>
    <row r="26" spans="1:9">
      <c r="A26" s="134" t="s">
        <v>132</v>
      </c>
      <c r="B26" s="12">
        <v>28000</v>
      </c>
      <c r="D26" s="2" t="s">
        <v>151</v>
      </c>
    </row>
    <row r="27" spans="1:9">
      <c r="A27" s="11" t="s">
        <v>149</v>
      </c>
      <c r="B27" s="12">
        <v>25000</v>
      </c>
      <c r="D27" s="2" t="s">
        <v>150</v>
      </c>
    </row>
    <row r="28" spans="1:9">
      <c r="A28" s="134" t="s">
        <v>133</v>
      </c>
      <c r="B28" s="41">
        <f>GrossElectricalCapacity-NetElectricalCapacity</f>
        <v>3000</v>
      </c>
      <c r="D28" s="2" t="s">
        <v>152</v>
      </c>
    </row>
    <row r="29" spans="1:9">
      <c r="A29" s="11" t="s">
        <v>48</v>
      </c>
      <c r="B29" s="12">
        <v>85</v>
      </c>
      <c r="D29" s="2" t="s">
        <v>84</v>
      </c>
    </row>
    <row r="30" spans="1:9">
      <c r="A30" s="33" t="s">
        <v>25</v>
      </c>
      <c r="B30" s="24">
        <f>CapacityFactor/100*8760</f>
        <v>7446</v>
      </c>
    </row>
    <row r="31" spans="1:9">
      <c r="A31" s="11" t="s">
        <v>127</v>
      </c>
      <c r="B31" s="39">
        <v>20</v>
      </c>
      <c r="D31" s="2" t="s">
        <v>85</v>
      </c>
    </row>
    <row r="32" spans="1:9">
      <c r="A32" s="11" t="s">
        <v>0</v>
      </c>
      <c r="B32" s="12">
        <v>18608</v>
      </c>
      <c r="C32" s="2">
        <f>FuelHeatingValue*(1-B21)</f>
        <v>9304</v>
      </c>
      <c r="D32" s="2" t="s">
        <v>89</v>
      </c>
    </row>
    <row r="33" spans="1:4">
      <c r="A33" s="33" t="s">
        <v>1</v>
      </c>
      <c r="B33" s="24">
        <f>NetElectricalCapacity/(NetStationElectricalEfficiency/100)*3600/C32/1000</f>
        <v>48.366294067067933</v>
      </c>
      <c r="D33" s="2" t="s">
        <v>116</v>
      </c>
    </row>
    <row r="34" spans="1:4">
      <c r="A34" s="134" t="s">
        <v>134</v>
      </c>
      <c r="B34" s="24">
        <f>FuelConsumptionRate*1000*C32/3600</f>
        <v>125000</v>
      </c>
    </row>
    <row r="35" spans="1:4">
      <c r="A35" s="134" t="s">
        <v>157</v>
      </c>
      <c r="B35" s="40">
        <f>GrossElectricalCapacity/FuelPower*100</f>
        <v>22.400000000000002</v>
      </c>
    </row>
    <row r="36" spans="1:4">
      <c r="A36" s="33" t="s">
        <v>137</v>
      </c>
      <c r="B36" s="24">
        <f>NetElectricalCapacity*AnnualHours</f>
        <v>186150000</v>
      </c>
    </row>
    <row r="37" spans="1:4">
      <c r="A37" s="33" t="s">
        <v>112</v>
      </c>
      <c r="B37" s="24">
        <f>FuelConsumptionRate*AnnualHours</f>
        <v>360135.42562338786</v>
      </c>
    </row>
    <row r="38" spans="1:4">
      <c r="A38" s="33" t="s">
        <v>135</v>
      </c>
      <c r="B38" s="24">
        <f>CapitalCost/NetElectricalCapacity</f>
        <v>2800</v>
      </c>
    </row>
    <row r="39" spans="1:4">
      <c r="A39" s="11" t="s">
        <v>113</v>
      </c>
      <c r="B39" s="13">
        <v>5</v>
      </c>
      <c r="D39" s="2" t="s">
        <v>114</v>
      </c>
    </row>
    <row r="40" spans="1:4">
      <c r="A40" s="33" t="s">
        <v>115</v>
      </c>
      <c r="B40" s="24">
        <f>AnnualFuelConsumption*FuelAshConcentration/100</f>
        <v>18006.771281169393</v>
      </c>
    </row>
    <row r="41" spans="1:4">
      <c r="B41" s="27"/>
    </row>
    <row r="42" spans="1:4">
      <c r="A42" s="135" t="s">
        <v>175</v>
      </c>
      <c r="B42" s="27"/>
    </row>
    <row r="43" spans="1:4">
      <c r="A43" s="33" t="s">
        <v>130</v>
      </c>
      <c r="B43" s="24">
        <f>FuelPower-GrossElectricalCapacity</f>
        <v>97000</v>
      </c>
      <c r="D43" s="2" t="s">
        <v>144</v>
      </c>
    </row>
    <row r="44" spans="1:4">
      <c r="A44" s="11" t="s">
        <v>161</v>
      </c>
      <c r="B44" s="13">
        <v>60</v>
      </c>
      <c r="D44" s="2" t="s">
        <v>143</v>
      </c>
    </row>
    <row r="45" spans="1:4">
      <c r="A45" s="33" t="s">
        <v>131</v>
      </c>
      <c r="B45" s="24">
        <f>TotalHeatProductionRate*AggregateFractionOfHeatRecovered/100</f>
        <v>58200</v>
      </c>
      <c r="D45" s="2" t="s">
        <v>145</v>
      </c>
    </row>
    <row r="46" spans="1:4">
      <c r="A46" s="33" t="s">
        <v>139</v>
      </c>
      <c r="B46" s="24">
        <f>RecoveredHeat*AnnualHours</f>
        <v>433357200</v>
      </c>
      <c r="D46" s="2" t="s">
        <v>146</v>
      </c>
    </row>
    <row r="47" spans="1:4">
      <c r="A47" s="11" t="s">
        <v>160</v>
      </c>
      <c r="B47" s="95">
        <v>1.0200000000000001E-2</v>
      </c>
      <c r="D47" s="2" t="s">
        <v>140</v>
      </c>
    </row>
    <row r="48" spans="1:4">
      <c r="A48" s="33" t="s">
        <v>138</v>
      </c>
      <c r="B48" s="24">
        <f>AnnualHeatSales*AggregateSalesPriceForHeat</f>
        <v>4420243.4400000004</v>
      </c>
    </row>
    <row r="49" spans="1:4">
      <c r="A49" s="33" t="s">
        <v>173</v>
      </c>
      <c r="B49" s="49">
        <f>TotalIncomeFromHeatSales/AnnualNetGeneration</f>
        <v>2.3745600000000002E-2</v>
      </c>
    </row>
    <row r="50" spans="1:4">
      <c r="A50" s="33" t="s">
        <v>158</v>
      </c>
      <c r="B50" s="40">
        <f>(GrossElectricalCapacity*AnnualHours+AnnualHeatSales)/(FuelPower*AnnualHours)*100</f>
        <v>68.959999999999994</v>
      </c>
    </row>
    <row r="51" spans="1:4">
      <c r="A51" s="33" t="s">
        <v>159</v>
      </c>
      <c r="B51" s="40">
        <f>(AnnualNetGeneration+AnnualHeatSales)/(FuelPower*AnnualHours)*100</f>
        <v>66.56</v>
      </c>
    </row>
    <row r="52" spans="1:4">
      <c r="B52" s="27"/>
    </row>
    <row r="53" spans="1:4" ht="24">
      <c r="A53" s="18" t="s">
        <v>171</v>
      </c>
      <c r="B53" s="10"/>
      <c r="C53" s="46" t="s">
        <v>169</v>
      </c>
    </row>
    <row r="54" spans="1:4">
      <c r="A54" s="11" t="s">
        <v>2</v>
      </c>
      <c r="B54" s="45">
        <v>22.05</v>
      </c>
      <c r="C54" s="37">
        <f>B37*B54/B36</f>
        <v>4.2659071367153925E-2</v>
      </c>
      <c r="D54" s="2" t="s">
        <v>93</v>
      </c>
    </row>
    <row r="55" spans="1:4">
      <c r="A55" s="11" t="s">
        <v>162</v>
      </c>
      <c r="B55" s="47">
        <v>2000000</v>
      </c>
      <c r="C55" s="37">
        <f>B55/B$36</f>
        <v>1.0744023636852002E-2</v>
      </c>
      <c r="D55" s="2" t="s">
        <v>176</v>
      </c>
    </row>
    <row r="56" spans="1:4">
      <c r="A56" s="11" t="s">
        <v>163</v>
      </c>
      <c r="B56" s="47">
        <v>1500000</v>
      </c>
      <c r="C56" s="37">
        <f t="shared" ref="C56:C61" si="0">B56/B$36</f>
        <v>8.0580177276390001E-3</v>
      </c>
      <c r="D56" s="2" t="s">
        <v>177</v>
      </c>
    </row>
    <row r="57" spans="1:4">
      <c r="A57" s="11" t="s">
        <v>164</v>
      </c>
      <c r="B57" s="47">
        <v>1400000</v>
      </c>
      <c r="C57" s="37">
        <f t="shared" si="0"/>
        <v>7.5208165457964007E-3</v>
      </c>
      <c r="D57" s="2" t="s">
        <v>178</v>
      </c>
    </row>
    <row r="58" spans="1:4">
      <c r="A58" s="11" t="s">
        <v>165</v>
      </c>
      <c r="B58" s="47">
        <v>200000</v>
      </c>
      <c r="C58" s="37">
        <f t="shared" si="0"/>
        <v>1.0744023636852001E-3</v>
      </c>
      <c r="D58" s="2" t="s">
        <v>182</v>
      </c>
    </row>
    <row r="59" spans="1:4">
      <c r="A59" s="11" t="s">
        <v>166</v>
      </c>
      <c r="B59" s="47">
        <v>100000</v>
      </c>
      <c r="C59" s="37">
        <f t="shared" si="0"/>
        <v>5.3720118184260007E-4</v>
      </c>
      <c r="D59" s="2" t="s">
        <v>179</v>
      </c>
    </row>
    <row r="60" spans="1:4">
      <c r="A60" s="11" t="s">
        <v>167</v>
      </c>
      <c r="B60" s="47">
        <v>200000</v>
      </c>
      <c r="C60" s="37">
        <f t="shared" si="0"/>
        <v>1.0744023636852001E-3</v>
      </c>
      <c r="D60" s="2" t="s">
        <v>180</v>
      </c>
    </row>
    <row r="61" spans="1:4">
      <c r="A61" s="11" t="s">
        <v>168</v>
      </c>
      <c r="B61" s="47">
        <v>400000</v>
      </c>
      <c r="C61" s="37">
        <f t="shared" si="0"/>
        <v>2.1488047273704003E-3</v>
      </c>
      <c r="D61" s="2" t="s">
        <v>183</v>
      </c>
    </row>
    <row r="62" spans="1:4">
      <c r="A62" s="33" t="s">
        <v>170</v>
      </c>
      <c r="B62" s="48">
        <f>SUM(B55:B61)</f>
        <v>5800000</v>
      </c>
      <c r="C62" s="37">
        <f>SUM(C55:C61)</f>
        <v>3.1157668546870802E-2</v>
      </c>
    </row>
    <row r="63" spans="1:4">
      <c r="A63" s="33" t="s">
        <v>187</v>
      </c>
      <c r="B63" s="24">
        <f>B54*B37+B62</f>
        <v>13740986.134995703</v>
      </c>
      <c r="C63" s="37">
        <f>C54+C62</f>
        <v>7.3816739914024723E-2</v>
      </c>
    </row>
    <row r="64" spans="1:4">
      <c r="B64" s="5"/>
    </row>
    <row r="65" spans="1:4">
      <c r="A65" s="18" t="s">
        <v>40</v>
      </c>
      <c r="B65" s="3"/>
    </row>
    <row r="66" spans="1:4">
      <c r="A66" s="11" t="s">
        <v>3</v>
      </c>
      <c r="B66" s="14">
        <v>34</v>
      </c>
      <c r="D66" s="2" t="s">
        <v>94</v>
      </c>
    </row>
    <row r="67" spans="1:4">
      <c r="A67" s="11" t="s">
        <v>4</v>
      </c>
      <c r="B67" s="14">
        <v>9.6</v>
      </c>
      <c r="D67" s="2" t="s">
        <v>95</v>
      </c>
    </row>
    <row r="68" spans="1:4">
      <c r="A68" s="11" t="s">
        <v>120</v>
      </c>
      <c r="B68" s="28">
        <v>8.9999999999999993E-3</v>
      </c>
      <c r="D68" s="2" t="s">
        <v>188</v>
      </c>
    </row>
    <row r="69" spans="1:4">
      <c r="A69" s="33" t="s">
        <v>5</v>
      </c>
      <c r="B69" s="35">
        <f>B67+B66*(1-B67/100)</f>
        <v>40.335999999999999</v>
      </c>
      <c r="D69" s="2" t="s">
        <v>96</v>
      </c>
    </row>
    <row r="70" spans="1:4">
      <c r="B70" s="7"/>
    </row>
    <row r="71" spans="1:4">
      <c r="A71" s="18" t="s">
        <v>49</v>
      </c>
      <c r="B71" s="3"/>
    </row>
    <row r="72" spans="1:4">
      <c r="A72" s="11" t="s">
        <v>142</v>
      </c>
      <c r="B72" s="15">
        <v>166</v>
      </c>
      <c r="D72" s="2" t="s">
        <v>191</v>
      </c>
    </row>
    <row r="73" spans="1:4">
      <c r="A73" s="11" t="s">
        <v>79</v>
      </c>
      <c r="B73" s="14">
        <v>5</v>
      </c>
      <c r="D73" s="2" t="s">
        <v>97</v>
      </c>
    </row>
    <row r="74" spans="1:4">
      <c r="A74" s="33" t="s">
        <v>17</v>
      </c>
      <c r="B74" s="24">
        <f>B72*B27</f>
        <v>4150000</v>
      </c>
    </row>
    <row r="75" spans="1:4">
      <c r="A75" s="33" t="s">
        <v>16</v>
      </c>
      <c r="B75" s="24">
        <f>B98*B73/100</f>
        <v>210636.7913755647</v>
      </c>
    </row>
    <row r="76" spans="1:4">
      <c r="B76" s="4"/>
    </row>
    <row r="77" spans="1:4">
      <c r="A77" s="18" t="s">
        <v>50</v>
      </c>
      <c r="B77" s="16"/>
    </row>
    <row r="78" spans="1:4">
      <c r="A78" s="11" t="s">
        <v>76</v>
      </c>
      <c r="B78" s="14">
        <v>2.1</v>
      </c>
      <c r="D78" s="2" t="s">
        <v>98</v>
      </c>
    </row>
    <row r="79" spans="1:4">
      <c r="A79" s="11" t="s">
        <v>77</v>
      </c>
      <c r="B79" s="14">
        <v>2.1</v>
      </c>
      <c r="D79" s="2" t="s">
        <v>99</v>
      </c>
    </row>
    <row r="80" spans="1:4">
      <c r="A80" s="11" t="s">
        <v>192</v>
      </c>
      <c r="B80" s="14">
        <v>2.1</v>
      </c>
      <c r="D80" s="2" t="s">
        <v>126</v>
      </c>
    </row>
    <row r="81" spans="1:4">
      <c r="A81" s="134" t="s">
        <v>193</v>
      </c>
      <c r="B81" s="14">
        <v>2.1</v>
      </c>
      <c r="D81" s="2" t="s">
        <v>141</v>
      </c>
    </row>
    <row r="82" spans="1:4">
      <c r="A82" s="11" t="s">
        <v>78</v>
      </c>
      <c r="B82" s="14">
        <v>2.1</v>
      </c>
      <c r="D82" s="2" t="s">
        <v>100</v>
      </c>
    </row>
    <row r="83" spans="1:4">
      <c r="B83" s="6"/>
    </row>
    <row r="84" spans="1:4">
      <c r="A84" s="18" t="s">
        <v>51</v>
      </c>
      <c r="B84" s="16"/>
    </row>
    <row r="85" spans="1:4">
      <c r="A85" s="11" t="s">
        <v>6</v>
      </c>
      <c r="B85" s="14">
        <v>75</v>
      </c>
      <c r="D85" s="2" t="s">
        <v>101</v>
      </c>
    </row>
    <row r="86" spans="1:4">
      <c r="A86" s="33" t="s">
        <v>7</v>
      </c>
      <c r="B86" s="36">
        <f>100-B85</f>
        <v>25</v>
      </c>
      <c r="D86" s="2" t="s">
        <v>102</v>
      </c>
    </row>
    <row r="87" spans="1:4">
      <c r="A87" s="11" t="s">
        <v>80</v>
      </c>
      <c r="B87" s="14">
        <v>5</v>
      </c>
      <c r="D87" s="2" t="s">
        <v>220</v>
      </c>
    </row>
    <row r="88" spans="1:4">
      <c r="A88" s="11" t="s">
        <v>121</v>
      </c>
      <c r="B88" s="23">
        <v>20</v>
      </c>
      <c r="D88" s="2" t="s">
        <v>153</v>
      </c>
    </row>
    <row r="89" spans="1:4">
      <c r="A89" s="11" t="s">
        <v>81</v>
      </c>
      <c r="B89" s="14">
        <v>15</v>
      </c>
      <c r="D89" s="2" t="s">
        <v>103</v>
      </c>
    </row>
    <row r="90" spans="1:4">
      <c r="A90" s="33" t="s">
        <v>82</v>
      </c>
      <c r="B90" s="36">
        <f>B85/100*B87+B86/100*B89</f>
        <v>7.5</v>
      </c>
      <c r="D90" s="2" t="s">
        <v>104</v>
      </c>
    </row>
    <row r="91" spans="1:4">
      <c r="A91" s="33" t="s">
        <v>8</v>
      </c>
      <c r="B91" s="24">
        <f>B23</f>
        <v>70000000</v>
      </c>
    </row>
    <row r="92" spans="1:4">
      <c r="A92" s="33" t="s">
        <v>9</v>
      </c>
      <c r="B92" s="24">
        <f>B91*B86/100</f>
        <v>17500000</v>
      </c>
    </row>
    <row r="93" spans="1:4">
      <c r="A93" s="33" t="s">
        <v>10</v>
      </c>
      <c r="B93" s="24">
        <f>B91*B85/100</f>
        <v>52500000</v>
      </c>
    </row>
    <row r="94" spans="1:4">
      <c r="A94" s="33" t="s">
        <v>11</v>
      </c>
      <c r="B94" s="37">
        <f>B89/100*(1+B89/100)^B88/((1+B89/100)^B88-1)</f>
        <v>0.1597614704057439</v>
      </c>
      <c r="D94" s="2" t="s">
        <v>105</v>
      </c>
    </row>
    <row r="95" spans="1:4">
      <c r="A95" s="33" t="s">
        <v>12</v>
      </c>
      <c r="B95" s="37">
        <f>B87/100*(1+B87/100)^B88/((1+B87/100)^B88-1)</f>
        <v>8.0242587190691314E-2</v>
      </c>
    </row>
    <row r="96" spans="1:4">
      <c r="A96" s="33" t="s">
        <v>13</v>
      </c>
      <c r="B96" s="24">
        <f>B94*B92</f>
        <v>2795825.7321005184</v>
      </c>
      <c r="D96" s="2" t="s">
        <v>106</v>
      </c>
    </row>
    <row r="97" spans="1:6">
      <c r="A97" s="33" t="s">
        <v>14</v>
      </c>
      <c r="B97" s="24">
        <f>B93*B95</f>
        <v>4212735.8275112938</v>
      </c>
      <c r="D97" s="2" t="s">
        <v>107</v>
      </c>
    </row>
    <row r="98" spans="1:6">
      <c r="A98" s="11" t="s">
        <v>15</v>
      </c>
      <c r="B98" s="13">
        <f>B97</f>
        <v>4212735.8275112938</v>
      </c>
      <c r="D98" s="2" t="s">
        <v>108</v>
      </c>
    </row>
    <row r="100" spans="1:6">
      <c r="A100" s="18" t="s">
        <v>52</v>
      </c>
      <c r="B100" s="3"/>
      <c r="D100" s="2" t="s">
        <v>109</v>
      </c>
    </row>
    <row r="101" spans="1:6" ht="24">
      <c r="A101" s="68"/>
      <c r="B101" s="69" t="s">
        <v>122</v>
      </c>
      <c r="D101" s="22" t="s">
        <v>154</v>
      </c>
      <c r="E101" s="22" t="s">
        <v>155</v>
      </c>
      <c r="F101" s="22" t="s">
        <v>156</v>
      </c>
    </row>
    <row r="102" spans="1:6">
      <c r="A102" s="11" t="s">
        <v>18</v>
      </c>
      <c r="B102" s="19">
        <f>F102</f>
        <v>0.05</v>
      </c>
      <c r="D102" s="42">
        <v>0.2</v>
      </c>
      <c r="E102" s="42">
        <v>0.1</v>
      </c>
      <c r="F102" s="42">
        <v>0.05</v>
      </c>
    </row>
    <row r="103" spans="1:6">
      <c r="A103" s="11" t="s">
        <v>19</v>
      </c>
      <c r="B103" s="19">
        <f t="shared" ref="B103:B121" si="1">F103</f>
        <v>0.05</v>
      </c>
      <c r="D103" s="42">
        <v>0.32</v>
      </c>
      <c r="E103" s="42">
        <v>0.18</v>
      </c>
      <c r="F103" s="42">
        <v>0.05</v>
      </c>
    </row>
    <row r="104" spans="1:6">
      <c r="A104" s="11" t="s">
        <v>20</v>
      </c>
      <c r="B104" s="19">
        <f t="shared" si="1"/>
        <v>0.05</v>
      </c>
      <c r="D104" s="42">
        <v>0.192</v>
      </c>
      <c r="E104" s="42">
        <v>0.14399999999999999</v>
      </c>
      <c r="F104" s="42">
        <v>0.05</v>
      </c>
    </row>
    <row r="105" spans="1:6">
      <c r="A105" s="11" t="s">
        <v>21</v>
      </c>
      <c r="B105" s="19">
        <f t="shared" si="1"/>
        <v>0.05</v>
      </c>
      <c r="D105" s="42">
        <v>0.1152</v>
      </c>
      <c r="E105" s="42">
        <v>0.1152</v>
      </c>
      <c r="F105" s="42">
        <v>0.05</v>
      </c>
    </row>
    <row r="106" spans="1:6">
      <c r="A106" s="11" t="s">
        <v>22</v>
      </c>
      <c r="B106" s="19">
        <f t="shared" si="1"/>
        <v>0.05</v>
      </c>
      <c r="D106" s="42">
        <v>0.1152</v>
      </c>
      <c r="E106" s="42">
        <v>9.2200000000000004E-2</v>
      </c>
      <c r="F106" s="42">
        <v>0.05</v>
      </c>
    </row>
    <row r="107" spans="1:6">
      <c r="A107" s="11" t="s">
        <v>23</v>
      </c>
      <c r="B107" s="19">
        <f t="shared" si="1"/>
        <v>0.05</v>
      </c>
      <c r="D107" s="42">
        <v>5.7599999999999998E-2</v>
      </c>
      <c r="E107" s="42">
        <v>7.3700000000000002E-2</v>
      </c>
      <c r="F107" s="42">
        <v>0.05</v>
      </c>
    </row>
    <row r="108" spans="1:6">
      <c r="A108" s="11" t="s">
        <v>53</v>
      </c>
      <c r="B108" s="19">
        <f t="shared" si="1"/>
        <v>0.05</v>
      </c>
      <c r="D108" s="42">
        <v>0</v>
      </c>
      <c r="E108" s="42">
        <v>6.5500000000000003E-2</v>
      </c>
      <c r="F108" s="42">
        <v>0.05</v>
      </c>
    </row>
    <row r="109" spans="1:6">
      <c r="A109" s="11" t="s">
        <v>54</v>
      </c>
      <c r="B109" s="19">
        <f t="shared" si="1"/>
        <v>0.05</v>
      </c>
      <c r="D109" s="42">
        <v>0</v>
      </c>
      <c r="E109" s="42">
        <v>6.5500000000000003E-2</v>
      </c>
      <c r="F109" s="42">
        <v>0.05</v>
      </c>
    </row>
    <row r="110" spans="1:6">
      <c r="A110" s="11" t="s">
        <v>55</v>
      </c>
      <c r="B110" s="19">
        <f t="shared" si="1"/>
        <v>0.05</v>
      </c>
      <c r="D110" s="42">
        <v>0</v>
      </c>
      <c r="E110" s="42">
        <v>6.5500000000000003E-2</v>
      </c>
      <c r="F110" s="42">
        <v>0.05</v>
      </c>
    </row>
    <row r="111" spans="1:6">
      <c r="A111" s="11" t="s">
        <v>56</v>
      </c>
      <c r="B111" s="19">
        <f t="shared" si="1"/>
        <v>0.05</v>
      </c>
      <c r="D111" s="42">
        <v>0</v>
      </c>
      <c r="E111" s="42">
        <v>6.5500000000000003E-2</v>
      </c>
      <c r="F111" s="42">
        <v>0.05</v>
      </c>
    </row>
    <row r="112" spans="1:6">
      <c r="A112" s="11" t="s">
        <v>57</v>
      </c>
      <c r="B112" s="19">
        <f t="shared" si="1"/>
        <v>0.05</v>
      </c>
      <c r="D112" s="42">
        <v>0</v>
      </c>
      <c r="E112" s="42">
        <v>3.2899999999999999E-2</v>
      </c>
      <c r="F112" s="42">
        <v>0.05</v>
      </c>
    </row>
    <row r="113" spans="1:8">
      <c r="A113" s="11" t="s">
        <v>58</v>
      </c>
      <c r="B113" s="19">
        <f t="shared" si="1"/>
        <v>0.05</v>
      </c>
      <c r="D113" s="42">
        <v>0</v>
      </c>
      <c r="E113" s="42">
        <v>0</v>
      </c>
      <c r="F113" s="42">
        <v>0.05</v>
      </c>
    </row>
    <row r="114" spans="1:8">
      <c r="A114" s="11" t="s">
        <v>59</v>
      </c>
      <c r="B114" s="19">
        <f t="shared" si="1"/>
        <v>0.05</v>
      </c>
      <c r="D114" s="42">
        <v>0</v>
      </c>
      <c r="E114" s="42">
        <v>0</v>
      </c>
      <c r="F114" s="42">
        <v>0.05</v>
      </c>
    </row>
    <row r="115" spans="1:8">
      <c r="A115" s="11" t="s">
        <v>60</v>
      </c>
      <c r="B115" s="19">
        <f t="shared" si="1"/>
        <v>0.05</v>
      </c>
      <c r="D115" s="42">
        <v>0</v>
      </c>
      <c r="E115" s="42">
        <v>0</v>
      </c>
      <c r="F115" s="42">
        <v>0.05</v>
      </c>
    </row>
    <row r="116" spans="1:8">
      <c r="A116" s="11" t="s">
        <v>61</v>
      </c>
      <c r="B116" s="19">
        <f t="shared" si="1"/>
        <v>0.05</v>
      </c>
      <c r="D116" s="42">
        <v>0</v>
      </c>
      <c r="E116" s="42">
        <v>0</v>
      </c>
      <c r="F116" s="42">
        <v>0.05</v>
      </c>
      <c r="G116" s="30"/>
      <c r="H116" s="30"/>
    </row>
    <row r="117" spans="1:8">
      <c r="A117" s="11" t="s">
        <v>62</v>
      </c>
      <c r="B117" s="19">
        <f t="shared" si="1"/>
        <v>0.05</v>
      </c>
      <c r="D117" s="42">
        <v>0</v>
      </c>
      <c r="E117" s="42">
        <v>0</v>
      </c>
      <c r="F117" s="42">
        <v>0.05</v>
      </c>
    </row>
    <row r="118" spans="1:8">
      <c r="A118" s="11" t="s">
        <v>63</v>
      </c>
      <c r="B118" s="19">
        <f t="shared" si="1"/>
        <v>0.05</v>
      </c>
      <c r="D118" s="42">
        <v>0</v>
      </c>
      <c r="E118" s="42">
        <v>0</v>
      </c>
      <c r="F118" s="42">
        <v>0.05</v>
      </c>
    </row>
    <row r="119" spans="1:8">
      <c r="A119" s="11" t="s">
        <v>64</v>
      </c>
      <c r="B119" s="19">
        <f t="shared" si="1"/>
        <v>0.05</v>
      </c>
      <c r="D119" s="42">
        <v>0</v>
      </c>
      <c r="E119" s="42">
        <v>0</v>
      </c>
      <c r="F119" s="42">
        <v>0.05</v>
      </c>
    </row>
    <row r="120" spans="1:8">
      <c r="A120" s="11" t="s">
        <v>65</v>
      </c>
      <c r="B120" s="19">
        <f t="shared" si="1"/>
        <v>0.05</v>
      </c>
      <c r="D120" s="42">
        <v>0</v>
      </c>
      <c r="E120" s="42">
        <v>0</v>
      </c>
      <c r="F120" s="42">
        <v>0.05</v>
      </c>
    </row>
    <row r="121" spans="1:8">
      <c r="A121" s="11" t="s">
        <v>66</v>
      </c>
      <c r="B121" s="19">
        <f t="shared" si="1"/>
        <v>0.05</v>
      </c>
      <c r="D121" s="42">
        <v>0</v>
      </c>
      <c r="E121" s="42">
        <v>0</v>
      </c>
      <c r="F121" s="42">
        <v>0.05</v>
      </c>
    </row>
    <row r="122" spans="1:8">
      <c r="A122" s="33" t="s">
        <v>24</v>
      </c>
      <c r="B122" s="38">
        <f>SUM(B102:B121)</f>
        <v>1.0000000000000002</v>
      </c>
      <c r="D122" s="37">
        <f>SUM(D102:D121)</f>
        <v>0.99999999999999989</v>
      </c>
      <c r="E122" s="37">
        <f>SUM(E102:E121)</f>
        <v>1</v>
      </c>
      <c r="F122" s="37">
        <f>SUM(F102:F121)</f>
        <v>1.0000000000000002</v>
      </c>
    </row>
    <row r="123" spans="1:8">
      <c r="B123" s="9"/>
    </row>
    <row r="124" spans="1:8" ht="24">
      <c r="A124" s="98" t="s">
        <v>123</v>
      </c>
      <c r="B124" s="99" t="s">
        <v>196</v>
      </c>
      <c r="D124" s="2" t="s">
        <v>181</v>
      </c>
    </row>
    <row r="125" spans="1:8">
      <c r="A125" s="11" t="s">
        <v>18</v>
      </c>
      <c r="B125" s="23">
        <v>1</v>
      </c>
    </row>
    <row r="126" spans="1:8">
      <c r="A126" s="11" t="s">
        <v>19</v>
      </c>
      <c r="B126" s="23">
        <v>1</v>
      </c>
    </row>
    <row r="127" spans="1:8">
      <c r="A127" s="11" t="s">
        <v>20</v>
      </c>
      <c r="B127" s="23">
        <v>1</v>
      </c>
    </row>
    <row r="128" spans="1:8">
      <c r="A128" s="11" t="s">
        <v>21</v>
      </c>
      <c r="B128" s="23">
        <v>1</v>
      </c>
    </row>
    <row r="129" spans="1:2">
      <c r="A129" s="11" t="s">
        <v>22</v>
      </c>
      <c r="B129" s="23">
        <v>1</v>
      </c>
    </row>
    <row r="130" spans="1:2">
      <c r="A130" s="11" t="s">
        <v>23</v>
      </c>
      <c r="B130" s="23">
        <v>0</v>
      </c>
    </row>
    <row r="131" spans="1:2">
      <c r="A131" s="11" t="s">
        <v>53</v>
      </c>
      <c r="B131" s="29">
        <v>0</v>
      </c>
    </row>
    <row r="132" spans="1:2">
      <c r="A132" s="11" t="s">
        <v>54</v>
      </c>
      <c r="B132" s="23">
        <v>0</v>
      </c>
    </row>
    <row r="133" spans="1:2">
      <c r="A133" s="11" t="s">
        <v>55</v>
      </c>
      <c r="B133" s="23">
        <v>0</v>
      </c>
    </row>
    <row r="134" spans="1:2">
      <c r="A134" s="11" t="s">
        <v>56</v>
      </c>
      <c r="B134" s="23">
        <v>0</v>
      </c>
    </row>
    <row r="135" spans="1:2">
      <c r="A135" s="11" t="s">
        <v>57</v>
      </c>
      <c r="B135" s="23">
        <v>0</v>
      </c>
    </row>
    <row r="136" spans="1:2">
      <c r="A136" s="11" t="s">
        <v>58</v>
      </c>
      <c r="B136" s="23">
        <v>0</v>
      </c>
    </row>
    <row r="137" spans="1:2">
      <c r="A137" s="11" t="s">
        <v>59</v>
      </c>
      <c r="B137" s="23">
        <v>0</v>
      </c>
    </row>
    <row r="138" spans="1:2">
      <c r="A138" s="11" t="s">
        <v>60</v>
      </c>
      <c r="B138" s="23">
        <v>0</v>
      </c>
    </row>
    <row r="139" spans="1:2">
      <c r="A139" s="11" t="s">
        <v>61</v>
      </c>
      <c r="B139" s="23">
        <v>0</v>
      </c>
    </row>
    <row r="140" spans="1:2">
      <c r="A140" s="11" t="s">
        <v>62</v>
      </c>
      <c r="B140" s="23">
        <v>0</v>
      </c>
    </row>
    <row r="141" spans="1:2">
      <c r="A141" s="11" t="s">
        <v>63</v>
      </c>
      <c r="B141" s="23">
        <v>0</v>
      </c>
    </row>
    <row r="142" spans="1:2">
      <c r="A142" s="11" t="s">
        <v>64</v>
      </c>
      <c r="B142" s="23">
        <v>0</v>
      </c>
    </row>
    <row r="143" spans="1:2">
      <c r="A143" s="11" t="s">
        <v>65</v>
      </c>
      <c r="B143" s="23">
        <v>0</v>
      </c>
    </row>
    <row r="144" spans="1:2">
      <c r="A144" s="11" t="s">
        <v>66</v>
      </c>
      <c r="B144" s="23">
        <v>0</v>
      </c>
    </row>
    <row r="145" spans="1:34">
      <c r="B145" s="9"/>
    </row>
    <row r="146" spans="1:34">
      <c r="A146" s="18" t="s">
        <v>67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34">
      <c r="A147" s="57" t="s">
        <v>26</v>
      </c>
      <c r="B147" s="57">
        <v>1</v>
      </c>
      <c r="C147" s="57">
        <f t="shared" ref="C147:K147" si="2">B147+1</f>
        <v>2</v>
      </c>
      <c r="D147" s="57">
        <f t="shared" si="2"/>
        <v>3</v>
      </c>
      <c r="E147" s="57">
        <f t="shared" si="2"/>
        <v>4</v>
      </c>
      <c r="F147" s="57">
        <f>E147+1</f>
        <v>5</v>
      </c>
      <c r="G147" s="57">
        <f>F147+1</f>
        <v>6</v>
      </c>
      <c r="H147" s="57">
        <f>G147+1</f>
        <v>7</v>
      </c>
      <c r="I147" s="57">
        <f>H147+1</f>
        <v>8</v>
      </c>
      <c r="J147" s="57">
        <f t="shared" si="2"/>
        <v>9</v>
      </c>
      <c r="K147" s="57">
        <f t="shared" si="2"/>
        <v>10</v>
      </c>
      <c r="L147" s="57">
        <f>K147+1</f>
        <v>11</v>
      </c>
      <c r="M147" s="57">
        <f t="shared" ref="M147:U147" si="3">L147+1</f>
        <v>12</v>
      </c>
      <c r="N147" s="57">
        <f t="shared" si="3"/>
        <v>13</v>
      </c>
      <c r="O147" s="57">
        <f t="shared" si="3"/>
        <v>14</v>
      </c>
      <c r="P147" s="57">
        <f t="shared" si="3"/>
        <v>15</v>
      </c>
      <c r="Q147" s="57">
        <f t="shared" si="3"/>
        <v>16</v>
      </c>
      <c r="R147" s="57">
        <f t="shared" si="3"/>
        <v>17</v>
      </c>
      <c r="S147" s="57">
        <f t="shared" si="3"/>
        <v>18</v>
      </c>
      <c r="T147" s="57">
        <f t="shared" si="3"/>
        <v>19</v>
      </c>
      <c r="U147" s="57">
        <f t="shared" si="3"/>
        <v>20</v>
      </c>
      <c r="V147" s="63" t="s">
        <v>24</v>
      </c>
    </row>
    <row r="148" spans="1:34">
      <c r="A148" s="50" t="s">
        <v>27</v>
      </c>
      <c r="B148" s="58">
        <f t="shared" ref="B148:K148" si="4">$B$96</f>
        <v>2795825.7321005184</v>
      </c>
      <c r="C148" s="58">
        <f t="shared" si="4"/>
        <v>2795825.7321005184</v>
      </c>
      <c r="D148" s="58">
        <f t="shared" si="4"/>
        <v>2795825.7321005184</v>
      </c>
      <c r="E148" s="58">
        <f t="shared" si="4"/>
        <v>2795825.7321005184</v>
      </c>
      <c r="F148" s="58">
        <f t="shared" si="4"/>
        <v>2795825.7321005184</v>
      </c>
      <c r="G148" s="58">
        <f t="shared" si="4"/>
        <v>2795825.7321005184</v>
      </c>
      <c r="H148" s="58">
        <f t="shared" si="4"/>
        <v>2795825.7321005184</v>
      </c>
      <c r="I148" s="58">
        <f t="shared" si="4"/>
        <v>2795825.7321005184</v>
      </c>
      <c r="J148" s="58">
        <f t="shared" si="4"/>
        <v>2795825.7321005184</v>
      </c>
      <c r="K148" s="58">
        <f t="shared" si="4"/>
        <v>2795825.7321005184</v>
      </c>
      <c r="L148" s="58">
        <f t="shared" ref="L148:U148" si="5">$B$96</f>
        <v>2795825.7321005184</v>
      </c>
      <c r="M148" s="58">
        <f t="shared" si="5"/>
        <v>2795825.7321005184</v>
      </c>
      <c r="N148" s="58">
        <f t="shared" si="5"/>
        <v>2795825.7321005184</v>
      </c>
      <c r="O148" s="58">
        <f t="shared" si="5"/>
        <v>2795825.7321005184</v>
      </c>
      <c r="P148" s="58">
        <f t="shared" si="5"/>
        <v>2795825.7321005184</v>
      </c>
      <c r="Q148" s="58">
        <f t="shared" si="5"/>
        <v>2795825.7321005184</v>
      </c>
      <c r="R148" s="58">
        <f t="shared" si="5"/>
        <v>2795825.7321005184</v>
      </c>
      <c r="S148" s="58">
        <f t="shared" si="5"/>
        <v>2795825.7321005184</v>
      </c>
      <c r="T148" s="58">
        <f t="shared" si="5"/>
        <v>2795825.7321005184</v>
      </c>
      <c r="U148" s="59">
        <f t="shared" si="5"/>
        <v>2795825.7321005184</v>
      </c>
      <c r="V148" s="64">
        <f>SUM(B148:U148)</f>
        <v>55916514.642010346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>
      <c r="A149" s="51" t="s">
        <v>28</v>
      </c>
      <c r="B149" s="44">
        <f>B89/100*B92</f>
        <v>2625000</v>
      </c>
      <c r="C149" s="44">
        <f t="shared" ref="C149:K149" si="6">$B$89/100*B151</f>
        <v>2599376.1401849226</v>
      </c>
      <c r="D149" s="44">
        <f t="shared" si="6"/>
        <v>2569908.7013975829</v>
      </c>
      <c r="E149" s="44">
        <f t="shared" si="6"/>
        <v>2536021.1467921422</v>
      </c>
      <c r="F149" s="44">
        <f>$B$89/100*E151</f>
        <v>2497050.4589958857</v>
      </c>
      <c r="G149" s="44">
        <f>$B$89/100*F151</f>
        <v>2452234.1680301912</v>
      </c>
      <c r="H149" s="44">
        <f>$B$89/100*G151</f>
        <v>2400695.433419642</v>
      </c>
      <c r="I149" s="44">
        <f>$B$89/100*H151</f>
        <v>2341425.8886175104</v>
      </c>
      <c r="J149" s="44">
        <f t="shared" si="6"/>
        <v>2273265.9120950592</v>
      </c>
      <c r="K149" s="44">
        <f t="shared" si="6"/>
        <v>2194881.9390942403</v>
      </c>
      <c r="L149" s="44">
        <f>$B$89/100*K151</f>
        <v>2104740.3701432985</v>
      </c>
      <c r="M149" s="44">
        <f t="shared" ref="M149:U149" si="7">$B$89/100*L151</f>
        <v>2001077.5658497156</v>
      </c>
      <c r="N149" s="44">
        <f t="shared" si="7"/>
        <v>1881865.3409120953</v>
      </c>
      <c r="O149" s="44">
        <f t="shared" si="7"/>
        <v>1744771.2822338317</v>
      </c>
      <c r="P149" s="44">
        <f t="shared" si="7"/>
        <v>1587113.1147538286</v>
      </c>
      <c r="Q149" s="44">
        <f t="shared" si="7"/>
        <v>1405806.2221518254</v>
      </c>
      <c r="R149" s="44">
        <f t="shared" si="7"/>
        <v>1197303.2956595214</v>
      </c>
      <c r="S149" s="44">
        <f t="shared" si="7"/>
        <v>957524.93019337184</v>
      </c>
      <c r="T149" s="44">
        <f t="shared" si="7"/>
        <v>681779.80990729993</v>
      </c>
      <c r="U149" s="60">
        <f t="shared" si="7"/>
        <v>364672.92157831712</v>
      </c>
      <c r="V149" s="65">
        <f t="shared" ref="V149:V166" si="8">SUM(B149:U149)</f>
        <v>38416514.642010279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>
      <c r="A150" s="51" t="s">
        <v>29</v>
      </c>
      <c r="B150" s="44">
        <f t="shared" ref="B150:K150" si="9">B148-B149</f>
        <v>170825.73210051842</v>
      </c>
      <c r="C150" s="44">
        <f t="shared" si="9"/>
        <v>196449.59191559581</v>
      </c>
      <c r="D150" s="44">
        <f t="shared" si="9"/>
        <v>225917.03070293553</v>
      </c>
      <c r="E150" s="44">
        <f t="shared" si="9"/>
        <v>259804.58530837623</v>
      </c>
      <c r="F150" s="44">
        <f>F148-F149</f>
        <v>298775.27310463274</v>
      </c>
      <c r="G150" s="44">
        <f>G148-G149</f>
        <v>343591.56407032721</v>
      </c>
      <c r="H150" s="44">
        <f>H148-H149</f>
        <v>395130.29868087638</v>
      </c>
      <c r="I150" s="44">
        <f t="shared" si="9"/>
        <v>454399.84348300798</v>
      </c>
      <c r="J150" s="44">
        <f t="shared" si="9"/>
        <v>522559.82000545925</v>
      </c>
      <c r="K150" s="44">
        <f t="shared" si="9"/>
        <v>600943.79300627811</v>
      </c>
      <c r="L150" s="44">
        <f t="shared" ref="L150:U150" si="10">L148-L149</f>
        <v>691085.36195721989</v>
      </c>
      <c r="M150" s="44">
        <f t="shared" si="10"/>
        <v>794748.16625080281</v>
      </c>
      <c r="N150" s="44">
        <f t="shared" si="10"/>
        <v>913960.39118842315</v>
      </c>
      <c r="O150" s="44">
        <f t="shared" si="10"/>
        <v>1051054.4498666867</v>
      </c>
      <c r="P150" s="44">
        <f t="shared" si="10"/>
        <v>1208712.6173466898</v>
      </c>
      <c r="Q150" s="44">
        <f t="shared" si="10"/>
        <v>1390019.509948693</v>
      </c>
      <c r="R150" s="44">
        <f t="shared" si="10"/>
        <v>1598522.4364409971</v>
      </c>
      <c r="S150" s="44">
        <f t="shared" si="10"/>
        <v>1838300.8019071466</v>
      </c>
      <c r="T150" s="44">
        <f t="shared" si="10"/>
        <v>2114045.9221932185</v>
      </c>
      <c r="U150" s="60">
        <f t="shared" si="10"/>
        <v>2431152.8105222015</v>
      </c>
      <c r="V150" s="65">
        <f t="shared" si="8"/>
        <v>17500000.000000086</v>
      </c>
      <c r="W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>
      <c r="A151" s="51" t="s">
        <v>30</v>
      </c>
      <c r="B151" s="44">
        <f>B92-B150</f>
        <v>17329174.267899483</v>
      </c>
      <c r="C151" s="44">
        <f t="shared" ref="C151:K151" si="11">B151-C150</f>
        <v>17132724.675983887</v>
      </c>
      <c r="D151" s="44">
        <f t="shared" si="11"/>
        <v>16906807.64528095</v>
      </c>
      <c r="E151" s="44">
        <f t="shared" si="11"/>
        <v>16647003.059972573</v>
      </c>
      <c r="F151" s="44">
        <f>E151-F150</f>
        <v>16348227.786867941</v>
      </c>
      <c r="G151" s="44">
        <f>F151-G150</f>
        <v>16004636.222797614</v>
      </c>
      <c r="H151" s="44">
        <f>G151-H150</f>
        <v>15609505.924116738</v>
      </c>
      <c r="I151" s="44">
        <f>H151-I150</f>
        <v>15155106.08063373</v>
      </c>
      <c r="J151" s="44">
        <f t="shared" si="11"/>
        <v>14632546.26062827</v>
      </c>
      <c r="K151" s="44">
        <f t="shared" si="11"/>
        <v>14031602.467621991</v>
      </c>
      <c r="L151" s="44">
        <f>K151-L150</f>
        <v>13340517.105664771</v>
      </c>
      <c r="M151" s="44">
        <f t="shared" ref="M151:U151" si="12">L151-M150</f>
        <v>12545768.939413968</v>
      </c>
      <c r="N151" s="44">
        <f t="shared" si="12"/>
        <v>11631808.548225544</v>
      </c>
      <c r="O151" s="44">
        <f t="shared" si="12"/>
        <v>10580754.098358858</v>
      </c>
      <c r="P151" s="44">
        <f t="shared" si="12"/>
        <v>9372041.4810121693</v>
      </c>
      <c r="Q151" s="44">
        <f t="shared" si="12"/>
        <v>7982021.9710634761</v>
      </c>
      <c r="R151" s="44">
        <f t="shared" si="12"/>
        <v>6383499.5346224792</v>
      </c>
      <c r="S151" s="44">
        <f t="shared" si="12"/>
        <v>4545198.7327153329</v>
      </c>
      <c r="T151" s="44">
        <f t="shared" si="12"/>
        <v>2431152.8105221144</v>
      </c>
      <c r="U151" s="60">
        <f t="shared" si="12"/>
        <v>-8.7078660726547241E-8</v>
      </c>
      <c r="V151" s="66" t="s">
        <v>184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>
      <c r="A152" s="51" t="s">
        <v>31</v>
      </c>
      <c r="B152" s="44">
        <f t="shared" ref="B152:K152" si="13">$B$97</f>
        <v>4212735.8275112938</v>
      </c>
      <c r="C152" s="44">
        <f t="shared" si="13"/>
        <v>4212735.8275112938</v>
      </c>
      <c r="D152" s="44">
        <f t="shared" si="13"/>
        <v>4212735.8275112938</v>
      </c>
      <c r="E152" s="44">
        <f t="shared" si="13"/>
        <v>4212735.8275112938</v>
      </c>
      <c r="F152" s="44">
        <f t="shared" si="13"/>
        <v>4212735.8275112938</v>
      </c>
      <c r="G152" s="44">
        <f t="shared" si="13"/>
        <v>4212735.8275112938</v>
      </c>
      <c r="H152" s="44">
        <f t="shared" si="13"/>
        <v>4212735.8275112938</v>
      </c>
      <c r="I152" s="44">
        <f t="shared" si="13"/>
        <v>4212735.8275112938</v>
      </c>
      <c r="J152" s="44">
        <f t="shared" si="13"/>
        <v>4212735.8275112938</v>
      </c>
      <c r="K152" s="44">
        <f t="shared" si="13"/>
        <v>4212735.8275112938</v>
      </c>
      <c r="L152" s="44">
        <f t="shared" ref="L152:U152" si="14">$B$97</f>
        <v>4212735.8275112938</v>
      </c>
      <c r="M152" s="44">
        <f t="shared" si="14"/>
        <v>4212735.8275112938</v>
      </c>
      <c r="N152" s="44">
        <f t="shared" si="14"/>
        <v>4212735.8275112938</v>
      </c>
      <c r="O152" s="44">
        <f t="shared" si="14"/>
        <v>4212735.8275112938</v>
      </c>
      <c r="P152" s="44">
        <f t="shared" si="14"/>
        <v>4212735.8275112938</v>
      </c>
      <c r="Q152" s="44">
        <f t="shared" si="14"/>
        <v>4212735.8275112938</v>
      </c>
      <c r="R152" s="44">
        <f t="shared" si="14"/>
        <v>4212735.8275112938</v>
      </c>
      <c r="S152" s="44">
        <f t="shared" si="14"/>
        <v>4212735.8275112938</v>
      </c>
      <c r="T152" s="44">
        <f t="shared" si="14"/>
        <v>4212735.8275112938</v>
      </c>
      <c r="U152" s="60">
        <f t="shared" si="14"/>
        <v>4212735.8275112938</v>
      </c>
      <c r="V152" s="65">
        <f t="shared" si="8"/>
        <v>84254716.550225899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>
      <c r="A153" s="51" t="s">
        <v>32</v>
      </c>
      <c r="B153" s="44">
        <f>B87/100*B93</f>
        <v>2625000</v>
      </c>
      <c r="C153" s="44">
        <f t="shared" ref="C153:K153" si="15">$B$87/100*B155</f>
        <v>2545613.2086244356</v>
      </c>
      <c r="D153" s="44">
        <f t="shared" si="15"/>
        <v>2462257.0776800923</v>
      </c>
      <c r="E153" s="44">
        <f t="shared" si="15"/>
        <v>2374733.1401885324</v>
      </c>
      <c r="F153" s="44">
        <f>$B$87/100*E155</f>
        <v>2282833.0058223945</v>
      </c>
      <c r="G153" s="44">
        <f>$B$87/100*F155</f>
        <v>2186337.8647379498</v>
      </c>
      <c r="H153" s="44">
        <f>$B$87/100*G155</f>
        <v>2085017.9665992823</v>
      </c>
      <c r="I153" s="44">
        <f>$B$87/100*H155</f>
        <v>1978632.0735536818</v>
      </c>
      <c r="J153" s="44">
        <f t="shared" si="15"/>
        <v>1866926.8858558012</v>
      </c>
      <c r="K153" s="44">
        <f t="shared" si="15"/>
        <v>1749636.4387730265</v>
      </c>
      <c r="L153" s="44">
        <f>$B$87/100*K155</f>
        <v>1626481.469336113</v>
      </c>
      <c r="M153" s="44">
        <f t="shared" ref="M153:U153" si="16">$B$87/100*L155</f>
        <v>1497168.7514273541</v>
      </c>
      <c r="N153" s="44">
        <f t="shared" si="16"/>
        <v>1361390.3976231571</v>
      </c>
      <c r="O153" s="44">
        <f t="shared" si="16"/>
        <v>1218823.1261287502</v>
      </c>
      <c r="P153" s="44">
        <f t="shared" si="16"/>
        <v>1069127.491059623</v>
      </c>
      <c r="Q153" s="44">
        <f t="shared" si="16"/>
        <v>911947.07423703931</v>
      </c>
      <c r="R153" s="44">
        <f t="shared" si="16"/>
        <v>746907.63657332666</v>
      </c>
      <c r="S153" s="44">
        <f t="shared" si="16"/>
        <v>573616.22702642833</v>
      </c>
      <c r="T153" s="44">
        <f t="shared" si="16"/>
        <v>391660.24700218503</v>
      </c>
      <c r="U153" s="60">
        <f t="shared" si="16"/>
        <v>200606.46797672956</v>
      </c>
      <c r="V153" s="65">
        <f t="shared" si="8"/>
        <v>31754716.550225902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>
      <c r="A154" s="51" t="s">
        <v>33</v>
      </c>
      <c r="B154" s="44">
        <f t="shared" ref="B154:K154" si="17">B152-B153</f>
        <v>1587735.8275112938</v>
      </c>
      <c r="C154" s="44">
        <f t="shared" si="17"/>
        <v>1667122.6188868582</v>
      </c>
      <c r="D154" s="44">
        <f t="shared" si="17"/>
        <v>1750478.7498312015</v>
      </c>
      <c r="E154" s="44">
        <f t="shared" si="17"/>
        <v>1838002.6873227614</v>
      </c>
      <c r="F154" s="44">
        <f>F152-F153</f>
        <v>1929902.8216888993</v>
      </c>
      <c r="G154" s="44">
        <f>G152-G153</f>
        <v>2026397.962773344</v>
      </c>
      <c r="H154" s="44">
        <f>H152-H153</f>
        <v>2127717.8609120115</v>
      </c>
      <c r="I154" s="44">
        <f t="shared" si="17"/>
        <v>2234103.753957612</v>
      </c>
      <c r="J154" s="44">
        <f t="shared" si="17"/>
        <v>2345808.9416554924</v>
      </c>
      <c r="K154" s="44">
        <f t="shared" si="17"/>
        <v>2463099.3887382671</v>
      </c>
      <c r="L154" s="44">
        <f t="shared" ref="L154:U154" si="18">L152-L153</f>
        <v>2586254.3581751809</v>
      </c>
      <c r="M154" s="44">
        <f t="shared" si="18"/>
        <v>2715567.0760839395</v>
      </c>
      <c r="N154" s="44">
        <f t="shared" si="18"/>
        <v>2851345.4298881367</v>
      </c>
      <c r="O154" s="44">
        <f t="shared" si="18"/>
        <v>2993912.7013825439</v>
      </c>
      <c r="P154" s="44">
        <f t="shared" si="18"/>
        <v>3143608.3364516711</v>
      </c>
      <c r="Q154" s="44">
        <f t="shared" si="18"/>
        <v>3300788.7532742545</v>
      </c>
      <c r="R154" s="44">
        <f t="shared" si="18"/>
        <v>3465828.190937967</v>
      </c>
      <c r="S154" s="44">
        <f t="shared" si="18"/>
        <v>3639119.6004848657</v>
      </c>
      <c r="T154" s="44">
        <f t="shared" si="18"/>
        <v>3821075.580509109</v>
      </c>
      <c r="U154" s="60">
        <f t="shared" si="18"/>
        <v>4012129.3595345644</v>
      </c>
      <c r="V154" s="65">
        <f t="shared" si="8"/>
        <v>52499999.99999997</v>
      </c>
      <c r="W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>
      <c r="A155" s="51" t="s">
        <v>34</v>
      </c>
      <c r="B155" s="44">
        <f>$B$93-B154</f>
        <v>50912264.172488704</v>
      </c>
      <c r="C155" s="44">
        <f t="shared" ref="C155:K155" si="19">B155-C154</f>
        <v>49245141.553601846</v>
      </c>
      <c r="D155" s="44">
        <f t="shared" si="19"/>
        <v>47494662.803770646</v>
      </c>
      <c r="E155" s="44">
        <f t="shared" si="19"/>
        <v>45656660.116447888</v>
      </c>
      <c r="F155" s="44">
        <f>E155-F154</f>
        <v>43726757.29475899</v>
      </c>
      <c r="G155" s="44">
        <f>F155-G154</f>
        <v>41700359.331985645</v>
      </c>
      <c r="H155" s="44">
        <f>G155-H154</f>
        <v>39572641.471073635</v>
      </c>
      <c r="I155" s="44">
        <f>H155-I154</f>
        <v>37338537.717116021</v>
      </c>
      <c r="J155" s="44">
        <f t="shared" si="19"/>
        <v>34992728.775460526</v>
      </c>
      <c r="K155" s="44">
        <f t="shared" si="19"/>
        <v>32529629.386722259</v>
      </c>
      <c r="L155" s="44">
        <f>K155-L154</f>
        <v>29943375.028547078</v>
      </c>
      <c r="M155" s="44">
        <f t="shared" ref="M155:U155" si="20">L155-M154</f>
        <v>27227807.952463139</v>
      </c>
      <c r="N155" s="44">
        <f t="shared" si="20"/>
        <v>24376462.522575002</v>
      </c>
      <c r="O155" s="44">
        <f t="shared" si="20"/>
        <v>21382549.821192458</v>
      </c>
      <c r="P155" s="44">
        <f t="shared" si="20"/>
        <v>18238941.484740786</v>
      </c>
      <c r="Q155" s="44">
        <f t="shared" si="20"/>
        <v>14938152.731466532</v>
      </c>
      <c r="R155" s="44">
        <f t="shared" si="20"/>
        <v>11472324.540528566</v>
      </c>
      <c r="S155" s="44">
        <f t="shared" si="20"/>
        <v>7833204.9400436999</v>
      </c>
      <c r="T155" s="44">
        <f t="shared" si="20"/>
        <v>4012129.359534591</v>
      </c>
      <c r="U155" s="60">
        <f t="shared" si="20"/>
        <v>2.6542693376541138E-8</v>
      </c>
      <c r="V155" s="66" t="s">
        <v>184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>
      <c r="A156" s="51" t="s">
        <v>35</v>
      </c>
      <c r="B156" s="44">
        <f>B37*B54</f>
        <v>7940986.1349957027</v>
      </c>
      <c r="C156" s="44">
        <f t="shared" ref="C156:U156" si="21">$B$156*(1+$B$79/100)^(C147-1)</f>
        <v>8107746.8438306116</v>
      </c>
      <c r="D156" s="44">
        <f t="shared" si="21"/>
        <v>8278009.5275510531</v>
      </c>
      <c r="E156" s="44">
        <f t="shared" si="21"/>
        <v>8451847.7276296243</v>
      </c>
      <c r="F156" s="44">
        <f t="shared" si="21"/>
        <v>8629336.5299098454</v>
      </c>
      <c r="G156" s="44">
        <f t="shared" si="21"/>
        <v>8810552.5970379505</v>
      </c>
      <c r="H156" s="44">
        <f t="shared" si="21"/>
        <v>8995574.2015757468</v>
      </c>
      <c r="I156" s="44">
        <f t="shared" si="21"/>
        <v>9184481.2598088365</v>
      </c>
      <c r="J156" s="44">
        <f t="shared" si="21"/>
        <v>9377355.3662648201</v>
      </c>
      <c r="K156" s="44">
        <f t="shared" si="21"/>
        <v>9574279.8289563805</v>
      </c>
      <c r="L156" s="44">
        <f t="shared" si="21"/>
        <v>9775339.7053644639</v>
      </c>
      <c r="M156" s="44">
        <f t="shared" si="21"/>
        <v>9980621.8391771168</v>
      </c>
      <c r="N156" s="44">
        <f t="shared" si="21"/>
        <v>10190214.897799833</v>
      </c>
      <c r="O156" s="44">
        <f t="shared" si="21"/>
        <v>10404209.410653628</v>
      </c>
      <c r="P156" s="44">
        <f t="shared" si="21"/>
        <v>10622697.808277356</v>
      </c>
      <c r="Q156" s="44">
        <f t="shared" si="21"/>
        <v>10845774.462251177</v>
      </c>
      <c r="R156" s="44">
        <f t="shared" si="21"/>
        <v>11073535.725958452</v>
      </c>
      <c r="S156" s="44">
        <f t="shared" si="21"/>
        <v>11306079.976203579</v>
      </c>
      <c r="T156" s="44">
        <f t="shared" si="21"/>
        <v>11543507.65570385</v>
      </c>
      <c r="U156" s="60">
        <f t="shared" si="21"/>
        <v>11785921.316473631</v>
      </c>
      <c r="V156" s="65">
        <f t="shared" si="8"/>
        <v>194878072.81542367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>
      <c r="A157" s="51" t="s">
        <v>36</v>
      </c>
      <c r="B157" s="44">
        <f>B62</f>
        <v>5800000</v>
      </c>
      <c r="C157" s="44">
        <f t="shared" ref="C157:U157" si="22">$B$157*(1+$B$82/100)^(C147-1)</f>
        <v>5921799.9999999991</v>
      </c>
      <c r="D157" s="44">
        <f t="shared" si="22"/>
        <v>6046157.7999999989</v>
      </c>
      <c r="E157" s="44">
        <f t="shared" si="22"/>
        <v>6173127.1137999985</v>
      </c>
      <c r="F157" s="44">
        <f t="shared" si="22"/>
        <v>6302762.7831897968</v>
      </c>
      <c r="G157" s="44">
        <f t="shared" si="22"/>
        <v>6435120.8016367815</v>
      </c>
      <c r="H157" s="44">
        <f t="shared" si="22"/>
        <v>6570258.3384711538</v>
      </c>
      <c r="I157" s="44">
        <f t="shared" si="22"/>
        <v>6708233.7635790473</v>
      </c>
      <c r="J157" s="44">
        <f t="shared" si="22"/>
        <v>6849106.6726142056</v>
      </c>
      <c r="K157" s="44">
        <f t="shared" si="22"/>
        <v>6992937.9127391027</v>
      </c>
      <c r="L157" s="44">
        <f t="shared" si="22"/>
        <v>7139789.608906623</v>
      </c>
      <c r="M157" s="44">
        <f t="shared" si="22"/>
        <v>7289725.1906936625</v>
      </c>
      <c r="N157" s="44">
        <f t="shared" si="22"/>
        <v>7442809.4196982272</v>
      </c>
      <c r="O157" s="44">
        <f t="shared" si="22"/>
        <v>7599108.4175118888</v>
      </c>
      <c r="P157" s="44">
        <f t="shared" si="22"/>
        <v>7758689.6942796391</v>
      </c>
      <c r="Q157" s="44">
        <f t="shared" si="22"/>
        <v>7921622.1778595094</v>
      </c>
      <c r="R157" s="44">
        <f t="shared" si="22"/>
        <v>8087976.2435945589</v>
      </c>
      <c r="S157" s="44">
        <f t="shared" si="22"/>
        <v>8257823.7447100449</v>
      </c>
      <c r="T157" s="44">
        <f t="shared" si="22"/>
        <v>8431238.0433489531</v>
      </c>
      <c r="U157" s="60">
        <f t="shared" si="22"/>
        <v>8608294.0422592815</v>
      </c>
      <c r="V157" s="65">
        <f t="shared" si="8"/>
        <v>142336581.76889247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>
      <c r="A158" s="51" t="s">
        <v>37</v>
      </c>
      <c r="B158" s="44">
        <f>$B$98</f>
        <v>4212735.8275112938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60">
        <f>-B158</f>
        <v>-4212735.8275112938</v>
      </c>
      <c r="V158" s="65">
        <f t="shared" si="8"/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>
      <c r="A159" s="51" t="s">
        <v>38</v>
      </c>
      <c r="B159" s="44">
        <f>$B$91*$B102</f>
        <v>3500000</v>
      </c>
      <c r="C159" s="44">
        <f>$B$91*$B103</f>
        <v>3500000</v>
      </c>
      <c r="D159" s="44">
        <f>$B$91*$B104</f>
        <v>3500000</v>
      </c>
      <c r="E159" s="44">
        <f>$B$91*$B105</f>
        <v>3500000</v>
      </c>
      <c r="F159" s="44">
        <f>$B$91*$B106</f>
        <v>3500000</v>
      </c>
      <c r="G159" s="44">
        <f>$B$91*$B107</f>
        <v>3500000</v>
      </c>
      <c r="H159" s="44">
        <f>$B$91*$B108</f>
        <v>3500000</v>
      </c>
      <c r="I159" s="44">
        <f>$B$91*$B109</f>
        <v>3500000</v>
      </c>
      <c r="J159" s="44">
        <f>$B$91*$B110</f>
        <v>3500000</v>
      </c>
      <c r="K159" s="44">
        <f>$B$91*$B111</f>
        <v>3500000</v>
      </c>
      <c r="L159" s="44">
        <f>$B$91*$B112</f>
        <v>3500000</v>
      </c>
      <c r="M159" s="44">
        <f>$B$91*$B113</f>
        <v>3500000</v>
      </c>
      <c r="N159" s="44">
        <f>$B$91*$B114</f>
        <v>3500000</v>
      </c>
      <c r="O159" s="44">
        <f>$B$91*$B115</f>
        <v>3500000</v>
      </c>
      <c r="P159" s="44">
        <f>$B$91*$B116</f>
        <v>3500000</v>
      </c>
      <c r="Q159" s="44">
        <f>$B$91*$B117</f>
        <v>3500000</v>
      </c>
      <c r="R159" s="44">
        <f>$B$91*$B118</f>
        <v>3500000</v>
      </c>
      <c r="S159" s="44">
        <f>$B$91*$B119</f>
        <v>3500000</v>
      </c>
      <c r="T159" s="44">
        <f>$B$91*$B120</f>
        <v>3500000</v>
      </c>
      <c r="U159" s="60">
        <f>$B$91*$B121</f>
        <v>3500000</v>
      </c>
      <c r="V159" s="65">
        <f t="shared" si="8"/>
        <v>70000000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>
      <c r="A160" s="51" t="s">
        <v>189</v>
      </c>
      <c r="B160" s="44">
        <f t="shared" ref="B160:U160" si="23">$B$74</f>
        <v>4150000</v>
      </c>
      <c r="C160" s="44">
        <f t="shared" si="23"/>
        <v>4150000</v>
      </c>
      <c r="D160" s="44">
        <f t="shared" si="23"/>
        <v>4150000</v>
      </c>
      <c r="E160" s="44">
        <f t="shared" si="23"/>
        <v>4150000</v>
      </c>
      <c r="F160" s="44">
        <f t="shared" si="23"/>
        <v>4150000</v>
      </c>
      <c r="G160" s="44">
        <f t="shared" si="23"/>
        <v>4150000</v>
      </c>
      <c r="H160" s="44">
        <f t="shared" si="23"/>
        <v>4150000</v>
      </c>
      <c r="I160" s="44">
        <f t="shared" si="23"/>
        <v>4150000</v>
      </c>
      <c r="J160" s="44">
        <f t="shared" si="23"/>
        <v>4150000</v>
      </c>
      <c r="K160" s="44">
        <f t="shared" si="23"/>
        <v>4150000</v>
      </c>
      <c r="L160" s="44">
        <f t="shared" si="23"/>
        <v>4150000</v>
      </c>
      <c r="M160" s="44">
        <f t="shared" si="23"/>
        <v>4150000</v>
      </c>
      <c r="N160" s="44">
        <f t="shared" si="23"/>
        <v>4150000</v>
      </c>
      <c r="O160" s="44">
        <f t="shared" si="23"/>
        <v>4150000</v>
      </c>
      <c r="P160" s="44">
        <f t="shared" si="23"/>
        <v>4150000</v>
      </c>
      <c r="Q160" s="44">
        <f t="shared" si="23"/>
        <v>4150000</v>
      </c>
      <c r="R160" s="44">
        <f t="shared" si="23"/>
        <v>4150000</v>
      </c>
      <c r="S160" s="44">
        <f t="shared" si="23"/>
        <v>4150000</v>
      </c>
      <c r="T160" s="44">
        <f t="shared" si="23"/>
        <v>4150000</v>
      </c>
      <c r="U160" s="60">
        <f t="shared" si="23"/>
        <v>4150000</v>
      </c>
      <c r="V160" s="65">
        <f t="shared" si="8"/>
        <v>83000000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5">
      <c r="A161" s="132" t="s">
        <v>223</v>
      </c>
      <c r="B161" s="44">
        <f>TotalIncomeFromHeatSales</f>
        <v>4420243.4400000004</v>
      </c>
      <c r="C161" s="44">
        <f>$B161*(1+$B$81/100)^(C147-1)</f>
        <v>4513068.5522400001</v>
      </c>
      <c r="D161" s="44">
        <f t="shared" ref="D161:U161" si="24">$B161*(1+$B$81/100)^(D147-1)</f>
        <v>4607842.9918370396</v>
      </c>
      <c r="E161" s="44">
        <f t="shared" si="24"/>
        <v>4704607.6946656164</v>
      </c>
      <c r="F161" s="44">
        <f t="shared" si="24"/>
        <v>4803404.4562535938</v>
      </c>
      <c r="G161" s="44">
        <f t="shared" si="24"/>
        <v>4904275.9498349186</v>
      </c>
      <c r="H161" s="44">
        <f t="shared" si="24"/>
        <v>5007265.7447814513</v>
      </c>
      <c r="I161" s="44">
        <f t="shared" si="24"/>
        <v>5112418.3254218614</v>
      </c>
      <c r="J161" s="44">
        <f t="shared" si="24"/>
        <v>5219779.1102557201</v>
      </c>
      <c r="K161" s="44">
        <f t="shared" si="24"/>
        <v>5329394.4715710888</v>
      </c>
      <c r="L161" s="44">
        <f t="shared" si="24"/>
        <v>5441311.7554740813</v>
      </c>
      <c r="M161" s="44">
        <f t="shared" si="24"/>
        <v>5555579.3023390369</v>
      </c>
      <c r="N161" s="44">
        <f t="shared" si="24"/>
        <v>5672246.4676881554</v>
      </c>
      <c r="O161" s="44">
        <f t="shared" si="24"/>
        <v>5791363.6435096059</v>
      </c>
      <c r="P161" s="44">
        <f t="shared" si="24"/>
        <v>5912982.2800233075</v>
      </c>
      <c r="Q161" s="44">
        <f t="shared" si="24"/>
        <v>6037154.9079037951</v>
      </c>
      <c r="R161" s="44">
        <f t="shared" si="24"/>
        <v>6163935.1609697752</v>
      </c>
      <c r="S161" s="44">
        <f t="shared" si="24"/>
        <v>6293377.7993501406</v>
      </c>
      <c r="T161" s="44">
        <f t="shared" si="24"/>
        <v>6425538.7331364909</v>
      </c>
      <c r="U161" s="60">
        <f t="shared" si="24"/>
        <v>6560475.046532358</v>
      </c>
      <c r="V161" s="65">
        <f t="shared" si="8"/>
        <v>108476265.83378805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5">
      <c r="A162" s="51" t="s">
        <v>39</v>
      </c>
      <c r="B162" s="44">
        <f t="shared" ref="B162:U162" si="25">$B$75</f>
        <v>210636.7913755647</v>
      </c>
      <c r="C162" s="44">
        <f t="shared" si="25"/>
        <v>210636.7913755647</v>
      </c>
      <c r="D162" s="44">
        <f t="shared" si="25"/>
        <v>210636.7913755647</v>
      </c>
      <c r="E162" s="44">
        <f t="shared" si="25"/>
        <v>210636.7913755647</v>
      </c>
      <c r="F162" s="44">
        <f t="shared" si="25"/>
        <v>210636.7913755647</v>
      </c>
      <c r="G162" s="44">
        <f t="shared" si="25"/>
        <v>210636.7913755647</v>
      </c>
      <c r="H162" s="44">
        <f t="shared" si="25"/>
        <v>210636.7913755647</v>
      </c>
      <c r="I162" s="44">
        <f t="shared" si="25"/>
        <v>210636.7913755647</v>
      </c>
      <c r="J162" s="44">
        <f t="shared" si="25"/>
        <v>210636.7913755647</v>
      </c>
      <c r="K162" s="44">
        <f t="shared" si="25"/>
        <v>210636.7913755647</v>
      </c>
      <c r="L162" s="44">
        <f t="shared" si="25"/>
        <v>210636.7913755647</v>
      </c>
      <c r="M162" s="44">
        <f t="shared" si="25"/>
        <v>210636.7913755647</v>
      </c>
      <c r="N162" s="44">
        <f t="shared" si="25"/>
        <v>210636.7913755647</v>
      </c>
      <c r="O162" s="44">
        <f t="shared" si="25"/>
        <v>210636.7913755647</v>
      </c>
      <c r="P162" s="44">
        <f t="shared" si="25"/>
        <v>210636.7913755647</v>
      </c>
      <c r="Q162" s="44">
        <f t="shared" si="25"/>
        <v>210636.7913755647</v>
      </c>
      <c r="R162" s="44">
        <f t="shared" si="25"/>
        <v>210636.7913755647</v>
      </c>
      <c r="S162" s="44">
        <f t="shared" si="25"/>
        <v>210636.7913755647</v>
      </c>
      <c r="T162" s="44">
        <f t="shared" si="25"/>
        <v>210636.7913755647</v>
      </c>
      <c r="U162" s="60">
        <f t="shared" si="25"/>
        <v>210636.7913755647</v>
      </c>
      <c r="V162" s="65">
        <f t="shared" si="8"/>
        <v>4212735.8275112957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5">
      <c r="A163" s="51" t="s">
        <v>125</v>
      </c>
      <c r="B163" s="44">
        <f>(($B$69/100)/(1-$B$69/100))*(B$150+B$154+B$149-B$159+B$158)</f>
        <v>3445364.9002245506</v>
      </c>
      <c r="C163" s="44">
        <f t="shared" ref="C163:U163" si="26">(($B$69/100)/(1-$B$69/100))*(C$150+C$154+C$149-C$159+C$158)</f>
        <v>651003.698803748</v>
      </c>
      <c r="D163" s="44">
        <f t="shared" si="26"/>
        <v>707356.82460441557</v>
      </c>
      <c r="E163" s="44">
        <f t="shared" si="26"/>
        <v>766527.60669511638</v>
      </c>
      <c r="F163" s="44">
        <f t="shared" si="26"/>
        <v>828656.92789035209</v>
      </c>
      <c r="G163" s="44">
        <f t="shared" si="26"/>
        <v>893892.7151453488</v>
      </c>
      <c r="H163" s="44">
        <f t="shared" si="26"/>
        <v>962390.29176309693</v>
      </c>
      <c r="I163" s="44">
        <f t="shared" si="26"/>
        <v>1034312.7472117316</v>
      </c>
      <c r="J163" s="44">
        <f t="shared" si="26"/>
        <v>1109831.3254327977</v>
      </c>
      <c r="K163" s="44">
        <f t="shared" si="26"/>
        <v>1189125.8325649176</v>
      </c>
      <c r="L163" s="44">
        <f t="shared" si="26"/>
        <v>1272385.0650536437</v>
      </c>
      <c r="M163" s="44">
        <f t="shared" si="26"/>
        <v>1359807.2591668055</v>
      </c>
      <c r="N163" s="44">
        <f t="shared" si="26"/>
        <v>1451600.5629856258</v>
      </c>
      <c r="O163" s="44">
        <f t="shared" si="26"/>
        <v>1547983.5319953873</v>
      </c>
      <c r="P163" s="44">
        <f t="shared" si="26"/>
        <v>1649185.6494556365</v>
      </c>
      <c r="Q163" s="44">
        <f t="shared" si="26"/>
        <v>1755447.8727888982</v>
      </c>
      <c r="R163" s="44">
        <f t="shared" si="26"/>
        <v>1867023.2072888229</v>
      </c>
      <c r="S163" s="44">
        <f t="shared" si="26"/>
        <v>1984177.3085137443</v>
      </c>
      <c r="T163" s="44">
        <f t="shared" si="26"/>
        <v>2107189.1147999116</v>
      </c>
      <c r="U163" s="44">
        <f t="shared" si="26"/>
        <v>-611679.33364009857</v>
      </c>
      <c r="V163" s="65">
        <f t="shared" si="8"/>
        <v>25971583.108744457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5">
      <c r="A164" s="51" t="s">
        <v>124</v>
      </c>
      <c r="B164" s="44">
        <f>$B$36*$B$68*$B125</f>
        <v>1675349.9999999998</v>
      </c>
      <c r="C164" s="44">
        <f>$B$36*$B$68*((1+$B$80/100)^(C147-1))*$B126</f>
        <v>1710532.3499999996</v>
      </c>
      <c r="D164" s="44">
        <f>$B$36*$B$68*((1+$B$80/100)^(D147-1))*$B127</f>
        <v>1746453.5293499993</v>
      </c>
      <c r="E164" s="44">
        <f>$B$36*$B$68*((1+$B$80/100)^(E147-1))*$B128</f>
        <v>1783129.0534663491</v>
      </c>
      <c r="F164" s="44">
        <f>$B$36*$B$68*((1+$B$80/100)^(F147-1))*$B129</f>
        <v>1820574.7635891421</v>
      </c>
      <c r="G164" s="44">
        <f>$B$36*$B$68*((1+$B$80/100)^(G147-1))*$B130</f>
        <v>0</v>
      </c>
      <c r="H164" s="44">
        <f>$B$36*$B$68*((1+$B$80/100)^(H147-1))*$B131</f>
        <v>0</v>
      </c>
      <c r="I164" s="44">
        <f>$B$36*$B$68*((1+$B$80/100)^(I147-1))*$B132</f>
        <v>0</v>
      </c>
      <c r="J164" s="44">
        <f>$B$36*$B$68*((1+$B$80/100)^(J147-1))*$B133</f>
        <v>0</v>
      </c>
      <c r="K164" s="44">
        <f>$B$36*$B$68*((1+$B$80/100)^(K147-1))*$B134</f>
        <v>0</v>
      </c>
      <c r="L164" s="44">
        <f>$B$36*$B$68*((1+$B$80/100)^(L147-1))*$B135</f>
        <v>0</v>
      </c>
      <c r="M164" s="44">
        <f>$B$36*$B$68*((1+$B$80/100)^(M147-1))*$B136</f>
        <v>0</v>
      </c>
      <c r="N164" s="44">
        <f>$B$36*$B$68*((1+$B$80/100)^(N147-1))*$B137</f>
        <v>0</v>
      </c>
      <c r="O164" s="44">
        <f>$B$36*$B$68*((1+$B$80/100)^(O147-1))*$B138</f>
        <v>0</v>
      </c>
      <c r="P164" s="44">
        <f>$B$36*$B$68*((1+$B$80/100)^(P147-1))*$B139</f>
        <v>0</v>
      </c>
      <c r="Q164" s="44">
        <f>$B$36*$B$68*((1+$B$80/100)^(Q147-1))*$B140</f>
        <v>0</v>
      </c>
      <c r="R164" s="44">
        <f>$B$36*$B$68*((1+$B$80/100)^(R147-1))*$B141</f>
        <v>0</v>
      </c>
      <c r="S164" s="44">
        <f>$B$36*$B$68*((1+$B$80/100)^(S147-1))*$B142</f>
        <v>0</v>
      </c>
      <c r="T164" s="44">
        <f>$B$36*$B$68*((1+$B$80/100)^(T147-1))*$B143</f>
        <v>0</v>
      </c>
      <c r="U164" s="60">
        <f>$B$36*$B$68*((1+$B$80/100)^(U147-1))*$B144</f>
        <v>0</v>
      </c>
      <c r="V164" s="65">
        <f t="shared" si="8"/>
        <v>8736039.6964054909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5">
      <c r="A165" s="51" t="s">
        <v>40</v>
      </c>
      <c r="B165" s="44">
        <f>(($B$69/100)/(1-$B$69/100))*(B$150+B$154+B$149-B$159+B$158-B$164)</f>
        <v>2312740.2421392729</v>
      </c>
      <c r="C165" s="44">
        <f t="shared" ref="C165:U165" si="27">(($B$69/100)/(1-$B$69/100))*(C$150+C$154+C$149-C$159+C$158-C$164)</f>
        <v>-505406.07710131997</v>
      </c>
      <c r="D165" s="44">
        <f t="shared" si="27"/>
        <v>-473337.55659465858</v>
      </c>
      <c r="E165" s="44">
        <f t="shared" si="27"/>
        <v>-438961.35650913819</v>
      </c>
      <c r="F165" s="44">
        <f t="shared" si="27"/>
        <v>-402147.30354119168</v>
      </c>
      <c r="G165" s="44">
        <f t="shared" si="27"/>
        <v>893892.7151453488</v>
      </c>
      <c r="H165" s="44">
        <f t="shared" si="27"/>
        <v>962390.29176309693</v>
      </c>
      <c r="I165" s="44">
        <f t="shared" si="27"/>
        <v>1034312.7472117316</v>
      </c>
      <c r="J165" s="44">
        <f t="shared" si="27"/>
        <v>1109831.3254327977</v>
      </c>
      <c r="K165" s="44">
        <f t="shared" si="27"/>
        <v>1189125.8325649176</v>
      </c>
      <c r="L165" s="44">
        <f t="shared" si="27"/>
        <v>1272385.0650536437</v>
      </c>
      <c r="M165" s="44">
        <f t="shared" si="27"/>
        <v>1359807.2591668055</v>
      </c>
      <c r="N165" s="44">
        <f t="shared" si="27"/>
        <v>1451600.5629856258</v>
      </c>
      <c r="O165" s="44">
        <f t="shared" si="27"/>
        <v>1547983.5319953873</v>
      </c>
      <c r="P165" s="44">
        <f t="shared" si="27"/>
        <v>1649185.6494556365</v>
      </c>
      <c r="Q165" s="44">
        <f t="shared" si="27"/>
        <v>1755447.8727888982</v>
      </c>
      <c r="R165" s="44">
        <f t="shared" si="27"/>
        <v>1867023.2072888229</v>
      </c>
      <c r="S165" s="44">
        <f t="shared" si="27"/>
        <v>1984177.3085137443</v>
      </c>
      <c r="T165" s="44">
        <f t="shared" si="27"/>
        <v>2107189.1147999116</v>
      </c>
      <c r="U165" s="44">
        <f t="shared" si="27"/>
        <v>-611679.33364009857</v>
      </c>
      <c r="V165" s="65">
        <f t="shared" si="8"/>
        <v>20065561.098919235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5">
      <c r="A166" s="136" t="s">
        <v>41</v>
      </c>
      <c r="B166" s="61">
        <f>B148+B152+B156+B157+B165+B158-B160-B162-B161</f>
        <v>18494143.532882512</v>
      </c>
      <c r="C166" s="61">
        <f t="shared" ref="C166:U166" si="28">C148+C152+C156+C157+C165+C158-C160-C162-C161</f>
        <v>11658996.982725538</v>
      </c>
      <c r="D166" s="61">
        <f t="shared" si="28"/>
        <v>11890911.547355602</v>
      </c>
      <c r="E166" s="61">
        <f t="shared" si="28"/>
        <v>12129330.558491113</v>
      </c>
      <c r="F166" s="61">
        <f t="shared" si="28"/>
        <v>12374472.321541103</v>
      </c>
      <c r="G166" s="61">
        <f t="shared" si="28"/>
        <v>13883214.932221411</v>
      </c>
      <c r="H166" s="61">
        <f t="shared" si="28"/>
        <v>14168881.855264792</v>
      </c>
      <c r="I166" s="61">
        <f t="shared" si="28"/>
        <v>14462534.213413998</v>
      </c>
      <c r="J166" s="61">
        <f t="shared" si="28"/>
        <v>14764439.022292348</v>
      </c>
      <c r="K166" s="61">
        <f t="shared" si="28"/>
        <v>15074873.870925557</v>
      </c>
      <c r="L166" s="61">
        <f t="shared" si="28"/>
        <v>15394127.392086899</v>
      </c>
      <c r="M166" s="61">
        <f t="shared" si="28"/>
        <v>15722499.754934795</v>
      </c>
      <c r="N166" s="61">
        <f t="shared" si="28"/>
        <v>16060303.181031778</v>
      </c>
      <c r="O166" s="61">
        <f t="shared" si="28"/>
        <v>16407862.484887542</v>
      </c>
      <c r="P166" s="61">
        <f t="shared" si="28"/>
        <v>16765515.640225571</v>
      </c>
      <c r="Q166" s="61">
        <f t="shared" si="28"/>
        <v>17133614.373232037</v>
      </c>
      <c r="R166" s="61">
        <f t="shared" si="28"/>
        <v>17512524.784108303</v>
      </c>
      <c r="S166" s="61">
        <f t="shared" si="28"/>
        <v>17902627.998313479</v>
      </c>
      <c r="T166" s="61">
        <f t="shared" si="28"/>
        <v>18304320.848952472</v>
      </c>
      <c r="U166" s="52">
        <f t="shared" si="28"/>
        <v>11657249.919285409</v>
      </c>
      <c r="V166" s="56">
        <f t="shared" si="8"/>
        <v>301762445.21417224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5">
      <c r="A168" s="18" t="s">
        <v>68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5">
      <c r="A169" s="53" t="s">
        <v>42</v>
      </c>
      <c r="B169" s="54">
        <f>B89/100</f>
        <v>0.15</v>
      </c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3"/>
      <c r="Y169" s="8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5">
      <c r="A170" s="33" t="s">
        <v>43</v>
      </c>
      <c r="B170" s="24">
        <f t="shared" ref="B170:U170" si="29">B166*(1+$B$169)^-B147</f>
        <v>16081863.941636968</v>
      </c>
      <c r="C170" s="24">
        <f t="shared" si="29"/>
        <v>8815876.7355202567</v>
      </c>
      <c r="D170" s="24">
        <f t="shared" si="29"/>
        <v>7818467.3607992791</v>
      </c>
      <c r="E170" s="24">
        <f t="shared" si="29"/>
        <v>6934984.1136880545</v>
      </c>
      <c r="F170" s="24">
        <f t="shared" si="29"/>
        <v>6152299.7498628553</v>
      </c>
      <c r="G170" s="24">
        <f t="shared" si="29"/>
        <v>6002096.9351707045</v>
      </c>
      <c r="H170" s="24">
        <f t="shared" si="29"/>
        <v>5326607.5036882637</v>
      </c>
      <c r="I170" s="24">
        <f t="shared" si="29"/>
        <v>4727828.0886759236</v>
      </c>
      <c r="J170" s="24">
        <f t="shared" si="29"/>
        <v>4196975.0488964738</v>
      </c>
      <c r="K170" s="24">
        <f t="shared" si="29"/>
        <v>3726278.267608928</v>
      </c>
      <c r="L170" s="24">
        <f t="shared" si="29"/>
        <v>3308863.3525352743</v>
      </c>
      <c r="M170" s="24">
        <f t="shared" si="29"/>
        <v>2938647.6230054186</v>
      </c>
      <c r="N170" s="24">
        <f t="shared" si="29"/>
        <v>2610248.2597395633</v>
      </c>
      <c r="O170" s="24">
        <f t="shared" si="29"/>
        <v>2318901.1854102383</v>
      </c>
      <c r="P170" s="24">
        <f t="shared" si="29"/>
        <v>2060389.413807539</v>
      </c>
      <c r="Q170" s="24">
        <f t="shared" si="29"/>
        <v>1830979.754874005</v>
      </c>
      <c r="R170" s="24">
        <f t="shared" si="29"/>
        <v>1627366.8945094044</v>
      </c>
      <c r="S170" s="24">
        <f t="shared" si="29"/>
        <v>1446623.9840061674</v>
      </c>
      <c r="T170" s="24">
        <f t="shared" si="29"/>
        <v>1286158.9761416365</v>
      </c>
      <c r="U170" s="48">
        <f t="shared" si="29"/>
        <v>712261.22174807976</v>
      </c>
      <c r="V170" s="67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5">
      <c r="A171" s="55" t="s">
        <v>44</v>
      </c>
      <c r="B171" s="56">
        <f>SUM(B170:U170)</f>
        <v>89923718.411325037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67"/>
    </row>
    <row r="172" spans="1:35">
      <c r="A172" s="33" t="s">
        <v>45</v>
      </c>
      <c r="B172" s="37">
        <f>B169*(1+B169)^B88/((1+B169)^B88-1)</f>
        <v>0.1597614704057439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67"/>
    </row>
    <row r="173" spans="1:35" ht="12.75" thickBot="1">
      <c r="A173" s="53" t="s">
        <v>71</v>
      </c>
      <c r="B173" s="64">
        <f>B171*B172</f>
        <v>14366345.477745352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65">
        <f>B173*B88</f>
        <v>287326909.55490702</v>
      </c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2.75" thickBot="1">
      <c r="A174" s="91" t="s">
        <v>185</v>
      </c>
      <c r="B174" s="92">
        <f>B173/B36</f>
        <v>7.7176177694038964E-2</v>
      </c>
      <c r="C174" s="62"/>
      <c r="D174" s="62"/>
      <c r="E174" s="62"/>
      <c r="F174" s="61"/>
      <c r="G174" s="61"/>
      <c r="H174" s="61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56">
        <f>B174*B88*B36</f>
        <v>287326909.55490702</v>
      </c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s="25" customFormat="1">
      <c r="B175" s="26"/>
      <c r="F175" s="27"/>
      <c r="G175" s="27"/>
      <c r="H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</row>
    <row r="176" spans="1:35">
      <c r="A176" s="18" t="s">
        <v>69</v>
      </c>
      <c r="B176" s="20"/>
      <c r="F176" s="4"/>
      <c r="G176" s="4"/>
      <c r="H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56">
      <c r="A177" s="33" t="s">
        <v>83</v>
      </c>
      <c r="B177" s="37">
        <f>(1+B169)/(1+B78/100)-1</f>
        <v>0.12634671890303628</v>
      </c>
      <c r="F177" s="4"/>
      <c r="G177" s="4"/>
      <c r="H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56">
      <c r="A178" s="33" t="s">
        <v>46</v>
      </c>
      <c r="B178" s="37">
        <f>B177*(1+B177)^B88/((1+B177)^B88-1)</f>
        <v>0.13923864551402346</v>
      </c>
      <c r="F178" s="4"/>
      <c r="G178" s="4"/>
      <c r="H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56" ht="12.75" thickBot="1">
      <c r="A179" s="53" t="s">
        <v>70</v>
      </c>
      <c r="B179" s="64">
        <f>B171*B178</f>
        <v>12520856.751177352</v>
      </c>
      <c r="F179" s="4"/>
      <c r="G179" s="4"/>
      <c r="H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56" ht="12.75" thickBot="1">
      <c r="A180" s="91" t="s">
        <v>186</v>
      </c>
      <c r="B180" s="92">
        <f>B179/B36</f>
        <v>6.7262190444143707E-2</v>
      </c>
      <c r="F180" s="4"/>
      <c r="G180" s="4"/>
      <c r="H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56">
      <c r="F181" s="4"/>
      <c r="G181" s="4"/>
      <c r="H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56">
      <c r="F182" s="4"/>
      <c r="G182" s="4"/>
      <c r="H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56">
      <c r="F183" s="4"/>
      <c r="G183" s="4"/>
      <c r="H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56">
      <c r="F184" s="4"/>
      <c r="G184" s="4"/>
      <c r="H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56">
      <c r="F185" s="4"/>
      <c r="G185" s="4"/>
      <c r="H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56" s="3" customFormat="1" ht="15">
      <c r="A186" s="100" t="s">
        <v>205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56">
      <c r="A187" s="11" t="s">
        <v>219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56" ht="12.75" thickBot="1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Z188" s="4"/>
      <c r="AA188" s="4"/>
      <c r="AB188" s="4"/>
      <c r="AC188" s="4"/>
      <c r="AD188" s="4"/>
      <c r="AE188" s="4"/>
    </row>
    <row r="189" spans="1:56">
      <c r="B189" s="138" t="s">
        <v>129</v>
      </c>
      <c r="C189" s="139"/>
      <c r="D189" s="139"/>
      <c r="E189" s="139"/>
      <c r="F189" s="139"/>
      <c r="G189" s="140"/>
      <c r="I189" s="138" t="s">
        <v>207</v>
      </c>
      <c r="J189" s="139"/>
      <c r="K189" s="139"/>
      <c r="L189" s="139"/>
      <c r="M189" s="139"/>
      <c r="N189" s="140"/>
      <c r="P189" s="138" t="s">
        <v>209</v>
      </c>
      <c r="Q189" s="139"/>
      <c r="R189" s="139"/>
      <c r="S189" s="139"/>
      <c r="T189" s="139"/>
      <c r="U189" s="140"/>
      <c r="W189" s="138" t="s">
        <v>210</v>
      </c>
      <c r="X189" s="139"/>
      <c r="Y189" s="139"/>
      <c r="Z189" s="139"/>
      <c r="AA189" s="139"/>
      <c r="AB189" s="140"/>
      <c r="AD189" s="138" t="s">
        <v>213</v>
      </c>
      <c r="AE189" s="139"/>
      <c r="AF189" s="139"/>
      <c r="AG189" s="139"/>
      <c r="AH189" s="139"/>
      <c r="AI189" s="140"/>
      <c r="AK189" s="138" t="s">
        <v>214</v>
      </c>
      <c r="AL189" s="139"/>
      <c r="AM189" s="139"/>
      <c r="AN189" s="139"/>
      <c r="AO189" s="139"/>
      <c r="AP189" s="140"/>
      <c r="AR189" s="102" t="s">
        <v>212</v>
      </c>
      <c r="AS189" s="101"/>
      <c r="AT189" s="101"/>
      <c r="AU189" s="101"/>
      <c r="AV189" s="86"/>
      <c r="AW189" s="107">
        <f>B47</f>
        <v>1.0200000000000001E-2</v>
      </c>
      <c r="AY189" s="138" t="s">
        <v>215</v>
      </c>
      <c r="AZ189" s="139"/>
      <c r="BA189" s="139"/>
      <c r="BB189" s="139"/>
      <c r="BC189" s="139"/>
      <c r="BD189" s="140"/>
    </row>
    <row r="190" spans="1:56" ht="36">
      <c r="A190" s="108"/>
      <c r="B190" s="109" t="s">
        <v>197</v>
      </c>
      <c r="C190" s="110" t="s">
        <v>200</v>
      </c>
      <c r="D190" s="110" t="s">
        <v>129</v>
      </c>
      <c r="E190" s="110" t="s">
        <v>204</v>
      </c>
      <c r="F190" s="110" t="s">
        <v>202</v>
      </c>
      <c r="G190" s="103" t="s">
        <v>218</v>
      </c>
      <c r="I190" s="109" t="s">
        <v>197</v>
      </c>
      <c r="J190" s="110" t="s">
        <v>200</v>
      </c>
      <c r="K190" s="110" t="s">
        <v>207</v>
      </c>
      <c r="L190" s="110" t="s">
        <v>204</v>
      </c>
      <c r="M190" s="110" t="s">
        <v>202</v>
      </c>
      <c r="N190" s="103" t="s">
        <v>218</v>
      </c>
      <c r="P190" s="109" t="s">
        <v>197</v>
      </c>
      <c r="Q190" s="110" t="s">
        <v>200</v>
      </c>
      <c r="R190" s="110" t="s">
        <v>209</v>
      </c>
      <c r="S190" s="110" t="s">
        <v>204</v>
      </c>
      <c r="T190" s="110" t="s">
        <v>202</v>
      </c>
      <c r="U190" s="103" t="s">
        <v>218</v>
      </c>
      <c r="W190" s="109" t="s">
        <v>197</v>
      </c>
      <c r="X190" s="110" t="s">
        <v>200</v>
      </c>
      <c r="Y190" s="110" t="s">
        <v>210</v>
      </c>
      <c r="Z190" s="110" t="s">
        <v>204</v>
      </c>
      <c r="AA190" s="110" t="s">
        <v>202</v>
      </c>
      <c r="AB190" s="103" t="s">
        <v>218</v>
      </c>
      <c r="AD190" s="109" t="s">
        <v>197</v>
      </c>
      <c r="AE190" s="110" t="s">
        <v>200</v>
      </c>
      <c r="AF190" s="110" t="s">
        <v>213</v>
      </c>
      <c r="AG190" s="110" t="s">
        <v>204</v>
      </c>
      <c r="AH190" s="110" t="s">
        <v>202</v>
      </c>
      <c r="AI190" s="103" t="s">
        <v>218</v>
      </c>
      <c r="AK190" s="109" t="s">
        <v>197</v>
      </c>
      <c r="AL190" s="110" t="s">
        <v>200</v>
      </c>
      <c r="AM190" s="110" t="s">
        <v>214</v>
      </c>
      <c r="AN190" s="110" t="s">
        <v>204</v>
      </c>
      <c r="AO190" s="110" t="s">
        <v>202</v>
      </c>
      <c r="AP190" s="103" t="s">
        <v>218</v>
      </c>
      <c r="AR190" s="109" t="s">
        <v>197</v>
      </c>
      <c r="AS190" s="110" t="s">
        <v>200</v>
      </c>
      <c r="AT190" s="110" t="s">
        <v>211</v>
      </c>
      <c r="AU190" s="110" t="s">
        <v>204</v>
      </c>
      <c r="AV190" s="110" t="s">
        <v>202</v>
      </c>
      <c r="AW190" s="103" t="s">
        <v>218</v>
      </c>
      <c r="AY190" s="109" t="s">
        <v>197</v>
      </c>
      <c r="AZ190" s="110" t="s">
        <v>200</v>
      </c>
      <c r="BA190" s="110" t="s">
        <v>215</v>
      </c>
      <c r="BB190" s="110" t="s">
        <v>216</v>
      </c>
      <c r="BC190" s="110" t="s">
        <v>217</v>
      </c>
      <c r="BD190" s="103" t="s">
        <v>218</v>
      </c>
    </row>
    <row r="191" spans="1:56">
      <c r="A191" s="108"/>
      <c r="B191" s="109"/>
      <c r="C191" s="110" t="s">
        <v>201</v>
      </c>
      <c r="D191" s="110" t="s">
        <v>199</v>
      </c>
      <c r="E191" s="110" t="s">
        <v>203</v>
      </c>
      <c r="F191" s="110" t="s">
        <v>203</v>
      </c>
      <c r="G191" s="90" t="s">
        <v>201</v>
      </c>
      <c r="I191" s="109"/>
      <c r="J191" s="110" t="s">
        <v>201</v>
      </c>
      <c r="K191" s="110" t="s">
        <v>208</v>
      </c>
      <c r="L191" s="110" t="s">
        <v>203</v>
      </c>
      <c r="M191" s="110" t="s">
        <v>203</v>
      </c>
      <c r="N191" s="90" t="s">
        <v>201</v>
      </c>
      <c r="P191" s="109"/>
      <c r="Q191" s="110" t="s">
        <v>201</v>
      </c>
      <c r="R191" s="110" t="s">
        <v>203</v>
      </c>
      <c r="S191" s="110" t="s">
        <v>203</v>
      </c>
      <c r="T191" s="110" t="s">
        <v>203</v>
      </c>
      <c r="U191" s="90" t="s">
        <v>201</v>
      </c>
      <c r="W191" s="109"/>
      <c r="X191" s="110" t="s">
        <v>201</v>
      </c>
      <c r="Y191" s="110" t="s">
        <v>201</v>
      </c>
      <c r="Z191" s="110" t="s">
        <v>203</v>
      </c>
      <c r="AA191" s="110" t="s">
        <v>203</v>
      </c>
      <c r="AB191" s="90" t="s">
        <v>201</v>
      </c>
      <c r="AD191" s="109"/>
      <c r="AE191" s="110" t="s">
        <v>201</v>
      </c>
      <c r="AF191" s="110" t="s">
        <v>201</v>
      </c>
      <c r="AG191" s="110" t="s">
        <v>203</v>
      </c>
      <c r="AH191" s="110" t="s">
        <v>203</v>
      </c>
      <c r="AI191" s="90" t="s">
        <v>201</v>
      </c>
      <c r="AK191" s="109"/>
      <c r="AL191" s="110" t="s">
        <v>201</v>
      </c>
      <c r="AM191" s="110" t="s">
        <v>201</v>
      </c>
      <c r="AN191" s="110" t="s">
        <v>203</v>
      </c>
      <c r="AO191" s="110" t="s">
        <v>203</v>
      </c>
      <c r="AP191" s="90" t="s">
        <v>201</v>
      </c>
      <c r="AR191" s="109"/>
      <c r="AS191" s="110" t="s">
        <v>201</v>
      </c>
      <c r="AT191" s="110" t="s">
        <v>201</v>
      </c>
      <c r="AU191" s="110" t="s">
        <v>203</v>
      </c>
      <c r="AV191" s="110" t="s">
        <v>203</v>
      </c>
      <c r="AW191" s="90" t="s">
        <v>201</v>
      </c>
      <c r="AY191" s="109"/>
      <c r="AZ191" s="110" t="s">
        <v>201</v>
      </c>
      <c r="BA191" s="110" t="s">
        <v>201</v>
      </c>
      <c r="BB191" s="110" t="s">
        <v>203</v>
      </c>
      <c r="BC191" s="110" t="s">
        <v>203</v>
      </c>
      <c r="BD191" s="90" t="s">
        <v>201</v>
      </c>
    </row>
    <row r="192" spans="1:56" ht="21" customHeight="1">
      <c r="A192" s="108"/>
      <c r="B192" s="111" t="s">
        <v>206</v>
      </c>
      <c r="C192" s="112"/>
      <c r="D192" s="112"/>
      <c r="E192" s="113">
        <f>$B$174</f>
        <v>7.7176177694038964E-2</v>
      </c>
      <c r="F192" s="113">
        <f>$B$180</f>
        <v>6.7262190444143707E-2</v>
      </c>
      <c r="G192" s="104"/>
      <c r="I192" s="111" t="s">
        <v>206</v>
      </c>
      <c r="J192" s="112"/>
      <c r="K192" s="112"/>
      <c r="L192" s="113">
        <f>$B$174</f>
        <v>7.7176177694038964E-2</v>
      </c>
      <c r="M192" s="113">
        <f>$B$180</f>
        <v>6.7262190444143707E-2</v>
      </c>
      <c r="N192" s="104"/>
      <c r="P192" s="111" t="s">
        <v>206</v>
      </c>
      <c r="Q192" s="112"/>
      <c r="R192" s="112"/>
      <c r="S192" s="113">
        <f>$B$174</f>
        <v>7.7176177694038964E-2</v>
      </c>
      <c r="T192" s="113">
        <f>$B$180</f>
        <v>6.7262190444143707E-2</v>
      </c>
      <c r="U192" s="104"/>
      <c r="W192" s="111" t="s">
        <v>206</v>
      </c>
      <c r="X192" s="112"/>
      <c r="Y192" s="112"/>
      <c r="Z192" s="113">
        <f>$B$174</f>
        <v>7.7176177694038964E-2</v>
      </c>
      <c r="AA192" s="113">
        <f>$B$180</f>
        <v>6.7262190444143707E-2</v>
      </c>
      <c r="AB192" s="104"/>
      <c r="AD192" s="111" t="s">
        <v>206</v>
      </c>
      <c r="AE192" s="112"/>
      <c r="AF192" s="112"/>
      <c r="AG192" s="113">
        <f>$B$174</f>
        <v>7.7176177694038964E-2</v>
      </c>
      <c r="AH192" s="113">
        <f>$B$180</f>
        <v>6.7262190444143707E-2</v>
      </c>
      <c r="AI192" s="104"/>
      <c r="AK192" s="111" t="s">
        <v>206</v>
      </c>
      <c r="AL192" s="112"/>
      <c r="AM192" s="112"/>
      <c r="AN192" s="113">
        <f>$B$174</f>
        <v>7.7176177694038964E-2</v>
      </c>
      <c r="AO192" s="113">
        <f>$B$180</f>
        <v>6.7262190444143707E-2</v>
      </c>
      <c r="AP192" s="104"/>
      <c r="AR192" s="111" t="s">
        <v>206</v>
      </c>
      <c r="AS192" s="112"/>
      <c r="AT192" s="112"/>
      <c r="AU192" s="113">
        <f>$B$174</f>
        <v>7.7176177694038964E-2</v>
      </c>
      <c r="AV192" s="113">
        <f>$B$180</f>
        <v>6.7262190444143707E-2</v>
      </c>
      <c r="AW192" s="104"/>
      <c r="AY192" s="111" t="s">
        <v>206</v>
      </c>
      <c r="AZ192" s="112"/>
      <c r="BA192" s="112"/>
      <c r="BB192" s="113">
        <f>$B$174</f>
        <v>7.7176177694038964E-2</v>
      </c>
      <c r="BC192" s="113">
        <f>$B$180</f>
        <v>6.7262190444143707E-2</v>
      </c>
      <c r="BD192" s="104"/>
    </row>
    <row r="193" spans="2:56">
      <c r="B193" s="114">
        <f t="shared" ref="B193:B200" si="30">B194-1</f>
        <v>-10</v>
      </c>
      <c r="C193" s="115">
        <f>IF(ISERROR((D193-D203)/D203*100),"error",(D193-D203)/D203*100)</f>
        <v>-100</v>
      </c>
      <c r="D193" s="124">
        <v>0</v>
      </c>
      <c r="E193" s="116">
        <f t="dataTable" ref="E193:F213" dt2D="0" dtr="0" r1="B23"/>
        <v>3.0597053074483765E-2</v>
      </c>
      <c r="F193" s="116">
        <v>2.6666581222568889E-2</v>
      </c>
      <c r="G193" s="105">
        <f>(F193-F203)/F203*100</f>
        <v>-60.354277720536743</v>
      </c>
      <c r="I193" s="114">
        <f t="shared" ref="I193:I200" si="31">I194-1</f>
        <v>-10</v>
      </c>
      <c r="J193" s="115">
        <f>IF(ISERROR((K193-K$203)/K$203*100),"error",(K193-K$203)/K$203*100)</f>
        <v>-100</v>
      </c>
      <c r="K193" s="117">
        <v>0</v>
      </c>
      <c r="L193" s="116">
        <f t="dataTable" ref="L193:M213" dt2D="0" dtr="0" r1="B54" ca="1"/>
        <v>2.9236190441176872E-2</v>
      </c>
      <c r="M193" s="116">
        <v>2.5480533865148688E-2</v>
      </c>
      <c r="N193" s="105">
        <f>(M193-M203)/M203*100</f>
        <v>-62.117597275830029</v>
      </c>
      <c r="P193" s="114">
        <f t="shared" ref="P193:P200" si="32">P194-1</f>
        <v>-10</v>
      </c>
      <c r="Q193" s="115" t="str">
        <f>IF(ISERROR((R193-R$203)/R$203*100),"error",(R193-R$203)/R$203*100)</f>
        <v>error</v>
      </c>
      <c r="R193" s="118">
        <v>0</v>
      </c>
      <c r="S193" s="116">
        <f t="dataTable" ref="S193:T213" dt2D="0" dtr="0" r1="B47" ca="1"/>
        <v>0.10386132870246118</v>
      </c>
      <c r="T193" s="116">
        <v>9.0519389268825412E-2</v>
      </c>
      <c r="U193" s="105">
        <f>(T193-T203)/T203*100</f>
        <v>0</v>
      </c>
      <c r="W193" s="114">
        <f t="shared" ref="W193:W200" si="33">W194-1</f>
        <v>-10</v>
      </c>
      <c r="X193" s="115">
        <f>IF(ISERROR((Y193-Y$203)/Y$203*100),"error",(Y193-Y$203)/Y$203*100)</f>
        <v>-100</v>
      </c>
      <c r="Y193" s="21">
        <v>0</v>
      </c>
      <c r="Z193" s="116">
        <f t="dataTable" ref="Z193:AA213" dt2D="0" dtr="0" r1="B85" ca="1"/>
        <v>0.11857781885557959</v>
      </c>
      <c r="AA193" s="116">
        <v>0.10334541140317727</v>
      </c>
      <c r="AB193" s="105">
        <f>(AA193-AA203)/AA203*100</f>
        <v>53.645622779707146</v>
      </c>
      <c r="AD193" s="114">
        <f t="shared" ref="AD193:AD200" si="34">AD194-1</f>
        <v>-10</v>
      </c>
      <c r="AE193" s="115">
        <f>IF(ISERROR((AF193-AF$203)/AF$203*100),"error",(AF193-AF$203)/AF$203*100)</f>
        <v>-80</v>
      </c>
      <c r="AF193" s="119">
        <v>1</v>
      </c>
      <c r="AG193" s="116">
        <f t="dataTable" ref="AG193:AH213" dt2D="0" dtr="0" r1="B87" ca="1"/>
        <v>7.0434392525179648E-2</v>
      </c>
      <c r="AH193" s="116">
        <v>6.1386449360423985E-2</v>
      </c>
      <c r="AI193" s="105">
        <f>(AH193-AH203)/AH203*100</f>
        <v>-8.7355779598035728</v>
      </c>
      <c r="AK193" s="114">
        <f t="shared" ref="AK193:AK200" si="35">AK194-1</f>
        <v>-10</v>
      </c>
      <c r="AL193" s="115">
        <f>IF(ISERROR((AM193-AM$203)/AM$203*100),"error",(AM193-AM$203)/AM$203*100)</f>
        <v>-93.333333333333329</v>
      </c>
      <c r="AM193" s="119">
        <v>1</v>
      </c>
      <c r="AN193" s="116">
        <f t="dataTable" ref="AN193:AO213" dt2D="0" dtr="0" r1="B89" ca="1"/>
        <v>6.4279788969011792E-2</v>
      </c>
      <c r="AO193" s="116">
        <v>5.1662083572701807E-2</v>
      </c>
      <c r="AP193" s="105">
        <f>(AO193-AO203)/AO203*100</f>
        <v>-23.192980734691712</v>
      </c>
      <c r="AR193" s="114">
        <f t="shared" ref="AR193:AR200" si="36">AR194-1</f>
        <v>-10</v>
      </c>
      <c r="AS193" s="115">
        <f>IF(ISERROR((AT193-AT$203)/AT$203*100),"error",(AT193-AT$203)/AT$203*100)</f>
        <v>-75</v>
      </c>
      <c r="AT193" s="119">
        <v>5</v>
      </c>
      <c r="AU193" s="116">
        <f t="dataTable" ref="AU193:AV213" dt2D="0" dtr="0" r1="B31" ca="1"/>
        <v>0.11783189586336416</v>
      </c>
      <c r="AV193" s="116">
        <v>0.10269530905478207</v>
      </c>
      <c r="AW193" s="105">
        <f>(AV193-AV203)/AV203*100</f>
        <v>52.679103039415509</v>
      </c>
      <c r="AY193" s="114">
        <f t="shared" ref="AY193:AY200" si="37">AY194-1</f>
        <v>-10</v>
      </c>
      <c r="AZ193" s="115">
        <f>IF(ISERROR((BA193-BA$203)/BA$203*100),"error",(BA193-BA$203)/BA$203*100)</f>
        <v>-52.941176470588239</v>
      </c>
      <c r="BA193" s="119">
        <v>40</v>
      </c>
      <c r="BB193" s="116">
        <f t="dataTable" ref="BB193:BC213" dt2D="0" dtr="0" r1="B29" ca="1"/>
        <v>0.1438887463858558</v>
      </c>
      <c r="BC193" s="116">
        <v>0.12540491834855499</v>
      </c>
      <c r="BD193" s="105">
        <f>(BC193-BC203)/BC203*100</f>
        <v>86.441918588266219</v>
      </c>
    </row>
    <row r="194" spans="2:56">
      <c r="B194" s="114">
        <f t="shared" si="30"/>
        <v>-9</v>
      </c>
      <c r="C194" s="115">
        <f>IF(ISERROR((D194-D203)/D203*100),"error",(D194-D203)/D203*100)</f>
        <v>-90</v>
      </c>
      <c r="D194" s="115">
        <f>D203+B194*(D203-D193)/10</f>
        <v>7000000</v>
      </c>
      <c r="E194" s="116">
        <v>3.5254965536439309E-2</v>
      </c>
      <c r="F194" s="116">
        <v>3.0726142144726392E-2</v>
      </c>
      <c r="G194" s="105">
        <f>(F194-F203)/F203*100</f>
        <v>-54.318849948483027</v>
      </c>
      <c r="I194" s="114">
        <f t="shared" si="31"/>
        <v>-9</v>
      </c>
      <c r="J194" s="115">
        <f t="shared" ref="J194:J213" si="38">IF(ISERROR((K194-K$203)/K$203*100),"error",(K194-K$203)/K$203*100)</f>
        <v>-90.000000000000014</v>
      </c>
      <c r="K194" s="120">
        <f>K203+I194*(K203-K193)/10</f>
        <v>2.2049999999999983</v>
      </c>
      <c r="L194" s="116">
        <v>3.4030189166463068E-2</v>
      </c>
      <c r="M194" s="116">
        <v>2.9658699523048181E-2</v>
      </c>
      <c r="N194" s="105">
        <f>(M194-M203)/M203*100</f>
        <v>-55.905837548247042</v>
      </c>
      <c r="P194" s="114">
        <f t="shared" si="32"/>
        <v>-9</v>
      </c>
      <c r="Q194" s="115" t="str">
        <f t="shared" ref="Q194:Q213" si="39">IF(ISERROR((R194-R$203)/R$203*100),"error",(R194-R$203)/R$203*100)</f>
        <v>error</v>
      </c>
      <c r="R194" s="121">
        <f>R203+P194*(R203-R193)/10</f>
        <v>0</v>
      </c>
      <c r="S194" s="116">
        <v>0.10386132870246118</v>
      </c>
      <c r="T194" s="116">
        <v>9.0519389268825412E-2</v>
      </c>
      <c r="U194" s="105">
        <f>(T194-T203)/T203*100</f>
        <v>0</v>
      </c>
      <c r="W194" s="114">
        <f t="shared" si="33"/>
        <v>-9</v>
      </c>
      <c r="X194" s="115">
        <f t="shared" ref="X194:X213" si="40">IF(ISERROR((Y194-Y$203)/Y$203*100),"error",(Y194-Y$203)/Y$203*100)</f>
        <v>-90</v>
      </c>
      <c r="Y194" s="115">
        <f>Y203+W194*(Y203-Y193)/10</f>
        <v>7.5</v>
      </c>
      <c r="Z194" s="116">
        <v>0.11443765473942548</v>
      </c>
      <c r="AA194" s="116">
        <v>9.9737089307273874E-2</v>
      </c>
      <c r="AB194" s="105">
        <f>(AA194-AA203)/AA203*100</f>
        <v>48.281060501736377</v>
      </c>
      <c r="AD194" s="114">
        <f t="shared" si="34"/>
        <v>-9</v>
      </c>
      <c r="AE194" s="115">
        <f t="shared" ref="AE194:AE213" si="41">IF(ISERROR((AF194-AF$203)/AF$203*100),"error",(AF194-AF$203)/AF$203*100)</f>
        <v>-72</v>
      </c>
      <c r="AF194" s="122">
        <f>AF203+AD194*(AF203-AF193)/10</f>
        <v>1.4</v>
      </c>
      <c r="AG194" s="116">
        <v>7.1025050348385368E-2</v>
      </c>
      <c r="AH194" s="116">
        <v>6.1901231773583788E-2</v>
      </c>
      <c r="AI194" s="105">
        <f>(AH194-AH203)/AH203*100</f>
        <v>-7.9702409855530956</v>
      </c>
      <c r="AK194" s="114">
        <f t="shared" si="35"/>
        <v>-9</v>
      </c>
      <c r="AL194" s="115">
        <f t="shared" ref="AL194:AL213" si="42">IF(ISERROR((AM194-AM$203)/AM$203*100),"error",(AM194-AM$203)/AM$203*100)</f>
        <v>-84</v>
      </c>
      <c r="AM194" s="122">
        <f>AM203+AK194*(AM203-AM193)/10</f>
        <v>2.4000000000000004</v>
      </c>
      <c r="AN194" s="116">
        <v>6.5102152822124254E-2</v>
      </c>
      <c r="AO194" s="116">
        <v>5.2822194800474682E-2</v>
      </c>
      <c r="AP194" s="105">
        <f>(AO194-AO203)/AO203*100</f>
        <v>-21.468220925187349</v>
      </c>
      <c r="AR194" s="114">
        <f t="shared" si="36"/>
        <v>-9</v>
      </c>
      <c r="AS194" s="115">
        <f t="shared" ref="AS194:AS213" si="43">IF(ISERROR((AT194-AT$203)/AT$203*100),"error",(AT194-AT$203)/AT$203*100)</f>
        <v>-67.5</v>
      </c>
      <c r="AT194" s="123">
        <f>AT203+AR194*(AT203-AT193)/10</f>
        <v>6.5</v>
      </c>
      <c r="AU194" s="116">
        <v>0.1053224441189564</v>
      </c>
      <c r="AV194" s="116">
        <v>9.1792811020739495E-2</v>
      </c>
      <c r="AW194" s="105">
        <f>(AV194-AV203)/AV203*100</f>
        <v>36.470148258056895</v>
      </c>
      <c r="AY194" s="114">
        <f t="shared" si="37"/>
        <v>-9</v>
      </c>
      <c r="AZ194" s="115">
        <f t="shared" ref="AZ194:AZ213" si="44">IF(ISERROR((BA194-BA$203)/BA$203*100),"error",(BA194-BA$203)/BA$203*100)</f>
        <v>-47.647058823529406</v>
      </c>
      <c r="BA194" s="122">
        <f>BA203+AY194*(BA203-BA193)/10</f>
        <v>44.5</v>
      </c>
      <c r="BB194" s="116">
        <v>0.13114589618629524</v>
      </c>
      <c r="BC194" s="116">
        <v>0.11429900402973484</v>
      </c>
      <c r="BD194" s="105">
        <f>(BC194-BC203)/BC203*100</f>
        <v>69.930540880395114</v>
      </c>
    </row>
    <row r="195" spans="2:56">
      <c r="B195" s="114">
        <f t="shared" si="30"/>
        <v>-8</v>
      </c>
      <c r="C195" s="115">
        <f>IF(ISERROR((D195-D203)/D203*100),"error",(D195-D203)/D203*100)</f>
        <v>-80</v>
      </c>
      <c r="D195" s="115">
        <f>D203+B195*(D203-D193)/10</f>
        <v>14000000</v>
      </c>
      <c r="E195" s="116">
        <v>3.9912877998394804E-2</v>
      </c>
      <c r="F195" s="116">
        <v>3.4785703066883861E-2</v>
      </c>
      <c r="G195" s="105">
        <f>(F195-F203)/F203*100</f>
        <v>-48.283422176429383</v>
      </c>
      <c r="I195" s="114">
        <f t="shared" si="31"/>
        <v>-8</v>
      </c>
      <c r="J195" s="115">
        <f t="shared" si="38"/>
        <v>-80</v>
      </c>
      <c r="K195" s="120">
        <f>K203+I195*(K203-K193)/10</f>
        <v>4.41</v>
      </c>
      <c r="L195" s="116">
        <v>3.8824187891749302E-2</v>
      </c>
      <c r="M195" s="116">
        <v>3.3836865180947709E-2</v>
      </c>
      <c r="N195" s="105">
        <f>(M195-M203)/M203*100</f>
        <v>-49.694077820663999</v>
      </c>
      <c r="P195" s="114">
        <f t="shared" si="32"/>
        <v>-8</v>
      </c>
      <c r="Q195" s="115" t="str">
        <f t="shared" si="39"/>
        <v>error</v>
      </c>
      <c r="R195" s="121">
        <f>R203+P195*(R203-R193)/10</f>
        <v>0</v>
      </c>
      <c r="S195" s="116">
        <v>0.10386132870246118</v>
      </c>
      <c r="T195" s="116">
        <v>9.0519389268825412E-2</v>
      </c>
      <c r="U195" s="105">
        <f>(T195-T203)/T203*100</f>
        <v>0</v>
      </c>
      <c r="W195" s="114">
        <f t="shared" si="33"/>
        <v>-8</v>
      </c>
      <c r="X195" s="115">
        <f t="shared" si="40"/>
        <v>-80</v>
      </c>
      <c r="Y195" s="115">
        <f>Y203+W195*(Y203-Y193)/10</f>
        <v>15</v>
      </c>
      <c r="Z195" s="116">
        <v>0.11029749062327143</v>
      </c>
      <c r="AA195" s="116">
        <v>9.6128767211370522E-2</v>
      </c>
      <c r="AB195" s="105">
        <f>(AA195-AA203)/AA203*100</f>
        <v>42.916498223765672</v>
      </c>
      <c r="AD195" s="114">
        <f t="shared" si="34"/>
        <v>-8</v>
      </c>
      <c r="AE195" s="115">
        <f t="shared" si="41"/>
        <v>-64</v>
      </c>
      <c r="AF195" s="122">
        <f>AF203+AD195*(AF203-AF193)/10</f>
        <v>1.7999999999999998</v>
      </c>
      <c r="AG195" s="116">
        <v>7.163469585892239E-2</v>
      </c>
      <c r="AH195" s="116">
        <v>6.2432562731638282E-2</v>
      </c>
      <c r="AI195" s="105">
        <f>(AH195-AH203)/AH203*100</f>
        <v>-7.1803009694072868</v>
      </c>
      <c r="AK195" s="114">
        <f t="shared" si="35"/>
        <v>-8</v>
      </c>
      <c r="AL195" s="115">
        <f t="shared" si="42"/>
        <v>-74.666666666666657</v>
      </c>
      <c r="AM195" s="122">
        <f>AM203+AK195*(AM203-AM193)/10</f>
        <v>3.8000000000000007</v>
      </c>
      <c r="AN195" s="116">
        <v>6.6034819542060058E-2</v>
      </c>
      <c r="AO195" s="116">
        <v>5.4079469784560866E-2</v>
      </c>
      <c r="AP195" s="105">
        <f>(AO195-AO203)/AO203*100</f>
        <v>-19.599005879135202</v>
      </c>
      <c r="AR195" s="114">
        <f t="shared" si="36"/>
        <v>-8</v>
      </c>
      <c r="AS195" s="115">
        <f t="shared" si="43"/>
        <v>-60</v>
      </c>
      <c r="AT195" s="123">
        <f>AT203+AR195*(AT203-AT193)/10</f>
        <v>8</v>
      </c>
      <c r="AU195" s="116">
        <v>9.750403677870155E-2</v>
      </c>
      <c r="AV195" s="116">
        <v>8.4978749749462887E-2</v>
      </c>
      <c r="AW195" s="105">
        <f>(AV195-AV203)/AV203*100</f>
        <v>26.339551519707754</v>
      </c>
      <c r="AY195" s="114">
        <f t="shared" si="37"/>
        <v>-8</v>
      </c>
      <c r="AZ195" s="115">
        <f t="shared" si="44"/>
        <v>-42.352941176470587</v>
      </c>
      <c r="BA195" s="122">
        <f>BA203+AY195*(BA203-BA193)/10</f>
        <v>49</v>
      </c>
      <c r="BB195" s="116">
        <v>0.12074356949277651</v>
      </c>
      <c r="BC195" s="116">
        <v>0.10523295152457558</v>
      </c>
      <c r="BD195" s="105">
        <f>(BC195-BC203)/BC203*100</f>
        <v>56.451865200500414</v>
      </c>
    </row>
    <row r="196" spans="2:56">
      <c r="B196" s="114">
        <f t="shared" si="30"/>
        <v>-7</v>
      </c>
      <c r="C196" s="115">
        <f>IF(ISERROR((D196-D203)/D203*100),"error",(D196-D203)/D203*100)</f>
        <v>-70</v>
      </c>
      <c r="D196" s="115">
        <f>D203+B196*(D203-D193)/10</f>
        <v>21000000</v>
      </c>
      <c r="E196" s="116">
        <v>4.457079046035034E-2</v>
      </c>
      <c r="F196" s="116">
        <v>3.8845263989041354E-2</v>
      </c>
      <c r="G196" s="105">
        <f>(F196-F203)/F203*100</f>
        <v>-42.247994404375689</v>
      </c>
      <c r="I196" s="114">
        <f t="shared" si="31"/>
        <v>-7</v>
      </c>
      <c r="J196" s="115">
        <f t="shared" si="38"/>
        <v>-70</v>
      </c>
      <c r="K196" s="120">
        <f>K203+I196*(K203-K193)/10</f>
        <v>6.615000000000002</v>
      </c>
      <c r="L196" s="116">
        <v>4.3618186617035495E-2</v>
      </c>
      <c r="M196" s="116">
        <v>3.8015030838847191E-2</v>
      </c>
      <c r="N196" s="105">
        <f>(M196-M203)/M203*100</f>
        <v>-43.482318093081027</v>
      </c>
      <c r="P196" s="114">
        <f t="shared" si="32"/>
        <v>-7</v>
      </c>
      <c r="Q196" s="115" t="str">
        <f t="shared" si="39"/>
        <v>error</v>
      </c>
      <c r="R196" s="121">
        <f>R203+P196*(R203-R193)/10</f>
        <v>0</v>
      </c>
      <c r="S196" s="116">
        <v>0.10386132870246118</v>
      </c>
      <c r="T196" s="116">
        <v>9.0519389268825412E-2</v>
      </c>
      <c r="U196" s="105">
        <f>(T196-T203)/T203*100</f>
        <v>0</v>
      </c>
      <c r="W196" s="114">
        <f t="shared" si="33"/>
        <v>-7</v>
      </c>
      <c r="X196" s="115">
        <f t="shared" si="40"/>
        <v>-70</v>
      </c>
      <c r="Y196" s="115">
        <f>Y203+W196*(Y203-Y193)/10</f>
        <v>22.5</v>
      </c>
      <c r="Z196" s="116">
        <v>0.10615732650711736</v>
      </c>
      <c r="AA196" s="116">
        <v>9.2520445115467156E-2</v>
      </c>
      <c r="AB196" s="105">
        <f>(AA196-AA203)/AA203*100</f>
        <v>37.551935945794938</v>
      </c>
      <c r="AD196" s="114">
        <f t="shared" si="34"/>
        <v>-7</v>
      </c>
      <c r="AE196" s="115">
        <f t="shared" si="41"/>
        <v>-55.999999999999993</v>
      </c>
      <c r="AF196" s="122">
        <f>AF203+AD196*(AF203-AF193)/10</f>
        <v>2.2000000000000002</v>
      </c>
      <c r="AG196" s="116">
        <v>7.2263205461316496E-2</v>
      </c>
      <c r="AH196" s="116">
        <v>6.2980334516084549E-2</v>
      </c>
      <c r="AI196" s="105">
        <f>(AH196-AH203)/AH203*100</f>
        <v>-6.3659180585486945</v>
      </c>
      <c r="AK196" s="114">
        <f t="shared" si="35"/>
        <v>-7</v>
      </c>
      <c r="AL196" s="115">
        <f t="shared" si="42"/>
        <v>-65.333333333333343</v>
      </c>
      <c r="AM196" s="122">
        <f>AM203+AK196*(AM203-AM193)/10</f>
        <v>5.1999999999999993</v>
      </c>
      <c r="AN196" s="116">
        <v>6.7077877316771894E-2</v>
      </c>
      <c r="AO196" s="116">
        <v>5.543272920626028E-2</v>
      </c>
      <c r="AP196" s="105">
        <f>(AO196-AO203)/AO203*100</f>
        <v>-17.5870889124655</v>
      </c>
      <c r="AR196" s="114">
        <f t="shared" si="36"/>
        <v>-7</v>
      </c>
      <c r="AS196" s="115">
        <f t="shared" si="43"/>
        <v>-52.5</v>
      </c>
      <c r="AT196" s="123">
        <f>AT203+AR196*(AT203-AT193)/10</f>
        <v>9.5</v>
      </c>
      <c r="AU196" s="116">
        <v>9.2154600177474552E-2</v>
      </c>
      <c r="AV196" s="116">
        <v>8.0316497300694678E-2</v>
      </c>
      <c r="AW196" s="105">
        <f>(AV196-AV203)/AV203*100</f>
        <v>19.40809059346887</v>
      </c>
      <c r="AY196" s="114">
        <f t="shared" si="37"/>
        <v>-7</v>
      </c>
      <c r="AZ196" s="115">
        <f t="shared" si="44"/>
        <v>-37.058823529411768</v>
      </c>
      <c r="BA196" s="122">
        <f>BA203+AY196*(BA203-BA193)/10</f>
        <v>53.5</v>
      </c>
      <c r="BB196" s="116">
        <v>0.11209116691592436</v>
      </c>
      <c r="BC196" s="116">
        <v>9.769202934738698E-2</v>
      </c>
      <c r="BD196" s="105">
        <f>(BC196-BC203)/BC203*100</f>
        <v>45.240630289186036</v>
      </c>
    </row>
    <row r="197" spans="2:56">
      <c r="B197" s="114">
        <f t="shared" si="30"/>
        <v>-6</v>
      </c>
      <c r="C197" s="115">
        <f>IF(ISERROR((D197-D203)/D203*100),"error",(D197-D203)/D203*100)</f>
        <v>-60</v>
      </c>
      <c r="D197" s="115">
        <f>D203+B197*(D203-D193)/10</f>
        <v>28000000</v>
      </c>
      <c r="E197" s="116">
        <v>4.9228702922305863E-2</v>
      </c>
      <c r="F197" s="116">
        <v>4.2904824911198833E-2</v>
      </c>
      <c r="G197" s="105">
        <f>(F197-F203)/F203*100</f>
        <v>-36.212566632322016</v>
      </c>
      <c r="I197" s="114">
        <f t="shared" si="31"/>
        <v>-6</v>
      </c>
      <c r="J197" s="115">
        <f t="shared" si="38"/>
        <v>-60</v>
      </c>
      <c r="K197" s="120">
        <f>K203+I197*(K203-K193)/10</f>
        <v>8.82</v>
      </c>
      <c r="L197" s="116">
        <v>4.8412185342321716E-2</v>
      </c>
      <c r="M197" s="116">
        <v>4.2193196496746702E-2</v>
      </c>
      <c r="N197" s="105">
        <f>(M197-M203)/M203*100</f>
        <v>-37.270558365498005</v>
      </c>
      <c r="P197" s="114">
        <f t="shared" si="32"/>
        <v>-6</v>
      </c>
      <c r="Q197" s="115" t="str">
        <f t="shared" si="39"/>
        <v>error</v>
      </c>
      <c r="R197" s="121">
        <f>R203+P197*(R203-R193)/10</f>
        <v>0</v>
      </c>
      <c r="S197" s="116">
        <v>0.10386132870246118</v>
      </c>
      <c r="T197" s="116">
        <v>9.0519389268825412E-2</v>
      </c>
      <c r="U197" s="105">
        <f>(T197-T203)/T203*100</f>
        <v>0</v>
      </c>
      <c r="W197" s="114">
        <f t="shared" si="33"/>
        <v>-6</v>
      </c>
      <c r="X197" s="115">
        <f t="shared" si="40"/>
        <v>-60</v>
      </c>
      <c r="Y197" s="115">
        <f>Y203+W197*(Y203-Y193)/10</f>
        <v>30</v>
      </c>
      <c r="Z197" s="116">
        <v>0.1020171623909633</v>
      </c>
      <c r="AA197" s="116">
        <v>8.8912123019563805E-2</v>
      </c>
      <c r="AB197" s="105">
        <f>(AA197-AA203)/AA203*100</f>
        <v>32.187373667824232</v>
      </c>
      <c r="AD197" s="114">
        <f t="shared" si="34"/>
        <v>-6</v>
      </c>
      <c r="AE197" s="115">
        <f t="shared" si="41"/>
        <v>-48</v>
      </c>
      <c r="AF197" s="122">
        <f>AF203+AD197*(AF203-AF193)/10</f>
        <v>2.6</v>
      </c>
      <c r="AG197" s="116">
        <v>7.2910433385055567E-2</v>
      </c>
      <c r="AH197" s="116">
        <v>6.354442008196852E-2</v>
      </c>
      <c r="AI197" s="105">
        <f>(AH197-AH203)/AH203*100</f>
        <v>-5.5272811331687484</v>
      </c>
      <c r="AK197" s="114">
        <f t="shared" si="35"/>
        <v>-6</v>
      </c>
      <c r="AL197" s="115">
        <f t="shared" si="42"/>
        <v>-56.000000000000007</v>
      </c>
      <c r="AM197" s="122">
        <f>AM203+AK197*(AM203-AM193)/10</f>
        <v>6.6</v>
      </c>
      <c r="AN197" s="116">
        <v>6.8229671476452966E-2</v>
      </c>
      <c r="AO197" s="116">
        <v>5.6879442063929642E-2</v>
      </c>
      <c r="AP197" s="105">
        <f>(AO197-AO203)/AO203*100</f>
        <v>-15.436232914294063</v>
      </c>
      <c r="AR197" s="114">
        <f t="shared" si="36"/>
        <v>-6</v>
      </c>
      <c r="AS197" s="115">
        <f t="shared" si="43"/>
        <v>-45</v>
      </c>
      <c r="AT197" s="123">
        <f>AT203+AR197*(AT203-AT193)/10</f>
        <v>11</v>
      </c>
      <c r="AU197" s="116">
        <v>8.8264100831127651E-2</v>
      </c>
      <c r="AV197" s="116">
        <v>7.692576824704507E-2</v>
      </c>
      <c r="AW197" s="105">
        <f>(AV197-AV203)/AV203*100</f>
        <v>14.367028101658766</v>
      </c>
      <c r="AY197" s="114">
        <f t="shared" si="37"/>
        <v>-6</v>
      </c>
      <c r="AZ197" s="115">
        <f t="shared" si="44"/>
        <v>-31.764705882352938</v>
      </c>
      <c r="BA197" s="122">
        <f>BA203+AY197*(BA203-BA193)/10</f>
        <v>58</v>
      </c>
      <c r="BB197" s="116">
        <v>0.10478137853203211</v>
      </c>
      <c r="BC197" s="116">
        <v>9.1321250266658702E-2</v>
      </c>
      <c r="BD197" s="105">
        <f>(BC197-BC203)/BC203*100</f>
        <v>35.76906976066185</v>
      </c>
    </row>
    <row r="198" spans="2:56">
      <c r="B198" s="114">
        <f t="shared" si="30"/>
        <v>-5</v>
      </c>
      <c r="C198" s="115">
        <f>IF(ISERROR((D198-D203)/D203*100),"error",(D198-D203)/D203*100)</f>
        <v>-50</v>
      </c>
      <c r="D198" s="115">
        <f>D203+B198*(D203-D193)/10</f>
        <v>35000000</v>
      </c>
      <c r="E198" s="116">
        <v>5.3886615384261372E-2</v>
      </c>
      <c r="F198" s="116">
        <v>4.6964385833356305E-2</v>
      </c>
      <c r="G198" s="105">
        <f>(F198-F203)/F203*100</f>
        <v>-30.177138860268361</v>
      </c>
      <c r="I198" s="114">
        <f t="shared" si="31"/>
        <v>-5</v>
      </c>
      <c r="J198" s="115">
        <f t="shared" si="38"/>
        <v>-50</v>
      </c>
      <c r="K198" s="120">
        <f>K203+I198*(K203-K193)/10</f>
        <v>11.025</v>
      </c>
      <c r="L198" s="116">
        <v>5.3206184067607923E-2</v>
      </c>
      <c r="M198" s="116">
        <v>4.6371362154646205E-2</v>
      </c>
      <c r="N198" s="105">
        <f>(M198-M203)/M203*100</f>
        <v>-31.058798637915004</v>
      </c>
      <c r="P198" s="114">
        <f t="shared" si="32"/>
        <v>-5</v>
      </c>
      <c r="Q198" s="115" t="str">
        <f t="shared" si="39"/>
        <v>error</v>
      </c>
      <c r="R198" s="121">
        <f>R203+P198*(R203-R193)/10</f>
        <v>0</v>
      </c>
      <c r="S198" s="116">
        <v>0.10386132870246118</v>
      </c>
      <c r="T198" s="116">
        <v>9.0519389268825412E-2</v>
      </c>
      <c r="U198" s="105">
        <f>(T198-T203)/T203*100</f>
        <v>0</v>
      </c>
      <c r="W198" s="114">
        <f t="shared" si="33"/>
        <v>-5</v>
      </c>
      <c r="X198" s="115">
        <f t="shared" si="40"/>
        <v>-50</v>
      </c>
      <c r="Y198" s="115">
        <f>Y203+W198*(Y203-Y193)/10</f>
        <v>37.5</v>
      </c>
      <c r="Z198" s="116">
        <v>9.7876998274809279E-2</v>
      </c>
      <c r="AA198" s="116">
        <v>8.5303800923660494E-2</v>
      </c>
      <c r="AB198" s="105">
        <f>(AA198-AA203)/AA203*100</f>
        <v>26.822811389853584</v>
      </c>
      <c r="AD198" s="114">
        <f t="shared" si="34"/>
        <v>-5</v>
      </c>
      <c r="AE198" s="115">
        <f t="shared" si="41"/>
        <v>-40</v>
      </c>
      <c r="AF198" s="122">
        <f>AF203+AD198*(AF203-AF193)/10</f>
        <v>3</v>
      </c>
      <c r="AG198" s="116">
        <v>7.3576212624156978E-2</v>
      </c>
      <c r="AH198" s="116">
        <v>6.412467387675648E-2</v>
      </c>
      <c r="AI198" s="105">
        <f>(AH198-AH203)/AH203*100</f>
        <v>-4.664606589035639</v>
      </c>
      <c r="AK198" s="114">
        <f t="shared" si="35"/>
        <v>-5</v>
      </c>
      <c r="AL198" s="115">
        <f t="shared" si="42"/>
        <v>-46.666666666666664</v>
      </c>
      <c r="AM198" s="122">
        <f>AM203+AK198*(AM203-AM193)/10</f>
        <v>8</v>
      </c>
      <c r="AN198" s="116">
        <v>6.9487038555069394E-2</v>
      </c>
      <c r="AO198" s="116">
        <v>5.8415911519288828E-2</v>
      </c>
      <c r="AP198" s="105">
        <f>(AO198-AO203)/AO203*100</f>
        <v>-13.151934045622649</v>
      </c>
      <c r="AR198" s="114">
        <f t="shared" si="36"/>
        <v>-5</v>
      </c>
      <c r="AS198" s="115">
        <f t="shared" si="43"/>
        <v>-37.5</v>
      </c>
      <c r="AT198" s="123">
        <f>AT203+AR198*(AT203-AT193)/10</f>
        <v>12.5</v>
      </c>
      <c r="AU198" s="116">
        <v>8.5307321327903959E-2</v>
      </c>
      <c r="AV198" s="116">
        <v>7.4348814166271357E-2</v>
      </c>
      <c r="AW198" s="105">
        <f>(AV198-AV203)/AV203*100</f>
        <v>10.535820607883069</v>
      </c>
      <c r="AY198" s="114">
        <f t="shared" si="37"/>
        <v>-5</v>
      </c>
      <c r="AZ198" s="115">
        <f t="shared" si="44"/>
        <v>-26.47058823529412</v>
      </c>
      <c r="BA198" s="122">
        <f>BA203+AY198*(BA203-BA193)/10</f>
        <v>62.5</v>
      </c>
      <c r="BB198" s="116">
        <v>9.8524199675420324E-2</v>
      </c>
      <c r="BC198" s="116">
        <v>8.5867863373555287E-2</v>
      </c>
      <c r="BD198" s="105">
        <f>(BC198-BC203)/BC203*100</f>
        <v>27.661413948245144</v>
      </c>
    </row>
    <row r="199" spans="2:56">
      <c r="B199" s="114">
        <f t="shared" si="30"/>
        <v>-4</v>
      </c>
      <c r="C199" s="115">
        <f>IF(ISERROR((D199-D203)/D203*100),"error",(D199-D203)/D203*100)</f>
        <v>-40</v>
      </c>
      <c r="D199" s="115">
        <f>D203+B199*(D203-D193)/10</f>
        <v>42000000</v>
      </c>
      <c r="E199" s="116">
        <v>5.8544527846216894E-2</v>
      </c>
      <c r="F199" s="116">
        <v>5.1023946755513791E-2</v>
      </c>
      <c r="G199" s="105">
        <f>(F199-F203)/F203*100</f>
        <v>-24.141711088214677</v>
      </c>
      <c r="I199" s="114">
        <f t="shared" si="31"/>
        <v>-4</v>
      </c>
      <c r="J199" s="115">
        <f t="shared" si="38"/>
        <v>-40</v>
      </c>
      <c r="K199" s="120">
        <f>K203+I199*(K203-K193)/10</f>
        <v>13.23</v>
      </c>
      <c r="L199" s="116">
        <v>5.8000182792894109E-2</v>
      </c>
      <c r="M199" s="116">
        <v>5.0549527812545694E-2</v>
      </c>
      <c r="N199" s="105">
        <f>(M199-M203)/M203*100</f>
        <v>-24.847038910332021</v>
      </c>
      <c r="P199" s="114">
        <f t="shared" si="32"/>
        <v>-4</v>
      </c>
      <c r="Q199" s="115" t="str">
        <f t="shared" si="39"/>
        <v>error</v>
      </c>
      <c r="R199" s="121">
        <f>R203+P199*(R203-R193)/10</f>
        <v>0</v>
      </c>
      <c r="S199" s="116">
        <v>0.10386132870246118</v>
      </c>
      <c r="T199" s="116">
        <v>9.0519389268825412E-2</v>
      </c>
      <c r="U199" s="105">
        <f>(T199-T203)/T203*100</f>
        <v>0</v>
      </c>
      <c r="W199" s="114">
        <f t="shared" si="33"/>
        <v>-4</v>
      </c>
      <c r="X199" s="115">
        <f t="shared" si="40"/>
        <v>-40</v>
      </c>
      <c r="Y199" s="115">
        <f>Y203+W199*(Y203-Y193)/10</f>
        <v>45</v>
      </c>
      <c r="Z199" s="116">
        <v>9.3736834158655177E-2</v>
      </c>
      <c r="AA199" s="116">
        <v>8.1695478827757101E-2</v>
      </c>
      <c r="AB199" s="105">
        <f>(AA199-AA203)/AA203*100</f>
        <v>21.458249111882814</v>
      </c>
      <c r="AD199" s="114">
        <f t="shared" si="34"/>
        <v>-4</v>
      </c>
      <c r="AE199" s="115">
        <f t="shared" si="41"/>
        <v>-32</v>
      </c>
      <c r="AF199" s="122">
        <f>AF203+AD199*(AF203-AF193)/10</f>
        <v>3.4</v>
      </c>
      <c r="AG199" s="116">
        <v>7.4260355941098755E-2</v>
      </c>
      <c r="AH199" s="116">
        <v>6.4720932715301965E-2</v>
      </c>
      <c r="AI199" s="105">
        <f>(AH199-AH203)/AH203*100</f>
        <v>-3.7781370366641114</v>
      </c>
      <c r="AK199" s="114">
        <f t="shared" si="35"/>
        <v>-4</v>
      </c>
      <c r="AL199" s="115">
        <f t="shared" si="42"/>
        <v>-37.333333333333329</v>
      </c>
      <c r="AM199" s="122">
        <f>AM203+AK199*(AM203-AM193)/10</f>
        <v>9.4</v>
      </c>
      <c r="AN199" s="116">
        <v>7.0845580326217239E-2</v>
      </c>
      <c r="AO199" s="116">
        <v>6.0037496253265585E-2</v>
      </c>
      <c r="AP199" s="105">
        <f>(AO199-AO203)/AO203*100</f>
        <v>-10.741092645321594</v>
      </c>
      <c r="AR199" s="114">
        <f t="shared" si="36"/>
        <v>-4</v>
      </c>
      <c r="AS199" s="115">
        <f t="shared" si="43"/>
        <v>-30</v>
      </c>
      <c r="AT199" s="123">
        <f>AT203+AR199*(AT203-AT193)/10</f>
        <v>14</v>
      </c>
      <c r="AU199" s="116">
        <v>8.2984137432513969E-2</v>
      </c>
      <c r="AV199" s="116">
        <v>7.2324064531377741E-2</v>
      </c>
      <c r="AW199" s="105">
        <f>(AV199-AV203)/AV203*100</f>
        <v>7.5255861484879034</v>
      </c>
      <c r="AY199" s="114">
        <f t="shared" si="37"/>
        <v>-4</v>
      </c>
      <c r="AZ199" s="115">
        <f t="shared" si="44"/>
        <v>-21.176470588235293</v>
      </c>
      <c r="BA199" s="122">
        <f>BA203+AY199*(BA203-BA193)/10</f>
        <v>67</v>
      </c>
      <c r="BB199" s="116">
        <v>9.3107537381636976E-2</v>
      </c>
      <c r="BC199" s="116">
        <v>8.11470209884807E-2</v>
      </c>
      <c r="BD199" s="105">
        <f>(BC199-BC203)/BC203*100</f>
        <v>20.64284623003368</v>
      </c>
    </row>
    <row r="200" spans="2:56">
      <c r="B200" s="114">
        <f t="shared" si="30"/>
        <v>-3</v>
      </c>
      <c r="C200" s="115">
        <f>IF(ISERROR((D200-D203)/D203*100),"error",(D200-D203)/D203*100)</f>
        <v>-30</v>
      </c>
      <c r="D200" s="115">
        <f>D203+B200*(D203-D193)/10</f>
        <v>49000000</v>
      </c>
      <c r="E200" s="116">
        <v>6.3202440308172389E-2</v>
      </c>
      <c r="F200" s="116">
        <v>5.5083507677671263E-2</v>
      </c>
      <c r="G200" s="105">
        <f>(F200-F203)/F203*100</f>
        <v>-18.106283316161019</v>
      </c>
      <c r="I200" s="114">
        <f t="shared" si="31"/>
        <v>-3</v>
      </c>
      <c r="J200" s="115">
        <f t="shared" si="38"/>
        <v>-30</v>
      </c>
      <c r="K200" s="120">
        <f>K203+I200*(K203-K193)/10</f>
        <v>15.435</v>
      </c>
      <c r="L200" s="116">
        <v>6.2794181518180323E-2</v>
      </c>
      <c r="M200" s="116">
        <v>5.4727693470445191E-2</v>
      </c>
      <c r="N200" s="105">
        <f>(M200-M203)/M203*100</f>
        <v>-18.635279182749027</v>
      </c>
      <c r="P200" s="114">
        <f t="shared" si="32"/>
        <v>-3</v>
      </c>
      <c r="Q200" s="115" t="str">
        <f t="shared" si="39"/>
        <v>error</v>
      </c>
      <c r="R200" s="121">
        <f>R203+P200*(R203-R193)/10</f>
        <v>0</v>
      </c>
      <c r="S200" s="116">
        <v>0.10386132870246118</v>
      </c>
      <c r="T200" s="116">
        <v>9.0519389268825412E-2</v>
      </c>
      <c r="U200" s="105">
        <f>(T200-T203)/T203*100</f>
        <v>0</v>
      </c>
      <c r="W200" s="114">
        <f t="shared" si="33"/>
        <v>-3</v>
      </c>
      <c r="X200" s="115">
        <f t="shared" si="40"/>
        <v>-30</v>
      </c>
      <c r="Y200" s="115">
        <f>Y203+W200*(Y203-Y193)/10</f>
        <v>52.5</v>
      </c>
      <c r="Z200" s="116">
        <v>8.9596670042501145E-2</v>
      </c>
      <c r="AA200" s="116">
        <v>7.8087156731853777E-2</v>
      </c>
      <c r="AB200" s="105">
        <f>(AA200-AA203)/AA203*100</f>
        <v>16.093686833912145</v>
      </c>
      <c r="AD200" s="114">
        <f t="shared" si="34"/>
        <v>-3</v>
      </c>
      <c r="AE200" s="115">
        <f t="shared" si="41"/>
        <v>-24.000000000000004</v>
      </c>
      <c r="AF200" s="122">
        <f>AF203+AD200*(AF203-AF193)/10</f>
        <v>3.8</v>
      </c>
      <c r="AG200" s="116">
        <v>7.4962656926251078E-2</v>
      </c>
      <c r="AH200" s="116">
        <v>6.5333016703183533E-2</v>
      </c>
      <c r="AI200" s="105">
        <f>(AH200-AH203)/AH203*100</f>
        <v>-2.8681399285713285</v>
      </c>
      <c r="AK200" s="114">
        <f t="shared" si="35"/>
        <v>-3</v>
      </c>
      <c r="AL200" s="115">
        <f t="shared" si="42"/>
        <v>-27.999999999999996</v>
      </c>
      <c r="AM200" s="122">
        <f>AM203+AK200*(AM203-AM193)/10</f>
        <v>10.8</v>
      </c>
      <c r="AN200" s="116">
        <v>7.2299952591080699E-2</v>
      </c>
      <c r="AO200" s="116">
        <v>6.1738847325762986E-2</v>
      </c>
      <c r="AP200" s="105">
        <f>(AO200-AO203)/AO203*100</f>
        <v>-8.2116610861304782</v>
      </c>
      <c r="AR200" s="114">
        <f t="shared" si="36"/>
        <v>-3</v>
      </c>
      <c r="AS200" s="115">
        <f t="shared" si="43"/>
        <v>-22.5</v>
      </c>
      <c r="AT200" s="123">
        <f>AT203+AR200*(AT203-AT193)/10</f>
        <v>15.5</v>
      </c>
      <c r="AU200" s="116">
        <v>8.1110602033005935E-2</v>
      </c>
      <c r="AV200" s="116">
        <v>7.0691201922592595E-2</v>
      </c>
      <c r="AW200" s="105">
        <f>(AV200-AV203)/AV203*100</f>
        <v>5.0979777134918445</v>
      </c>
      <c r="AY200" s="114">
        <f t="shared" si="37"/>
        <v>-3</v>
      </c>
      <c r="AZ200" s="115">
        <f t="shared" si="44"/>
        <v>-15.882352941176469</v>
      </c>
      <c r="BA200" s="122">
        <f>BA203+AY200*(BA203-BA193)/10</f>
        <v>71.5</v>
      </c>
      <c r="BB200" s="116">
        <v>8.8372692719238977E-2</v>
      </c>
      <c r="BC200" s="116">
        <v>7.7020410512016926E-2</v>
      </c>
      <c r="BD200" s="105">
        <f>(BC200-BC203)/BC203*100</f>
        <v>14.507734588240478</v>
      </c>
    </row>
    <row r="201" spans="2:56">
      <c r="B201" s="114">
        <f>B202-1</f>
        <v>-2</v>
      </c>
      <c r="C201" s="115">
        <f>IF(ISERROR((D201-D203)/D203*100),"error",(D201-D203)/D203*100)</f>
        <v>-20</v>
      </c>
      <c r="D201" s="115">
        <f>D203+B201*(D203-D193)/10</f>
        <v>56000000</v>
      </c>
      <c r="E201" s="116">
        <v>6.7860352770127932E-2</v>
      </c>
      <c r="F201" s="116">
        <v>5.9143068599828763E-2</v>
      </c>
      <c r="G201" s="105">
        <f>(F201-F203)/F203*100</f>
        <v>-12.070855544107321</v>
      </c>
      <c r="I201" s="114">
        <f>I202-1</f>
        <v>-2</v>
      </c>
      <c r="J201" s="115">
        <f t="shared" si="38"/>
        <v>-20</v>
      </c>
      <c r="K201" s="120">
        <f>K203+I201*(K203-K193)/10</f>
        <v>17.64</v>
      </c>
      <c r="L201" s="116">
        <v>6.7588180243466522E-2</v>
      </c>
      <c r="M201" s="116">
        <v>5.8905859128344687E-2</v>
      </c>
      <c r="N201" s="105">
        <f>(M201-M203)/M203*100</f>
        <v>-12.42351945516603</v>
      </c>
      <c r="P201" s="114">
        <f>P202-1</f>
        <v>-2</v>
      </c>
      <c r="Q201" s="115" t="str">
        <f t="shared" si="39"/>
        <v>error</v>
      </c>
      <c r="R201" s="121">
        <f>R203+P201*(R203-R193)/10</f>
        <v>0</v>
      </c>
      <c r="S201" s="116">
        <v>0.10386132870246118</v>
      </c>
      <c r="T201" s="116">
        <v>9.0519389268825412E-2</v>
      </c>
      <c r="U201" s="105">
        <f>(T201-T203)/T203*100</f>
        <v>0</v>
      </c>
      <c r="W201" s="114">
        <f>W202-1</f>
        <v>-2</v>
      </c>
      <c r="X201" s="115">
        <f t="shared" si="40"/>
        <v>-20</v>
      </c>
      <c r="Y201" s="115">
        <f>Y203+W201*(Y203-Y193)/10</f>
        <v>60</v>
      </c>
      <c r="Z201" s="116">
        <v>8.5456505926347126E-2</v>
      </c>
      <c r="AA201" s="116">
        <v>7.4478834635950439E-2</v>
      </c>
      <c r="AB201" s="105">
        <f>(AA201-AA203)/AA203*100</f>
        <v>10.729124555941457</v>
      </c>
      <c r="AD201" s="114">
        <f>AD202-1</f>
        <v>-2</v>
      </c>
      <c r="AE201" s="115">
        <f t="shared" si="41"/>
        <v>-15.999999999999998</v>
      </c>
      <c r="AF201" s="122">
        <f>AF203+AD201*(AF203-AF193)/10</f>
        <v>4.2</v>
      </c>
      <c r="AG201" s="116">
        <v>7.568289110387906E-2</v>
      </c>
      <c r="AH201" s="116">
        <v>6.5960730200631562E-2</v>
      </c>
      <c r="AI201" s="105">
        <f>(AH201-AH203)/AH203*100</f>
        <v>-1.9349061261882516</v>
      </c>
      <c r="AK201" s="114">
        <f>AK202-1</f>
        <v>-2</v>
      </c>
      <c r="AL201" s="115">
        <f t="shared" si="42"/>
        <v>-18.666666666666671</v>
      </c>
      <c r="AM201" s="122">
        <f>AM203+AK201*(AM203-AM193)/10</f>
        <v>12.2</v>
      </c>
      <c r="AN201" s="116">
        <v>7.3844147372616811E-2</v>
      </c>
      <c r="AO201" s="116">
        <v>6.3514142595620673E-2</v>
      </c>
      <c r="AP201" s="105">
        <f>(AO201-AO203)/AO203*100</f>
        <v>-5.5722952579659317</v>
      </c>
      <c r="AR201" s="114">
        <f>AR202-1</f>
        <v>-2</v>
      </c>
      <c r="AS201" s="115">
        <f t="shared" si="43"/>
        <v>-15</v>
      </c>
      <c r="AT201" s="123">
        <f>AT203+AR201*(AT203-AT193)/10</f>
        <v>17</v>
      </c>
      <c r="AU201" s="116">
        <v>7.956769052752867E-2</v>
      </c>
      <c r="AV201" s="116">
        <v>6.9346491538887139E-2</v>
      </c>
      <c r="AW201" s="105">
        <f>(AV201-AV203)/AV203*100</f>
        <v>3.0987707670244409</v>
      </c>
      <c r="AY201" s="114">
        <f>AY202-1</f>
        <v>-2</v>
      </c>
      <c r="AZ201" s="115">
        <f t="shared" si="44"/>
        <v>-10.588235294117647</v>
      </c>
      <c r="BA201" s="122">
        <f>BA203+AY201*(BA203-BA193)/10</f>
        <v>76</v>
      </c>
      <c r="BB201" s="116">
        <v>8.4198553345809168E-2</v>
      </c>
      <c r="BC201" s="116">
        <v>7.3382477591976483E-2</v>
      </c>
      <c r="BD201" s="105">
        <f>(BC201-BC203)/BC203*100</f>
        <v>9.0991493250806688</v>
      </c>
    </row>
    <row r="202" spans="2:56">
      <c r="B202" s="114">
        <v>-1</v>
      </c>
      <c r="C202" s="115">
        <f>IF(ISERROR((D202-D203)/D203*100),"error",(D202-D203)/D203*100)</f>
        <v>-10</v>
      </c>
      <c r="D202" s="115">
        <f>D203+B202*(D203-D193)/10</f>
        <v>63000000</v>
      </c>
      <c r="E202" s="116">
        <v>7.2518265232083448E-2</v>
      </c>
      <c r="F202" s="116">
        <v>6.3202629521986228E-2</v>
      </c>
      <c r="G202" s="105">
        <f>(F202-F203)/F203*100</f>
        <v>-6.0354277720536693</v>
      </c>
      <c r="I202" s="114">
        <v>-1</v>
      </c>
      <c r="J202" s="115">
        <f t="shared" si="38"/>
        <v>-10.000000000000007</v>
      </c>
      <c r="K202" s="120">
        <f>K203+I202*(K203-K193)/10</f>
        <v>19.844999999999999</v>
      </c>
      <c r="L202" s="116">
        <v>7.238217896875275E-2</v>
      </c>
      <c r="M202" s="116">
        <v>6.3084024786244211E-2</v>
      </c>
      <c r="N202" s="105">
        <f>(M202-M203)/M203*100</f>
        <v>-6.2117597275829946</v>
      </c>
      <c r="P202" s="114">
        <v>-1</v>
      </c>
      <c r="Q202" s="115" t="str">
        <f t="shared" si="39"/>
        <v>error</v>
      </c>
      <c r="R202" s="121">
        <f>R203+P202*(R203-R193)/10</f>
        <v>0</v>
      </c>
      <c r="S202" s="116">
        <v>0.10386132870246118</v>
      </c>
      <c r="T202" s="116">
        <v>9.0519389268825412E-2</v>
      </c>
      <c r="U202" s="105">
        <f>(T202-T203)/T203*100</f>
        <v>0</v>
      </c>
      <c r="W202" s="114">
        <v>-1</v>
      </c>
      <c r="X202" s="115">
        <f t="shared" si="40"/>
        <v>-10</v>
      </c>
      <c r="Y202" s="115">
        <f>Y203+W202*(Y203-Y193)/10</f>
        <v>67.5</v>
      </c>
      <c r="Z202" s="116">
        <v>8.1316341810193024E-2</v>
      </c>
      <c r="AA202" s="116">
        <v>7.0870512540047059E-2</v>
      </c>
      <c r="AB202" s="105">
        <f>(AA202-AA203)/AA203*100</f>
        <v>5.3645622779707089</v>
      </c>
      <c r="AD202" s="114">
        <v>-1</v>
      </c>
      <c r="AE202" s="115">
        <f t="shared" si="41"/>
        <v>-8.0000000000000071</v>
      </c>
      <c r="AF202" s="122">
        <f>AF203+AD202*(AF203-AF193)/10</f>
        <v>4.5999999999999996</v>
      </c>
      <c r="AG202" s="116">
        <v>7.6420817075816619E-2</v>
      </c>
      <c r="AH202" s="116">
        <v>6.6603862819286458E-2</v>
      </c>
      <c r="AI202" s="105">
        <f>(AH202-AH203)/AH203*100</f>
        <v>-0.97874841795992673</v>
      </c>
      <c r="AK202" s="114">
        <v>-1</v>
      </c>
      <c r="AL202" s="115">
        <f t="shared" si="42"/>
        <v>-9.3333333333333357</v>
      </c>
      <c r="AM202" s="122">
        <f>AM203+AK202*(AM203-AM193)/10</f>
        <v>13.6</v>
      </c>
      <c r="AN202" s="116">
        <v>7.5471752440097628E-2</v>
      </c>
      <c r="AO202" s="116">
        <v>6.5357304387541088E-2</v>
      </c>
      <c r="AP202" s="105">
        <f>(AO202-AO203)/AO203*100</f>
        <v>-2.8320309582907313</v>
      </c>
      <c r="AR202" s="114">
        <v>-1</v>
      </c>
      <c r="AS202" s="115">
        <f t="shared" si="43"/>
        <v>-7.5</v>
      </c>
      <c r="AT202" s="123">
        <f>AT203+AR202*(AT203-AT193)/10</f>
        <v>18.5</v>
      </c>
      <c r="AU202" s="116">
        <v>7.8274980887804518E-2</v>
      </c>
      <c r="AV202" s="116">
        <v>6.8219842298485309E-2</v>
      </c>
      <c r="AW202" s="105">
        <f>(AV202-AV203)/AV203*100</f>
        <v>1.4237595416058604</v>
      </c>
      <c r="AY202" s="114">
        <v>-1</v>
      </c>
      <c r="AZ202" s="115">
        <f t="shared" si="44"/>
        <v>-5.2941176470588234</v>
      </c>
      <c r="BA202" s="122">
        <f>BA203+AY202*(BA203-BA193)/10</f>
        <v>80.5</v>
      </c>
      <c r="BB202" s="116">
        <v>8.0491087939595071E-2</v>
      </c>
      <c r="BC202" s="116">
        <v>7.0151270091567866E-2</v>
      </c>
      <c r="BD202" s="105">
        <f>(BC202-BC203)/BC203*100</f>
        <v>4.295250613081544</v>
      </c>
    </row>
    <row r="203" spans="2:56">
      <c r="B203" s="114" t="s">
        <v>198</v>
      </c>
      <c r="C203" s="115">
        <f>IF(ISERROR((D203-D203)/D203*100),"error",(D203-D203)/D203*100)</f>
        <v>0</v>
      </c>
      <c r="D203" s="124">
        <v>70000000</v>
      </c>
      <c r="E203" s="116">
        <v>7.7176177694038964E-2</v>
      </c>
      <c r="F203" s="116">
        <v>6.7262190444143707E-2</v>
      </c>
      <c r="G203" s="105">
        <f>(F203-F203)/F203*100</f>
        <v>0</v>
      </c>
      <c r="I203" s="114" t="s">
        <v>198</v>
      </c>
      <c r="J203" s="115">
        <f t="shared" si="38"/>
        <v>0</v>
      </c>
      <c r="K203" s="117">
        <v>22.05</v>
      </c>
      <c r="L203" s="116">
        <v>7.7176177694038964E-2</v>
      </c>
      <c r="M203" s="116">
        <v>6.7262190444143707E-2</v>
      </c>
      <c r="N203" s="105">
        <f>(M203-M203)/M203*100</f>
        <v>0</v>
      </c>
      <c r="P203" s="114" t="s">
        <v>198</v>
      </c>
      <c r="Q203" s="115" t="str">
        <f t="shared" si="39"/>
        <v>error</v>
      </c>
      <c r="R203" s="118">
        <v>0</v>
      </c>
      <c r="S203" s="116">
        <v>0.10386132870246118</v>
      </c>
      <c r="T203" s="116">
        <v>9.0519389268825412E-2</v>
      </c>
      <c r="U203" s="105">
        <f>(T203-T203)/T203*100</f>
        <v>0</v>
      </c>
      <c r="W203" s="114" t="s">
        <v>198</v>
      </c>
      <c r="X203" s="115">
        <f t="shared" si="40"/>
        <v>0</v>
      </c>
      <c r="Y203" s="124">
        <v>75</v>
      </c>
      <c r="Z203" s="116">
        <v>7.7176177694038964E-2</v>
      </c>
      <c r="AA203" s="116">
        <v>6.7262190444143707E-2</v>
      </c>
      <c r="AB203" s="105">
        <f>(AA203-AA203)/AA203*100</f>
        <v>0</v>
      </c>
      <c r="AD203" s="114" t="s">
        <v>198</v>
      </c>
      <c r="AE203" s="115">
        <f t="shared" si="41"/>
        <v>0</v>
      </c>
      <c r="AF203" s="119">
        <v>5</v>
      </c>
      <c r="AG203" s="116">
        <v>7.7176177694038964E-2</v>
      </c>
      <c r="AH203" s="116">
        <v>6.7262190444143707E-2</v>
      </c>
      <c r="AI203" s="105">
        <f>(AH203-AH203)/AH203*100</f>
        <v>0</v>
      </c>
      <c r="AK203" s="114" t="s">
        <v>198</v>
      </c>
      <c r="AL203" s="115">
        <f t="shared" si="42"/>
        <v>0</v>
      </c>
      <c r="AM203" s="119">
        <v>15</v>
      </c>
      <c r="AN203" s="116">
        <v>7.7176177694038964E-2</v>
      </c>
      <c r="AO203" s="116">
        <v>6.7262190444143707E-2</v>
      </c>
      <c r="AP203" s="105">
        <f>(AO203-AO203)/AO203*100</f>
        <v>0</v>
      </c>
      <c r="AR203" s="114" t="s">
        <v>198</v>
      </c>
      <c r="AS203" s="115">
        <f t="shared" si="43"/>
        <v>0</v>
      </c>
      <c r="AT203" s="119">
        <v>20</v>
      </c>
      <c r="AU203" s="116">
        <v>7.7176177694038964E-2</v>
      </c>
      <c r="AV203" s="116">
        <v>6.7262190444143707E-2</v>
      </c>
      <c r="AW203" s="105">
        <f>(AV203-AV203)/AV203*100</f>
        <v>0</v>
      </c>
      <c r="AY203" s="114" t="s">
        <v>198</v>
      </c>
      <c r="AZ203" s="115">
        <f t="shared" si="44"/>
        <v>0</v>
      </c>
      <c r="BA203" s="119">
        <v>85</v>
      </c>
      <c r="BB203" s="116">
        <v>7.7176177694038964E-2</v>
      </c>
      <c r="BC203" s="116">
        <v>6.7262190444143707E-2</v>
      </c>
      <c r="BD203" s="105">
        <f>(BC203-BC203)/BC203*100</f>
        <v>0</v>
      </c>
    </row>
    <row r="204" spans="2:56">
      <c r="B204" s="114">
        <v>1</v>
      </c>
      <c r="C204" s="115">
        <f>IF(ISERROR((D204-D203)/D203*100),"error",(D204-D203)/D203*100)</f>
        <v>18.571428571428573</v>
      </c>
      <c r="D204" s="115">
        <f>D203+B204*(D213-D203)/10</f>
        <v>83000000</v>
      </c>
      <c r="E204" s="116">
        <v>8.5826586551956352E-2</v>
      </c>
      <c r="F204" s="116">
        <v>7.4801375013864732E-2</v>
      </c>
      <c r="G204" s="105">
        <f>(F204-F203)/F203*100</f>
        <v>11.208651576671089</v>
      </c>
      <c r="I204" s="114">
        <v>1</v>
      </c>
      <c r="J204" s="115">
        <f t="shared" si="38"/>
        <v>35.351473922902485</v>
      </c>
      <c r="K204" s="120">
        <f>K203+I204*(K213-K203)/10</f>
        <v>29.844999999999999</v>
      </c>
      <c r="L204" s="116">
        <v>9.4123669786377276E-2</v>
      </c>
      <c r="M204" s="116">
        <v>8.2032621874223804E-2</v>
      </c>
      <c r="N204" s="105">
        <f>(M204-M203)/M203*100</f>
        <v>21.959486202498642</v>
      </c>
      <c r="P204" s="114">
        <v>1</v>
      </c>
      <c r="Q204" s="115" t="str">
        <f t="shared" si="39"/>
        <v>error</v>
      </c>
      <c r="R204" s="121">
        <f>R203+P204*(R213-R203)/10</f>
        <v>5.0000000000000001E-3</v>
      </c>
      <c r="S204" s="116">
        <v>9.0780372325783648E-2</v>
      </c>
      <c r="T204" s="116">
        <v>7.9118801609667735E-2</v>
      </c>
      <c r="U204" s="105">
        <f>(T204-T203)/T203*100</f>
        <v>-12.594636078796437</v>
      </c>
      <c r="W204" s="114">
        <v>1</v>
      </c>
      <c r="X204" s="115">
        <f t="shared" si="40"/>
        <v>3.3333333333333335</v>
      </c>
      <c r="Y204" s="115">
        <f>Y203+W204*(Y213-Y203)/10</f>
        <v>77.5</v>
      </c>
      <c r="Z204" s="116">
        <v>7.5796122988654291E-2</v>
      </c>
      <c r="AA204" s="116">
        <v>6.6059416412175928E-2</v>
      </c>
      <c r="AB204" s="105">
        <f>(AA204-AA203)/AA203*100</f>
        <v>-1.7881874259902293</v>
      </c>
      <c r="AD204" s="114">
        <v>1</v>
      </c>
      <c r="AE204" s="115">
        <f t="shared" si="41"/>
        <v>20</v>
      </c>
      <c r="AF204" s="122">
        <f>AF203+AD204*(AF213-AF203)/10</f>
        <v>6</v>
      </c>
      <c r="AG204" s="116">
        <v>7.9139040192499566E-2</v>
      </c>
      <c r="AH204" s="116">
        <v>6.8972905267447565E-2</v>
      </c>
      <c r="AI204" s="105">
        <f>(AH204-AH203)/AH203*100</f>
        <v>2.5433528286957592</v>
      </c>
      <c r="AK204" s="114">
        <v>1</v>
      </c>
      <c r="AL204" s="115">
        <f t="shared" si="42"/>
        <v>23.333333333333332</v>
      </c>
      <c r="AM204" s="122">
        <f>AM203+AK204*(AM213-AM203)/10</f>
        <v>18.5</v>
      </c>
      <c r="AN204" s="116">
        <v>8.1730565366873204E-2</v>
      </c>
      <c r="AO204" s="116">
        <v>7.2255318401806753E-2</v>
      </c>
      <c r="AP204" s="105">
        <f>(AO204-AO203)/AO203*100</f>
        <v>7.4233799474750546</v>
      </c>
      <c r="AR204" s="114">
        <v>1</v>
      </c>
      <c r="AS204" s="115">
        <f t="shared" si="43"/>
        <v>15</v>
      </c>
      <c r="AT204" s="123">
        <f>AT203+AR204*(AT213-AT203)/10</f>
        <v>23</v>
      </c>
      <c r="AU204" s="116">
        <v>7.5408537773633516E-2</v>
      </c>
      <c r="AV204" s="116">
        <v>6.572162006976813E-2</v>
      </c>
      <c r="AW204" s="105">
        <f>(AV204-AV203)/AV203*100</f>
        <v>-2.2903957843224085</v>
      </c>
      <c r="AY204" s="114">
        <v>1</v>
      </c>
      <c r="AZ204" s="115">
        <f t="shared" si="44"/>
        <v>1.7647058823529411</v>
      </c>
      <c r="BA204" s="122">
        <f>BA203+AY204*(BA213-BA203)/10</f>
        <v>86.5</v>
      </c>
      <c r="BB204" s="116">
        <v>7.6147852935783578E-2</v>
      </c>
      <c r="BC204" s="116">
        <v>6.6365963424422525E-2</v>
      </c>
      <c r="BD204" s="105">
        <f>(BC204-BC203)/BC203*100</f>
        <v>-1.3324380514569072</v>
      </c>
    </row>
    <row r="205" spans="2:56">
      <c r="B205" s="114">
        <f>B204+1</f>
        <v>2</v>
      </c>
      <c r="C205" s="115">
        <f>IF(ISERROR((D205-D203)/D203*100),"error",(D205-D203)/D203*100)</f>
        <v>37.142857142857146</v>
      </c>
      <c r="D205" s="115">
        <f>D203+B205*(D213-D203)/10</f>
        <v>96000000</v>
      </c>
      <c r="E205" s="116">
        <v>9.447699540987374E-2</v>
      </c>
      <c r="F205" s="116">
        <v>8.2340559583585771E-2</v>
      </c>
      <c r="G205" s="105">
        <f>(F205-F203)/F203*100</f>
        <v>22.4173031533422</v>
      </c>
      <c r="I205" s="114">
        <f>I204+1</f>
        <v>2</v>
      </c>
      <c r="J205" s="115">
        <f t="shared" si="38"/>
        <v>70.702947845804985</v>
      </c>
      <c r="K205" s="120">
        <f>K203+I205*(K213-K203)/10</f>
        <v>37.64</v>
      </c>
      <c r="L205" s="116">
        <v>0.11107116187871562</v>
      </c>
      <c r="M205" s="116">
        <v>9.6803053304303915E-2</v>
      </c>
      <c r="N205" s="105">
        <f>(M205-M203)/M203*100</f>
        <v>43.918972404997305</v>
      </c>
      <c r="P205" s="114">
        <f>P204+1</f>
        <v>2</v>
      </c>
      <c r="Q205" s="115" t="str">
        <f t="shared" si="39"/>
        <v>error</v>
      </c>
      <c r="R205" s="121">
        <f>R203+P205*(R213-R203)/10</f>
        <v>0.01</v>
      </c>
      <c r="S205" s="116">
        <v>7.7699415949106093E-2</v>
      </c>
      <c r="T205" s="116">
        <v>6.7718213950510031E-2</v>
      </c>
      <c r="U205" s="105">
        <f>(T205-T203)/T203*100</f>
        <v>-25.189272157592907</v>
      </c>
      <c r="W205" s="114">
        <f>W204+1</f>
        <v>2</v>
      </c>
      <c r="X205" s="115">
        <f t="shared" si="40"/>
        <v>6.666666666666667</v>
      </c>
      <c r="Y205" s="115">
        <f>Y203+W205*(Y213-Y203)/10</f>
        <v>80</v>
      </c>
      <c r="Z205" s="116">
        <v>7.4416068283269576E-2</v>
      </c>
      <c r="AA205" s="116">
        <v>6.4856642380208121E-2</v>
      </c>
      <c r="AB205" s="105">
        <f>(AA205-AA203)/AA203*100</f>
        <v>-3.5763748519804994</v>
      </c>
      <c r="AD205" s="114">
        <f>AD204+1</f>
        <v>2</v>
      </c>
      <c r="AE205" s="115">
        <f t="shared" si="41"/>
        <v>40</v>
      </c>
      <c r="AF205" s="122">
        <f>AF203+AD205*(AF213-AF203)/10</f>
        <v>7</v>
      </c>
      <c r="AG205" s="116">
        <v>8.1204548849244704E-2</v>
      </c>
      <c r="AH205" s="116">
        <v>7.0773080409378047E-2</v>
      </c>
      <c r="AI205" s="105">
        <f>(AH205-AH203)/AH203*100</f>
        <v>5.2197080440754826</v>
      </c>
      <c r="AK205" s="114">
        <f>AK204+1</f>
        <v>2</v>
      </c>
      <c r="AL205" s="115">
        <f t="shared" si="42"/>
        <v>46.666666666666664</v>
      </c>
      <c r="AM205" s="122">
        <f>AM203+AK205*(AM213-AM203)/10</f>
        <v>22</v>
      </c>
      <c r="AN205" s="116">
        <v>8.66279440506494E-2</v>
      </c>
      <c r="AO205" s="116">
        <v>7.7510154327372308E-2</v>
      </c>
      <c r="AP205" s="105">
        <f>(AO205-AO203)/AO203*100</f>
        <v>15.235846194659358</v>
      </c>
      <c r="AR205" s="114">
        <f>AR204+1</f>
        <v>2</v>
      </c>
      <c r="AS205" s="115">
        <f t="shared" si="43"/>
        <v>30</v>
      </c>
      <c r="AT205" s="123">
        <f>AT203+AR205*(AT213-AT203)/10</f>
        <v>26</v>
      </c>
      <c r="AU205" s="116">
        <v>7.4048814757937009E-2</v>
      </c>
      <c r="AV205" s="116">
        <v>6.4536565935633061E-2</v>
      </c>
      <c r="AW205" s="105">
        <f>(AV205-AV203)/AV203*100</f>
        <v>-4.0522386953396596</v>
      </c>
      <c r="AY205" s="114">
        <f>AY204+1</f>
        <v>2</v>
      </c>
      <c r="AZ205" s="115">
        <f t="shared" si="44"/>
        <v>3.5294117647058822</v>
      </c>
      <c r="BA205" s="122">
        <f>BA203+AY205*(BA213-BA203)/10</f>
        <v>88</v>
      </c>
      <c r="BB205" s="116">
        <v>7.5154584703377839E-2</v>
      </c>
      <c r="BC205" s="116">
        <v>6.5500289598555486E-2</v>
      </c>
      <c r="BD205" s="105">
        <f>(BC205-BC203)/BC203*100</f>
        <v>-2.6194520784323103</v>
      </c>
    </row>
    <row r="206" spans="2:56">
      <c r="B206" s="114">
        <f t="shared" ref="B206:B213" si="45">B205+1</f>
        <v>3</v>
      </c>
      <c r="C206" s="115">
        <f>IF(ISERROR((D206-D203)/D203*100),"error",(D206-D203)/D203*100)</f>
        <v>55.714285714285715</v>
      </c>
      <c r="D206" s="115">
        <f>D203+B206*(D213-D203)/10</f>
        <v>109000000</v>
      </c>
      <c r="E206" s="116">
        <v>0.10312740426779113</v>
      </c>
      <c r="F206" s="116">
        <v>8.9879744153306809E-2</v>
      </c>
      <c r="G206" s="105">
        <f>(F206-F203)/F203*100</f>
        <v>33.625954730013305</v>
      </c>
      <c r="I206" s="114">
        <f t="shared" ref="I206:I213" si="46">I205+1</f>
        <v>3</v>
      </c>
      <c r="J206" s="115">
        <f t="shared" si="38"/>
        <v>106.0544217687075</v>
      </c>
      <c r="K206" s="120">
        <f>K203+I206*(K213-K203)/10</f>
        <v>45.435000000000002</v>
      </c>
      <c r="L206" s="116">
        <v>0.12801865397105397</v>
      </c>
      <c r="M206" s="116">
        <v>0.11157348473438405</v>
      </c>
      <c r="N206" s="105">
        <f>(M206-M203)/M203*100</f>
        <v>65.878458607496</v>
      </c>
      <c r="P206" s="114">
        <f t="shared" ref="P206:P213" si="47">P205+1</f>
        <v>3</v>
      </c>
      <c r="Q206" s="115" t="str">
        <f t="shared" si="39"/>
        <v>error</v>
      </c>
      <c r="R206" s="121">
        <f>R203+P206*(R213-R203)/10</f>
        <v>1.5000000000000003E-2</v>
      </c>
      <c r="S206" s="116">
        <v>6.4618459572428524E-2</v>
      </c>
      <c r="T206" s="116">
        <v>5.6317626291352334E-2</v>
      </c>
      <c r="U206" s="105">
        <f>(T206-T203)/T203*100</f>
        <v>-37.783908236389365</v>
      </c>
      <c r="W206" s="114">
        <f t="shared" ref="W206:W213" si="48">W205+1</f>
        <v>3</v>
      </c>
      <c r="X206" s="115">
        <f t="shared" si="40"/>
        <v>10</v>
      </c>
      <c r="Y206" s="115">
        <f>Y203+W206*(Y213-Y203)/10</f>
        <v>82.5</v>
      </c>
      <c r="Z206" s="116">
        <v>7.3036013577884945E-2</v>
      </c>
      <c r="AA206" s="116">
        <v>6.3653868348240383E-2</v>
      </c>
      <c r="AB206" s="105">
        <f>(AA206-AA203)/AA203*100</f>
        <v>-5.3645622779706672</v>
      </c>
      <c r="AD206" s="114">
        <f t="shared" ref="AD206:AD213" si="49">AD205+1</f>
        <v>3</v>
      </c>
      <c r="AE206" s="115">
        <f t="shared" si="41"/>
        <v>60</v>
      </c>
      <c r="AF206" s="122">
        <f>AF203+AD206*(AF213-AF203)/10</f>
        <v>8</v>
      </c>
      <c r="AG206" s="116">
        <v>8.3367713680170527E-2</v>
      </c>
      <c r="AH206" s="116">
        <v>7.2658366895016535E-2</v>
      </c>
      <c r="AI206" s="105">
        <f>(AH206-AH203)/AH203*100</f>
        <v>8.0225999409786617</v>
      </c>
      <c r="AK206" s="114">
        <f t="shared" ref="AK206:AK213" si="50">AK205+1</f>
        <v>3</v>
      </c>
      <c r="AL206" s="115">
        <f t="shared" si="42"/>
        <v>70</v>
      </c>
      <c r="AM206" s="122">
        <f>AM203+AK206*(AM213-AM203)/10</f>
        <v>25.5</v>
      </c>
      <c r="AN206" s="116">
        <v>9.1785586888953566E-2</v>
      </c>
      <c r="AO206" s="116">
        <v>8.2954351685055883E-2</v>
      </c>
      <c r="AP206" s="105">
        <f>(AO206-AO203)/AO203*100</f>
        <v>23.329839746957628</v>
      </c>
      <c r="AR206" s="114">
        <f t="shared" ref="AR206:AR213" si="51">AR205+1</f>
        <v>3</v>
      </c>
      <c r="AS206" s="115">
        <f t="shared" si="43"/>
        <v>45</v>
      </c>
      <c r="AT206" s="123">
        <f>AT203+AR206*(AT213-AT203)/10</f>
        <v>29</v>
      </c>
      <c r="AU206" s="116">
        <v>7.2970413745488072E-2</v>
      </c>
      <c r="AV206" s="116">
        <v>6.3596695415456969E-2</v>
      </c>
      <c r="AW206" s="105">
        <f>(AV206-AV203)/AV203*100</f>
        <v>-5.4495623833878284</v>
      </c>
      <c r="AY206" s="114">
        <f t="shared" ref="AY206:AY213" si="52">AY205+1</f>
        <v>3</v>
      </c>
      <c r="AZ206" s="115">
        <f t="shared" si="44"/>
        <v>5.2941176470588234</v>
      </c>
      <c r="BA206" s="122">
        <f>BA203+AY206*(BA213-BA203)/10</f>
        <v>89.5</v>
      </c>
      <c r="BB206" s="116">
        <v>7.4194610378203574E-2</v>
      </c>
      <c r="BC206" s="116">
        <v>6.4663632772438182E-2</v>
      </c>
      <c r="BD206" s="105">
        <f>(BC206-BC203)/BC203*100</f>
        <v>-3.8633259704252962</v>
      </c>
    </row>
    <row r="207" spans="2:56">
      <c r="B207" s="114">
        <f t="shared" si="45"/>
        <v>4</v>
      </c>
      <c r="C207" s="115">
        <f>IF(ISERROR((D207-D203)/D203*100),"error",(D207-D203)/D203*100)</f>
        <v>74.285714285714292</v>
      </c>
      <c r="D207" s="115">
        <f>D203+B207*(D213-D203)/10</f>
        <v>122000000</v>
      </c>
      <c r="E207" s="116">
        <v>0.11177781312570854</v>
      </c>
      <c r="F207" s="116">
        <v>9.7418928723027862E-2</v>
      </c>
      <c r="G207" s="105">
        <f>(F207-F203)/F203*100</f>
        <v>44.834606306684442</v>
      </c>
      <c r="I207" s="114">
        <f t="shared" si="46"/>
        <v>4</v>
      </c>
      <c r="J207" s="115">
        <f t="shared" si="38"/>
        <v>141.40589569161</v>
      </c>
      <c r="K207" s="120">
        <f>K203+I207*(K213-K203)/10</f>
        <v>53.230000000000004</v>
      </c>
      <c r="L207" s="116">
        <v>0.14496614606339228</v>
      </c>
      <c r="M207" s="116">
        <v>0.12634391616446414</v>
      </c>
      <c r="N207" s="105">
        <f>(M207-M203)/M203*100</f>
        <v>87.837944809994625</v>
      </c>
      <c r="P207" s="114">
        <f t="shared" si="47"/>
        <v>4</v>
      </c>
      <c r="Q207" s="115" t="str">
        <f t="shared" si="39"/>
        <v>error</v>
      </c>
      <c r="R207" s="121">
        <f>R203+P207*(R213-R203)/10</f>
        <v>0.02</v>
      </c>
      <c r="S207" s="116">
        <v>5.1537503195750969E-2</v>
      </c>
      <c r="T207" s="116">
        <v>4.4917038632194643E-2</v>
      </c>
      <c r="U207" s="105">
        <f>(T207-T203)/T203*100</f>
        <v>-50.378544315185827</v>
      </c>
      <c r="W207" s="114">
        <f t="shared" si="48"/>
        <v>4</v>
      </c>
      <c r="X207" s="115">
        <f t="shared" si="40"/>
        <v>13.333333333333334</v>
      </c>
      <c r="Y207" s="115">
        <f>Y203+W207*(Y213-Y203)/10</f>
        <v>85</v>
      </c>
      <c r="Z207" s="116">
        <v>7.1655958872500231E-2</v>
      </c>
      <c r="AA207" s="116">
        <v>6.2451094316272583E-2</v>
      </c>
      <c r="AB207" s="105">
        <f>(AA207-AA203)/AA203*100</f>
        <v>-7.1527497039609269</v>
      </c>
      <c r="AD207" s="114">
        <f t="shared" si="49"/>
        <v>4</v>
      </c>
      <c r="AE207" s="115">
        <f t="shared" si="41"/>
        <v>80</v>
      </c>
      <c r="AF207" s="122">
        <f>AF203+AD207*(AF213-AF203)/10</f>
        <v>9</v>
      </c>
      <c r="AG207" s="116">
        <v>8.5623254421244049E-2</v>
      </c>
      <c r="AH207" s="116">
        <v>7.4624162758632248E-2</v>
      </c>
      <c r="AI207" s="105">
        <f>(AH207-AH203)/AH203*100</f>
        <v>10.945186687909185</v>
      </c>
      <c r="AK207" s="114">
        <f t="shared" si="50"/>
        <v>4</v>
      </c>
      <c r="AL207" s="115">
        <f t="shared" si="42"/>
        <v>93.333333333333329</v>
      </c>
      <c r="AM207" s="122">
        <f>AM203+AK207*(AM213-AM203)/10</f>
        <v>29</v>
      </c>
      <c r="AN207" s="116">
        <v>9.713695516187483E-2</v>
      </c>
      <c r="AO207" s="116">
        <v>8.8531551568882524E-2</v>
      </c>
      <c r="AP207" s="105">
        <f>(AO207-AO203)/AO203*100</f>
        <v>31.621570728359572</v>
      </c>
      <c r="AR207" s="114">
        <f t="shared" si="51"/>
        <v>4</v>
      </c>
      <c r="AS207" s="115">
        <f t="shared" si="43"/>
        <v>60</v>
      </c>
      <c r="AT207" s="123">
        <f>AT203+AR207*(AT213-AT203)/10</f>
        <v>32</v>
      </c>
      <c r="AU207" s="116">
        <v>7.2094212922873324E-2</v>
      </c>
      <c r="AV207" s="116">
        <v>6.2833050617813926E-2</v>
      </c>
      <c r="AW207" s="105">
        <f>(AV207-AV203)/AV203*100</f>
        <v>-6.584887879926919</v>
      </c>
      <c r="AY207" s="114">
        <f t="shared" si="52"/>
        <v>4</v>
      </c>
      <c r="AZ207" s="115">
        <f t="shared" si="44"/>
        <v>7.0588235294117645</v>
      </c>
      <c r="BA207" s="122">
        <f>BA203+AY207*(BA213-BA203)/10</f>
        <v>91</v>
      </c>
      <c r="BB207" s="116">
        <v>7.3266283558254833E-2</v>
      </c>
      <c r="BC207" s="116">
        <v>6.385455803948957E-2</v>
      </c>
      <c r="BD207" s="105">
        <f>(BC207-BC203)/BC203*100</f>
        <v>-5.0661930308141319</v>
      </c>
    </row>
    <row r="208" spans="2:56">
      <c r="B208" s="114">
        <f t="shared" si="45"/>
        <v>5</v>
      </c>
      <c r="C208" s="115">
        <f>IF(ISERROR((D208-D203)/D203*100),"error",(D208-D203)/D203*100)</f>
        <v>92.857142857142861</v>
      </c>
      <c r="D208" s="115">
        <f>D203+B208*(D213-D203)/10</f>
        <v>135000000</v>
      </c>
      <c r="E208" s="116">
        <v>0.12042822198362593</v>
      </c>
      <c r="F208" s="116">
        <v>0.1049581132927489</v>
      </c>
      <c r="G208" s="105">
        <f>(F208-F203)/F203*100</f>
        <v>56.043257883355544</v>
      </c>
      <c r="I208" s="114">
        <f t="shared" si="46"/>
        <v>5</v>
      </c>
      <c r="J208" s="115">
        <f t="shared" si="38"/>
        <v>176.7573696145125</v>
      </c>
      <c r="K208" s="120">
        <f>K203+I208*(K213-K203)/10</f>
        <v>61.025000000000006</v>
      </c>
      <c r="L208" s="116">
        <v>0.16191363815573065</v>
      </c>
      <c r="M208" s="116">
        <v>0.14111434759454425</v>
      </c>
      <c r="N208" s="105">
        <f>(M208-M203)/M203*100</f>
        <v>109.79743101249329</v>
      </c>
      <c r="P208" s="114">
        <f t="shared" si="47"/>
        <v>5</v>
      </c>
      <c r="Q208" s="115" t="str">
        <f t="shared" si="39"/>
        <v>error</v>
      </c>
      <c r="R208" s="121">
        <f>R203+P208*(R213-R203)/10</f>
        <v>2.5000000000000001E-2</v>
      </c>
      <c r="S208" s="116">
        <v>3.8456546819073407E-2</v>
      </c>
      <c r="T208" s="116">
        <v>3.3516450973036946E-2</v>
      </c>
      <c r="U208" s="105">
        <f>(T208-T203)/T203*100</f>
        <v>-62.97318039398229</v>
      </c>
      <c r="W208" s="114">
        <f t="shared" si="48"/>
        <v>5</v>
      </c>
      <c r="X208" s="115">
        <f t="shared" si="40"/>
        <v>16.666666666666664</v>
      </c>
      <c r="Y208" s="115">
        <f>Y203+W208*(Y213-Y203)/10</f>
        <v>87.5</v>
      </c>
      <c r="Z208" s="116">
        <v>7.0275904167115558E-2</v>
      </c>
      <c r="AA208" s="116">
        <v>6.1248320284304818E-2</v>
      </c>
      <c r="AB208" s="105">
        <f>(AA208-AA203)/AA203*100</f>
        <v>-8.940937129951136</v>
      </c>
      <c r="AD208" s="114">
        <f t="shared" si="49"/>
        <v>5</v>
      </c>
      <c r="AE208" s="115">
        <f t="shared" si="41"/>
        <v>100</v>
      </c>
      <c r="AF208" s="122">
        <f>AF203+AD208*(AF213-AF203)/10</f>
        <v>10</v>
      </c>
      <c r="AG208" s="116">
        <v>8.7965707829257181E-2</v>
      </c>
      <c r="AH208" s="116">
        <v>7.6665706560671065E-2</v>
      </c>
      <c r="AI208" s="105">
        <f>(AH208-AH203)/AH203*100</f>
        <v>13.980389360552101</v>
      </c>
      <c r="AK208" s="114">
        <f t="shared" si="50"/>
        <v>5</v>
      </c>
      <c r="AL208" s="115">
        <f t="shared" si="42"/>
        <v>116.66666666666667</v>
      </c>
      <c r="AM208" s="122">
        <f>AM203+AK208*(AM213-AM203)/10</f>
        <v>32.5</v>
      </c>
      <c r="AN208" s="116">
        <v>0.10263065693583566</v>
      </c>
      <c r="AO208" s="116">
        <v>9.4199768114511265E-2</v>
      </c>
      <c r="AP208" s="105">
        <f>(AO208-AO203)/AO203*100</f>
        <v>40.048617941958383</v>
      </c>
      <c r="AR208" s="114">
        <f t="shared" si="51"/>
        <v>5</v>
      </c>
      <c r="AS208" s="115">
        <f t="shared" si="43"/>
        <v>75</v>
      </c>
      <c r="AT208" s="123">
        <f>AT203+AR208*(AT213-AT203)/10</f>
        <v>35</v>
      </c>
      <c r="AU208" s="116">
        <v>7.1368217955563945E-2</v>
      </c>
      <c r="AV208" s="116">
        <v>6.220031635690966E-2</v>
      </c>
      <c r="AW208" s="105">
        <f>(AV208-AV203)/AV203*100</f>
        <v>-7.5255861484879238</v>
      </c>
      <c r="AY208" s="114">
        <f t="shared" si="52"/>
        <v>5</v>
      </c>
      <c r="AZ208" s="115">
        <f t="shared" si="44"/>
        <v>8.8235294117647065</v>
      </c>
      <c r="BA208" s="122">
        <f>BA203+AY208*(BA213-BA203)/10</f>
        <v>92.5</v>
      </c>
      <c r="BB208" s="116">
        <v>7.2368064635169288E-2</v>
      </c>
      <c r="BC208" s="116">
        <v>6.3071723568150106E-2</v>
      </c>
      <c r="BD208" s="105">
        <f>(BC208-BC203)/BC203*100</f>
        <v>-6.2300481865417021</v>
      </c>
    </row>
    <row r="209" spans="2:56">
      <c r="B209" s="114">
        <f t="shared" si="45"/>
        <v>6</v>
      </c>
      <c r="C209" s="115">
        <f>IF(ISERROR((D209-D203)/D203*100),"error",(D209-D203)/D203*100)</f>
        <v>111.42857142857143</v>
      </c>
      <c r="D209" s="115">
        <f>D203+B209*(D213-D203)/10</f>
        <v>148000000</v>
      </c>
      <c r="E209" s="116">
        <v>0.12907863084154333</v>
      </c>
      <c r="F209" s="116">
        <v>0.11249729786246995</v>
      </c>
      <c r="G209" s="105">
        <f>(F209-F203)/F203*100</f>
        <v>67.251909460026681</v>
      </c>
      <c r="I209" s="114">
        <f t="shared" si="46"/>
        <v>6</v>
      </c>
      <c r="J209" s="115">
        <f t="shared" si="38"/>
        <v>212.108843537415</v>
      </c>
      <c r="K209" s="120">
        <f>K203+I209*(K213-K203)/10</f>
        <v>68.820000000000007</v>
      </c>
      <c r="L209" s="116">
        <v>0.17886113024806896</v>
      </c>
      <c r="M209" s="116">
        <v>0.15588477902462436</v>
      </c>
      <c r="N209" s="105">
        <f>(M209-M203)/M203*100</f>
        <v>131.75691721499194</v>
      </c>
      <c r="P209" s="114">
        <f t="shared" si="47"/>
        <v>6</v>
      </c>
      <c r="Q209" s="115" t="str">
        <f t="shared" si="39"/>
        <v>error</v>
      </c>
      <c r="R209" s="121">
        <f>R203+P209*(R213-R203)/10</f>
        <v>3.0000000000000006E-2</v>
      </c>
      <c r="S209" s="116">
        <v>2.5375590442395832E-2</v>
      </c>
      <c r="T209" s="116">
        <v>2.2115863313879242E-2</v>
      </c>
      <c r="U209" s="105">
        <f>(T209-T203)/T203*100</f>
        <v>-75.567816472778745</v>
      </c>
      <c r="W209" s="114">
        <f t="shared" si="48"/>
        <v>6</v>
      </c>
      <c r="X209" s="115">
        <f t="shared" si="40"/>
        <v>20</v>
      </c>
      <c r="Y209" s="115">
        <f>Y203+W209*(Y213-Y203)/10</f>
        <v>90</v>
      </c>
      <c r="Z209" s="116">
        <v>6.8895849461730843E-2</v>
      </c>
      <c r="AA209" s="116">
        <v>6.0045546252337011E-2</v>
      </c>
      <c r="AB209" s="105">
        <f>(AA209-AA203)/AA203*100</f>
        <v>-10.729124555941407</v>
      </c>
      <c r="AD209" s="114">
        <f t="shared" si="49"/>
        <v>6</v>
      </c>
      <c r="AE209" s="115">
        <f t="shared" si="41"/>
        <v>120</v>
      </c>
      <c r="AF209" s="122">
        <f>AF203+AD209*(AF213-AF203)/10</f>
        <v>11</v>
      </c>
      <c r="AG209" s="116">
        <v>9.0389525626974623E-2</v>
      </c>
      <c r="AH209" s="116">
        <v>7.8778162750951772E-2</v>
      </c>
      <c r="AI209" s="105">
        <f>(AH209-AH203)/AH203*100</f>
        <v>17.121018852889176</v>
      </c>
      <c r="AK209" s="114">
        <f t="shared" si="50"/>
        <v>6</v>
      </c>
      <c r="AL209" s="115">
        <f t="shared" si="42"/>
        <v>140</v>
      </c>
      <c r="AM209" s="122">
        <f>AM203+AK209*(AM213-AM203)/10</f>
        <v>36</v>
      </c>
      <c r="AN209" s="116">
        <v>0.10822796971933231</v>
      </c>
      <c r="AO209" s="116">
        <v>9.9928623927556581E-2</v>
      </c>
      <c r="AP209" s="105">
        <f>(AO209-AO203)/AO203*100</f>
        <v>48.565818727744144</v>
      </c>
      <c r="AR209" s="114">
        <f t="shared" si="51"/>
        <v>6</v>
      </c>
      <c r="AS209" s="115">
        <f t="shared" si="43"/>
        <v>90</v>
      </c>
      <c r="AT209" s="123">
        <f>AT203+AR209*(AT213-AT203)/10</f>
        <v>38</v>
      </c>
      <c r="AU209" s="116">
        <v>7.0756853772566575E-2</v>
      </c>
      <c r="AV209" s="116">
        <v>6.1667487505621871E-2</v>
      </c>
      <c r="AW209" s="105">
        <f>(AV209-AV203)/AV203*100</f>
        <v>-8.3177531114866454</v>
      </c>
      <c r="AY209" s="114">
        <f t="shared" si="52"/>
        <v>6</v>
      </c>
      <c r="AZ209" s="115">
        <f t="shared" si="44"/>
        <v>10.588235294117647</v>
      </c>
      <c r="BA209" s="122">
        <f>BA203+AY209*(BA213-BA203)/10</f>
        <v>94</v>
      </c>
      <c r="BB209" s="116">
        <v>7.1498512273458797E-2</v>
      </c>
      <c r="BC209" s="116">
        <v>6.2313873175683161E-2</v>
      </c>
      <c r="BD209" s="105">
        <f>(BC209-BC203)/BC203*100</f>
        <v>-7.3567590287886313</v>
      </c>
    </row>
    <row r="210" spans="2:56">
      <c r="B210" s="114">
        <f t="shared" si="45"/>
        <v>7</v>
      </c>
      <c r="C210" s="115">
        <f>IF(ISERROR((D210-D203)/D203*100),"error",(D210-D203)/D203*100)</f>
        <v>130</v>
      </c>
      <c r="D210" s="115">
        <f>D203+B210*(D213-D203)/10</f>
        <v>161000000</v>
      </c>
      <c r="E210" s="116">
        <v>0.13772903969946074</v>
      </c>
      <c r="F210" s="116">
        <v>0.12003648243219099</v>
      </c>
      <c r="G210" s="105">
        <f>(F210-F203)/F203*100</f>
        <v>78.460561036697797</v>
      </c>
      <c r="I210" s="114">
        <f t="shared" si="46"/>
        <v>7</v>
      </c>
      <c r="J210" s="115">
        <f t="shared" si="38"/>
        <v>247.46031746031741</v>
      </c>
      <c r="K210" s="120">
        <f>K203+I210*(K213-K203)/10</f>
        <v>76.614999999999995</v>
      </c>
      <c r="L210" s="116">
        <v>0.1958086223404073</v>
      </c>
      <c r="M210" s="116">
        <v>0.17065521045470447</v>
      </c>
      <c r="N210" s="105">
        <f>(M210-M203)/M203*100</f>
        <v>153.71640341749062</v>
      </c>
      <c r="P210" s="114">
        <f t="shared" si="47"/>
        <v>7</v>
      </c>
      <c r="Q210" s="115" t="str">
        <f t="shared" si="39"/>
        <v>error</v>
      </c>
      <c r="R210" s="121">
        <f>R203+P210*(R213-R203)/10</f>
        <v>3.5000000000000003E-2</v>
      </c>
      <c r="S210" s="116">
        <v>1.2294634065718294E-2</v>
      </c>
      <c r="T210" s="116">
        <v>1.071527565472156E-2</v>
      </c>
      <c r="U210" s="105">
        <f>(T210-T203)/T203*100</f>
        <v>-88.162452551575186</v>
      </c>
      <c r="W210" s="114">
        <f t="shared" si="48"/>
        <v>7</v>
      </c>
      <c r="X210" s="115">
        <f t="shared" si="40"/>
        <v>23.333333333333332</v>
      </c>
      <c r="Y210" s="115">
        <f>Y203+W210*(Y213-Y203)/10</f>
        <v>92.5</v>
      </c>
      <c r="Z210" s="116">
        <v>6.751579475634617E-2</v>
      </c>
      <c r="AA210" s="116">
        <v>5.8842772220369231E-2</v>
      </c>
      <c r="AB210" s="105">
        <f>(AA210-AA203)/AA203*100</f>
        <v>-12.517311981931636</v>
      </c>
      <c r="AD210" s="114">
        <f t="shared" si="49"/>
        <v>7</v>
      </c>
      <c r="AE210" s="115">
        <f t="shared" si="41"/>
        <v>140</v>
      </c>
      <c r="AF210" s="122">
        <f>AF203+AD210*(AF213-AF203)/10</f>
        <v>12</v>
      </c>
      <c r="AG210" s="116">
        <v>9.2889161282958196E-2</v>
      </c>
      <c r="AH210" s="116">
        <v>8.0956697300826552E-2</v>
      </c>
      <c r="AI210" s="105">
        <f>(AH210-AH203)/AH203*100</f>
        <v>20.359888320995321</v>
      </c>
      <c r="AK210" s="114">
        <f t="shared" si="50"/>
        <v>7</v>
      </c>
      <c r="AL210" s="115">
        <f t="shared" si="42"/>
        <v>163.33333333333334</v>
      </c>
      <c r="AM210" s="122">
        <f>AM203+AK210*(AM213-AM203)/10</f>
        <v>39.5</v>
      </c>
      <c r="AN210" s="116">
        <v>0.11390012306855402</v>
      </c>
      <c r="AO210" s="116">
        <v>0.10569653990710903</v>
      </c>
      <c r="AP210" s="105">
        <f>(AO210-AO203)/AO203*100</f>
        <v>57.141091018857345</v>
      </c>
      <c r="AR210" s="114">
        <f t="shared" si="51"/>
        <v>7</v>
      </c>
      <c r="AS210" s="115">
        <f t="shared" si="43"/>
        <v>105</v>
      </c>
      <c r="AT210" s="123">
        <f>AT203+AR210*(AT213-AT203)/10</f>
        <v>41</v>
      </c>
      <c r="AU210" s="116">
        <v>7.0234957518788305E-2</v>
      </c>
      <c r="AV210" s="116">
        <v>6.121263360818105E-2</v>
      </c>
      <c r="AW210" s="105">
        <f>(AV210-AV203)/AV203*100</f>
        <v>-8.9939932018514455</v>
      </c>
      <c r="AY210" s="114">
        <f t="shared" si="52"/>
        <v>7</v>
      </c>
      <c r="AZ210" s="115">
        <f t="shared" si="44"/>
        <v>12.352941176470589</v>
      </c>
      <c r="BA210" s="122">
        <f>BA203+AY210*(BA213-BA203)/10</f>
        <v>95.5</v>
      </c>
      <c r="BB210" s="116">
        <v>7.0656275692744491E-2</v>
      </c>
      <c r="BC210" s="116">
        <v>6.1579829601827785E-2</v>
      </c>
      <c r="BD210" s="105">
        <f>(BC210-BC203)/BC203*100</f>
        <v>-8.448075813163868</v>
      </c>
    </row>
    <row r="211" spans="2:56">
      <c r="B211" s="114">
        <f t="shared" si="45"/>
        <v>8</v>
      </c>
      <c r="C211" s="115">
        <f>IF(ISERROR((D211-D203)/D203*100),"error",(D211-D203)/D203*100)</f>
        <v>148.57142857142858</v>
      </c>
      <c r="D211" s="115">
        <f>D203+B211*(D213-D203)/10</f>
        <v>174000000</v>
      </c>
      <c r="E211" s="116">
        <v>0.14637944855737811</v>
      </c>
      <c r="F211" s="116">
        <v>0.12757566700191197</v>
      </c>
      <c r="G211" s="105">
        <f>(F211-F203)/F203*100</f>
        <v>89.669212613368813</v>
      </c>
      <c r="I211" s="114">
        <f t="shared" si="46"/>
        <v>8</v>
      </c>
      <c r="J211" s="115">
        <f t="shared" si="38"/>
        <v>282.81179138321994</v>
      </c>
      <c r="K211" s="120">
        <f>K203+I211*(K213-K203)/10</f>
        <v>84.41</v>
      </c>
      <c r="L211" s="116">
        <v>0.21275611443274559</v>
      </c>
      <c r="M211" s="116">
        <v>0.18542564188478453</v>
      </c>
      <c r="N211" s="105">
        <f>(M211-M203)/M203*100</f>
        <v>175.67588961998919</v>
      </c>
      <c r="P211" s="114">
        <f t="shared" si="47"/>
        <v>8</v>
      </c>
      <c r="Q211" s="115" t="str">
        <f t="shared" si="39"/>
        <v>error</v>
      </c>
      <c r="R211" s="121">
        <f>R203+P211*(R213-R203)/10</f>
        <v>0.04</v>
      </c>
      <c r="S211" s="116">
        <v>-7.8632231095924403E-4</v>
      </c>
      <c r="T211" s="116">
        <v>-6.8531200443611791E-4</v>
      </c>
      <c r="U211" s="105">
        <f>(T211-T203)/T203*100</f>
        <v>-100.75708863037163</v>
      </c>
      <c r="W211" s="114">
        <f t="shared" si="48"/>
        <v>8</v>
      </c>
      <c r="X211" s="115">
        <f t="shared" si="40"/>
        <v>26.666666666666668</v>
      </c>
      <c r="Y211" s="115">
        <f>Y203+W211*(Y213-Y203)/10</f>
        <v>95</v>
      </c>
      <c r="Z211" s="116">
        <v>6.613574005096147E-2</v>
      </c>
      <c r="AA211" s="116">
        <v>5.7639998188401431E-2</v>
      </c>
      <c r="AB211" s="105">
        <f>(AA211-AA203)/AA203*100</f>
        <v>-14.305499407921896</v>
      </c>
      <c r="AD211" s="114">
        <f t="shared" si="49"/>
        <v>8</v>
      </c>
      <c r="AE211" s="115">
        <f t="shared" si="41"/>
        <v>160</v>
      </c>
      <c r="AF211" s="122">
        <f>AF203+AD211*(AF213-AF203)/10</f>
        <v>13</v>
      </c>
      <c r="AG211" s="116">
        <v>9.5459144614576177E-2</v>
      </c>
      <c r="AH211" s="116">
        <v>8.3196542722750261E-2</v>
      </c>
      <c r="AI211" s="105">
        <f>(AH211-AH203)/AH203*100</f>
        <v>23.689909848890302</v>
      </c>
      <c r="AK211" s="114">
        <f t="shared" si="50"/>
        <v>8</v>
      </c>
      <c r="AL211" s="115">
        <f t="shared" si="42"/>
        <v>186.66666666666666</v>
      </c>
      <c r="AM211" s="122">
        <f>AM203+AK211*(AM213-AM203)/10</f>
        <v>43</v>
      </c>
      <c r="AN211" s="116">
        <v>0.11962588319080399</v>
      </c>
      <c r="AO211" s="116">
        <v>0.11148835142705173</v>
      </c>
      <c r="AP211" s="105">
        <f>(AO211-AO203)/AO203*100</f>
        <v>65.751889272227288</v>
      </c>
      <c r="AR211" s="114">
        <f t="shared" si="51"/>
        <v>8</v>
      </c>
      <c r="AS211" s="115">
        <f t="shared" si="43"/>
        <v>120</v>
      </c>
      <c r="AT211" s="123">
        <f>AT203+AR211*(AT213-AT203)/10</f>
        <v>44</v>
      </c>
      <c r="AU211" s="116">
        <v>6.9784228935979825E-2</v>
      </c>
      <c r="AV211" s="116">
        <v>6.0819805242209445E-2</v>
      </c>
      <c r="AW211" s="105">
        <f>(AV211-AV203)/AV203*100</f>
        <v>-9.5780187344392065</v>
      </c>
      <c r="AY211" s="114">
        <f t="shared" si="52"/>
        <v>8</v>
      </c>
      <c r="AZ211" s="115">
        <f t="shared" si="44"/>
        <v>14.117647058823529</v>
      </c>
      <c r="BA211" s="122">
        <f>BA203+AY211*(BA213-BA203)/10</f>
        <v>97</v>
      </c>
      <c r="BB211" s="116">
        <v>6.9840087666072845E-2</v>
      </c>
      <c r="BC211" s="116">
        <v>6.0868488406545213E-2</v>
      </c>
      <c r="BD211" s="105">
        <f>(BC211-BC203)/BC203*100</f>
        <v>-9.5056405320430244</v>
      </c>
    </row>
    <row r="212" spans="2:56">
      <c r="B212" s="114">
        <f t="shared" si="45"/>
        <v>9</v>
      </c>
      <c r="C212" s="115">
        <f>IF(ISERROR((D212-D203)/D203*100),"error",(D212-D203)/D203*100)</f>
        <v>167.14285714285714</v>
      </c>
      <c r="D212" s="115">
        <f>D203+B212*(D213-D203)/10</f>
        <v>187000000</v>
      </c>
      <c r="E212" s="116">
        <v>0.15502985741529554</v>
      </c>
      <c r="F212" s="116">
        <v>0.13511485157163308</v>
      </c>
      <c r="G212" s="105">
        <f>(F212-F203)/F203*100</f>
        <v>100.87786419004003</v>
      </c>
      <c r="I212" s="114">
        <f t="shared" si="46"/>
        <v>9</v>
      </c>
      <c r="J212" s="115">
        <f t="shared" si="38"/>
        <v>318.16326530612241</v>
      </c>
      <c r="K212" s="120">
        <f>K203+I212*(K213-K203)/10</f>
        <v>92.204999999999998</v>
      </c>
      <c r="L212" s="116">
        <v>0.2297036065250839</v>
      </c>
      <c r="M212" s="116">
        <v>0.20019607331486466</v>
      </c>
      <c r="N212" s="105">
        <f>(M212-M203)/M203*100</f>
        <v>197.63537582248787</v>
      </c>
      <c r="P212" s="114">
        <f t="shared" si="47"/>
        <v>9</v>
      </c>
      <c r="Q212" s="115" t="str">
        <f t="shared" si="39"/>
        <v>error</v>
      </c>
      <c r="R212" s="121">
        <f>R203+P212*(R213-R203)/10</f>
        <v>4.4999999999999998E-2</v>
      </c>
      <c r="S212" s="116">
        <v>-1.3867278687636798E-2</v>
      </c>
      <c r="T212" s="116">
        <v>-1.2085899663593812E-2</v>
      </c>
      <c r="U212" s="105">
        <f>(T212-T203)/T203*100</f>
        <v>-113.3517247091681</v>
      </c>
      <c r="W212" s="114">
        <f t="shared" si="48"/>
        <v>9</v>
      </c>
      <c r="X212" s="115">
        <f t="shared" si="40"/>
        <v>30</v>
      </c>
      <c r="Y212" s="115">
        <f>Y203+W212*(Y213-Y203)/10</f>
        <v>97.5</v>
      </c>
      <c r="Z212" s="116">
        <v>6.4755685345576783E-2</v>
      </c>
      <c r="AA212" s="116">
        <v>5.6437224156433645E-2</v>
      </c>
      <c r="AB212" s="105">
        <f>(AA212-AA203)/AA203*100</f>
        <v>-16.093686833912134</v>
      </c>
      <c r="AD212" s="114">
        <f t="shared" si="49"/>
        <v>9</v>
      </c>
      <c r="AE212" s="115">
        <f t="shared" si="41"/>
        <v>180</v>
      </c>
      <c r="AF212" s="122">
        <f>AF203+AD212*(AF213-AF203)/10</f>
        <v>14</v>
      </c>
      <c r="AG212" s="116">
        <v>9.8094143898469363E-2</v>
      </c>
      <c r="AH212" s="116">
        <v>8.5493052202087902E-2</v>
      </c>
      <c r="AI212" s="105">
        <f>(AH212-AH203)/AH203*100</f>
        <v>27.104174927344332</v>
      </c>
      <c r="AK212" s="114">
        <f t="shared" si="50"/>
        <v>9</v>
      </c>
      <c r="AL212" s="115">
        <f t="shared" si="42"/>
        <v>210</v>
      </c>
      <c r="AM212" s="122">
        <f>AM203+AK212*(AM213-AM203)/10</f>
        <v>46.5</v>
      </c>
      <c r="AN212" s="116">
        <v>0.12538960670591606</v>
      </c>
      <c r="AO212" s="116">
        <v>0.11729346340626827</v>
      </c>
      <c r="AP212" s="105">
        <f>(AO212-AO203)/AO203*100</f>
        <v>74.382461575752345</v>
      </c>
      <c r="AR212" s="114">
        <f t="shared" si="51"/>
        <v>9</v>
      </c>
      <c r="AS212" s="115">
        <f t="shared" si="43"/>
        <v>135</v>
      </c>
      <c r="AT212" s="123">
        <f>AT203+AR212*(AT213-AT203)/10</f>
        <v>47</v>
      </c>
      <c r="AU212" s="116">
        <v>6.9391040172253296E-2</v>
      </c>
      <c r="AV212" s="116">
        <v>6.0477125178276803E-2</v>
      </c>
      <c r="AW212" s="105">
        <f>(AV212-AV203)/AV203*100</f>
        <v>-10.087487816058267</v>
      </c>
      <c r="AY212" s="114">
        <f t="shared" si="52"/>
        <v>9</v>
      </c>
      <c r="AZ212" s="115">
        <f t="shared" si="44"/>
        <v>15.882352941176469</v>
      </c>
      <c r="BA212" s="122">
        <f>BA203+AY212*(BA213-BA203)/10</f>
        <v>98.5</v>
      </c>
      <c r="BB212" s="116">
        <v>6.9048758157980075E-2</v>
      </c>
      <c r="BC212" s="116">
        <v>6.0178812425332198E-2</v>
      </c>
      <c r="BD212" s="105">
        <f>(BC212-BC203)/BC203*100</f>
        <v>-10.530995157961339</v>
      </c>
    </row>
    <row r="213" spans="2:56" ht="12.75" thickBot="1">
      <c r="B213" s="125">
        <f t="shared" si="45"/>
        <v>10</v>
      </c>
      <c r="C213" s="126">
        <f>IF(ISERROR((D213-D203)/D203*100),"error",(D213-D203)/D203*100)</f>
        <v>185.71428571428572</v>
      </c>
      <c r="D213" s="127">
        <v>200000000</v>
      </c>
      <c r="E213" s="128">
        <v>0.16368026627321289</v>
      </c>
      <c r="F213" s="128">
        <v>0.14265403614135408</v>
      </c>
      <c r="G213" s="106">
        <f>(F213-F203)/F203*100</f>
        <v>112.08651576671109</v>
      </c>
      <c r="I213" s="125">
        <f t="shared" si="46"/>
        <v>10</v>
      </c>
      <c r="J213" s="126">
        <f t="shared" si="38"/>
        <v>353.51473922902494</v>
      </c>
      <c r="K213" s="129">
        <v>100</v>
      </c>
      <c r="L213" s="128">
        <v>0.24665109861742221</v>
      </c>
      <c r="M213" s="128">
        <v>0.21496650474494472</v>
      </c>
      <c r="N213" s="106">
        <f>(M213-M203)/M203*100</f>
        <v>219.59486202498644</v>
      </c>
      <c r="P213" s="125">
        <f t="shared" si="47"/>
        <v>10</v>
      </c>
      <c r="Q213" s="126" t="str">
        <f t="shared" si="39"/>
        <v>error</v>
      </c>
      <c r="R213" s="130">
        <v>0.05</v>
      </c>
      <c r="S213" s="128">
        <v>-2.694823506431435E-2</v>
      </c>
      <c r="T213" s="128">
        <v>-2.3486487322751499E-2</v>
      </c>
      <c r="U213" s="106">
        <f>(T213-T203)/T203*100</f>
        <v>-125.94636078796452</v>
      </c>
      <c r="W213" s="125">
        <f t="shared" si="48"/>
        <v>10</v>
      </c>
      <c r="X213" s="126">
        <f t="shared" si="40"/>
        <v>33.333333333333329</v>
      </c>
      <c r="Y213" s="127">
        <v>100</v>
      </c>
      <c r="Z213" s="128">
        <v>6.337563064019211E-2</v>
      </c>
      <c r="AA213" s="128">
        <v>5.5234450124465879E-2</v>
      </c>
      <c r="AB213" s="106">
        <f>(AA213-AA203)/AA203*100</f>
        <v>-17.881874259902343</v>
      </c>
      <c r="AD213" s="125">
        <f t="shared" si="49"/>
        <v>10</v>
      </c>
      <c r="AE213" s="126">
        <f t="shared" si="41"/>
        <v>200</v>
      </c>
      <c r="AF213" s="131">
        <v>15</v>
      </c>
      <c r="AG213" s="128">
        <v>0.10078901574245806</v>
      </c>
      <c r="AH213" s="128">
        <v>8.7841743062518116E-2</v>
      </c>
      <c r="AI213" s="106">
        <f>(AH213-AH203)/AH203*100</f>
        <v>30.596019074734432</v>
      </c>
      <c r="AK213" s="125">
        <f t="shared" si="50"/>
        <v>10</v>
      </c>
      <c r="AL213" s="126">
        <f t="shared" si="42"/>
        <v>233.33333333333334</v>
      </c>
      <c r="AM213" s="131">
        <v>50</v>
      </c>
      <c r="AN213" s="128">
        <v>0.13117975371587465</v>
      </c>
      <c r="AO213" s="128">
        <v>0.12310449522188321</v>
      </c>
      <c r="AP213" s="106">
        <f>(AO213-AO203)/AO203*100</f>
        <v>83.021835014594757</v>
      </c>
      <c r="AR213" s="125">
        <f t="shared" si="51"/>
        <v>10</v>
      </c>
      <c r="AS213" s="126">
        <f t="shared" si="43"/>
        <v>150</v>
      </c>
      <c r="AT213" s="131">
        <v>50</v>
      </c>
      <c r="AU213" s="128">
        <v>6.9045034060173913E-2</v>
      </c>
      <c r="AV213" s="128">
        <v>6.017556672201603E-2</v>
      </c>
      <c r="AW213" s="106">
        <f>(AV213-AV203)/AV203*100</f>
        <v>-10.53582060788311</v>
      </c>
      <c r="AY213" s="125">
        <f t="shared" si="52"/>
        <v>10</v>
      </c>
      <c r="AZ213" s="126">
        <f t="shared" si="44"/>
        <v>17.647058823529413</v>
      </c>
      <c r="BA213" s="131">
        <v>100</v>
      </c>
      <c r="BB213" s="128">
        <v>6.8281168535130041E-2</v>
      </c>
      <c r="BC213" s="128">
        <v>5.9509826723555537E-2</v>
      </c>
      <c r="BD213" s="106">
        <f>(BC213-BC203)/BC203*100</f>
        <v>-11.525589145102161</v>
      </c>
    </row>
    <row r="214" spans="2:56">
      <c r="B214" s="4"/>
      <c r="I214" s="4"/>
      <c r="J214" s="4"/>
      <c r="K214" s="4"/>
      <c r="L214" s="4"/>
    </row>
    <row r="215" spans="2:56">
      <c r="B215" s="4"/>
      <c r="I215" s="4"/>
      <c r="J215" s="4"/>
      <c r="K215" s="4"/>
      <c r="L215" s="4"/>
    </row>
    <row r="216" spans="2:56">
      <c r="B216" s="4"/>
      <c r="I216" s="4"/>
      <c r="J216" s="4"/>
      <c r="K216" s="4"/>
      <c r="L216" s="4"/>
    </row>
    <row r="217" spans="2:56">
      <c r="B217" s="4"/>
      <c r="I217" s="4"/>
      <c r="J217" s="4"/>
      <c r="K217" s="4"/>
      <c r="L217" s="4"/>
    </row>
    <row r="218" spans="2:56">
      <c r="B218" s="4"/>
      <c r="L218" s="4"/>
    </row>
    <row r="219" spans="2:56">
      <c r="B219" s="4"/>
      <c r="C219" s="4"/>
      <c r="D219" s="4"/>
      <c r="E219" s="4"/>
      <c r="L219" s="4"/>
    </row>
    <row r="220" spans="2:56">
      <c r="B220" s="4"/>
      <c r="C220" s="4"/>
      <c r="D220" s="4"/>
      <c r="E220" s="4"/>
      <c r="L220" s="4"/>
    </row>
    <row r="222" spans="2:56">
      <c r="B222" s="4"/>
    </row>
    <row r="223" spans="2:56">
      <c r="B223" s="8"/>
    </row>
    <row r="224" spans="2:56">
      <c r="B224" s="4"/>
    </row>
    <row r="225" spans="2:4">
      <c r="B225" s="8"/>
    </row>
    <row r="226" spans="2:4">
      <c r="B226" s="8"/>
    </row>
    <row r="227" spans="2:4">
      <c r="B227" s="8"/>
    </row>
    <row r="228" spans="2:4">
      <c r="B228" s="4"/>
    </row>
    <row r="229" spans="2:4">
      <c r="B229" s="8"/>
    </row>
    <row r="234" spans="2:4">
      <c r="B234" s="4"/>
      <c r="D234" s="4"/>
    </row>
    <row r="235" spans="2:4">
      <c r="B235" s="4"/>
      <c r="D235" s="4"/>
    </row>
    <row r="236" spans="2:4">
      <c r="B236" s="4"/>
      <c r="D236" s="4"/>
    </row>
    <row r="237" spans="2:4">
      <c r="B237" s="4"/>
      <c r="D237" s="4"/>
    </row>
    <row r="238" spans="2:4">
      <c r="B238" s="4"/>
      <c r="D238" s="4"/>
    </row>
    <row r="239" spans="2:4">
      <c r="B239" s="4"/>
      <c r="D239" s="4"/>
    </row>
    <row r="240" spans="2:4">
      <c r="B240" s="4"/>
      <c r="D240" s="4"/>
    </row>
    <row r="241" spans="2:4">
      <c r="B241" s="4"/>
      <c r="D241" s="4"/>
    </row>
    <row r="242" spans="2:4">
      <c r="B242" s="4"/>
      <c r="D242" s="4"/>
    </row>
    <row r="243" spans="2:4">
      <c r="B243" s="4"/>
      <c r="D243" s="4"/>
    </row>
    <row r="244" spans="2:4">
      <c r="B244" s="4"/>
      <c r="D244" s="4"/>
    </row>
    <row r="245" spans="2:4">
      <c r="B245" s="4"/>
      <c r="D245" s="4"/>
    </row>
    <row r="246" spans="2:4">
      <c r="B246" s="4"/>
      <c r="D246" s="4"/>
    </row>
    <row r="247" spans="2:4">
      <c r="B247" s="4"/>
      <c r="D247" s="4"/>
    </row>
    <row r="248" spans="2:4">
      <c r="B248" s="4"/>
      <c r="D248" s="4"/>
    </row>
    <row r="249" spans="2:4">
      <c r="B249" s="4"/>
      <c r="D249" s="4"/>
    </row>
    <row r="250" spans="2:4">
      <c r="B250" s="8"/>
      <c r="D250" s="4"/>
    </row>
    <row r="251" spans="2:4">
      <c r="B251" s="4"/>
      <c r="D251" s="4"/>
    </row>
  </sheetData>
  <sheetProtection selectLockedCells="1"/>
  <mergeCells count="7">
    <mergeCell ref="AD189:AI189"/>
    <mergeCell ref="AK189:AP189"/>
    <mergeCell ref="AY189:BD189"/>
    <mergeCell ref="B189:G189"/>
    <mergeCell ref="I189:N189"/>
    <mergeCell ref="P189:U189"/>
    <mergeCell ref="W189:AB189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22" unlockedFormula="1"/>
    <ignoredError sqref="B6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CHP_EconomicExample</vt:lpstr>
      <vt:lpstr>SensitivityDiagram_COE</vt:lpstr>
      <vt:lpstr>SensitivityDiagram_Relative</vt:lpstr>
      <vt:lpstr>AggregateFractionOfHeatRecovered</vt:lpstr>
      <vt:lpstr>AggregateSalesPriceForHeat</vt:lpstr>
      <vt:lpstr>AnnualAshDisposal</vt:lpstr>
      <vt:lpstr>AnnualFuelConsumption</vt:lpstr>
      <vt:lpstr>AnnualHeatSales</vt:lpstr>
      <vt:lpstr>AnnualHours</vt:lpstr>
      <vt:lpstr>AnnualNetGeneration</vt:lpstr>
      <vt:lpstr>CapacityFactor</vt:lpstr>
      <vt:lpstr>CapitalCost</vt:lpstr>
      <vt:lpstr>CapitalCostPerNEC</vt:lpstr>
      <vt:lpstr>EscalationHeatSales</vt:lpstr>
      <vt:lpstr>FuelAshConcentration</vt:lpstr>
      <vt:lpstr>FuelConsumptionRate</vt:lpstr>
      <vt:lpstr>FuelHeatingValue</vt:lpstr>
      <vt:lpstr>FuelPower</vt:lpstr>
      <vt:lpstr>GrossElectricalCapacity</vt:lpstr>
      <vt:lpstr>GrossStationElectricalEfficiency</vt:lpstr>
      <vt:lpstr>HeatIncomePerUnitNEE</vt:lpstr>
      <vt:lpstr>IncomeHeatSales</vt:lpstr>
      <vt:lpstr>NetElectricalCapacity</vt:lpstr>
      <vt:lpstr>NetStationElectricalEfficiency</vt:lpstr>
      <vt:lpstr>OverallCHPefficiencyGross</vt:lpstr>
      <vt:lpstr>OverallCHPefficiencyNet</vt:lpstr>
      <vt:lpstr>ParasiticLoad</vt:lpstr>
      <vt:lpstr>CHP_EconomicExample!Print_Area</vt:lpstr>
      <vt:lpstr>RecoveredHeat</vt:lpstr>
      <vt:lpstr>TotalHeatProductionRate</vt:lpstr>
      <vt:lpstr>TotalIncomeFromHeatSales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2020-03-24T23:39:15Z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-1365171762</vt:i4>
  </property>
  <property fmtid="{D5CDD505-2E9C-101B-9397-08002B2CF9AE}" pid="3" name="_EmailSubject">
    <vt:lpwstr/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