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21D28065-B858-422A-A5D3-A4AE7DBB863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AggregateFractionOfHeatRecovered">Gasifier_EconomicExample!$B$77</definedName>
    <definedName name="AggregateSalesPriceForHeat">Gasifier_EconomicExample!$B$80</definedName>
    <definedName name="AnnualBiomassConsumptionDryMass">Gasifier_EconomicExample!$B$68</definedName>
    <definedName name="AnnualBiomassConsumptionWetMass">Gasifier_EconomicExample!$B$69</definedName>
    <definedName name="AnnualCapacityPayment">Gasifier_EconomicExample!$B$109</definedName>
    <definedName name="AnnualCharProduction">Gasifier_EconomicExample!$B$73</definedName>
    <definedName name="AnnualCleanGasConsumption">Gasifier_EconomicExample!$B$62</definedName>
    <definedName name="AnnualDebtPayment">Gasifier_EconomicExample!$B$135</definedName>
    <definedName name="AnnualDebtReserveInterest">Gasifier_EconomicExample!$B$110</definedName>
    <definedName name="AnnualDualFuelConsumption">Gasifier_EconomicExample!$B$64</definedName>
    <definedName name="AnnualEquityRecovery">Gasifier_EconomicExample!$B$134</definedName>
    <definedName name="AnnualHeatSales">Gasifier_EconomicExample!$B$79</definedName>
    <definedName name="AnnualHours">Gasifier_EconomicExample!$B$40</definedName>
    <definedName name="AnnualIncomeFromChar">Gasifier_EconomicExample!$B$111</definedName>
    <definedName name="AnnualNetElectricityGeneration">Gasifier_EconomicExample!$B$41</definedName>
    <definedName name="AshContent">Gasifier_EconomicExample!$B$70</definedName>
    <definedName name="BiomassFeedRate">Gasifier_EconomicExample!$B$67</definedName>
    <definedName name="BiomassFuelCost">Gasifier_EconomicExample!$B$87</definedName>
    <definedName name="BiomassFuelCostCF">Gasifier_EconomicExample!$B$194</definedName>
    <definedName name="BiomassFuelCostKwh">Gasifier_EconomicExample!$C$87</definedName>
    <definedName name="BtuPerCubicFoot">Gasifier_EconomicExample!$C$12</definedName>
    <definedName name="BtuPerPound">Gasifier_EconomicExample!$C$14</definedName>
    <definedName name="CapacityFactor">Gasifier_EconomicExample!$B$39</definedName>
    <definedName name="CapacityIncome">Gasifier_EconomicExample!$B$199</definedName>
    <definedName name="CapitalRecoveryFactorDebt">Gasifier_EconomicExample!$B$133</definedName>
    <definedName name="CapitalRecoveryFactorEquity">Gasifier_EconomicExample!$B$132</definedName>
    <definedName name="CarbonConcentration">Gasifier_EconomicExample!$B$71</definedName>
    <definedName name="CarbonDioxide">Gasifier_EconomicExample!$B$50</definedName>
    <definedName name="CH4_HHV">Gasifier_EconomicExample!$I$23</definedName>
    <definedName name="CH4_HHV_KJL">Gasifier_EconomicExample!$J$23</definedName>
    <definedName name="CH4_LHV">Gasifier_EconomicExample!$K$23</definedName>
    <definedName name="CH4_LHV_KJL">Gasifier_EconomicExample!$L$23</definedName>
    <definedName name="CH4Density">Gasifier_EconomicExample!$H$23</definedName>
    <definedName name="CharIncome">Gasifier_EconomicExample!$B$201</definedName>
    <definedName name="CharProductionRate">Gasifier_EconomicExample!$B$72</definedName>
    <definedName name="CleanGasComposition">Gasifier_EconomicExample!$B$46</definedName>
    <definedName name="CleanGasDensity">Gasifier_EconomicExample!$B$54</definedName>
    <definedName name="CleanGasFlowRateMass">Gasifier_EconomicExample!$B$61</definedName>
    <definedName name="CleanGasFlowRateVolume">Gasifier_EconomicExample!$B$60</definedName>
    <definedName name="CleanGasHigherHeatingValue">Gasifier_EconomicExample!$B$55</definedName>
    <definedName name="CleanGasLowerHeatingValue">Gasifier_EconomicExample!$B$56</definedName>
    <definedName name="CleanGasMolecularMass">Gasifier_EconomicExample!$B$53</definedName>
    <definedName name="CleanGasPowerInput">Gasifier_EconomicExample!$B$58</definedName>
    <definedName name="CO">Gasifier_EconomicExample!$B$47</definedName>
    <definedName name="CO_HHV">Gasifier_EconomicExample!$I$19</definedName>
    <definedName name="CO_HHV_KJL">Gasifier_EconomicExample!$J$19</definedName>
    <definedName name="CO_LHV">Gasifier_EconomicExample!$K$19</definedName>
    <definedName name="CO_LHV_KJL">Gasifier_EconomicExample!$L$19</definedName>
    <definedName name="CODensity">Gasifier_EconomicExample!$H$19</definedName>
    <definedName name="CombinedTaxRate">Gasifier_EconomicExample!$B$103</definedName>
    <definedName name="ConstantCapitalRecoveryFactor">Gasifier_EconomicExample!$B$218</definedName>
    <definedName name="ConstantLACPerKwh">Gasifier_EconomicExample!$B$220</definedName>
    <definedName name="ConstantLevelAnnualRevenue">Gasifier_EconomicExample!$B$219</definedName>
    <definedName name="CostOfEquity">Gasifier_EconomicExample!$B$127</definedName>
    <definedName name="CostOfMoney">Gasifier_EconomicExample!$B$128</definedName>
    <definedName name="CubicFootPerPonds">Gasifier_EconomicExample!$C$20</definedName>
    <definedName name="CubicMeterPerKg">Gasifier_EconomicExample!$E$20</definedName>
    <definedName name="CurrentAnnualRevenueRequirements">Gasifier_EconomicExample!$B$213</definedName>
    <definedName name="CurrentCapitalRecoveryFactor">Gasifier_EconomicExample!$B$212</definedName>
    <definedName name="CurrentLACPerKwh">Gasifier_EconomicExample!$B$214</definedName>
    <definedName name="DebtInterest">Gasifier_EconomicExample!$B$191</definedName>
    <definedName name="DebtPrincipalPaid">Gasifier_EconomicExample!$B$192</definedName>
    <definedName name="DebtRatio">Gasifier_EconomicExample!$B$123</definedName>
    <definedName name="DebtReserve">Gasifier_EconomicExample!$B$136</definedName>
    <definedName name="DebtReserveCF">Gasifier_EconomicExample!$B$197</definedName>
    <definedName name="DentPrincipalRemaining">Gasifier_EconomicExample!$B$193</definedName>
    <definedName name="Depreciation">Gasifier_EconomicExample!$B$198</definedName>
    <definedName name="DollarPerKwh">Gasifier_EconomicExample!$E$24</definedName>
    <definedName name="DollarPerMetricTons">Gasifier_EconomicExample!$C$18</definedName>
    <definedName name="DollarPerMillionBtu">Gasifier_EconomicExample!$C$24</definedName>
    <definedName name="DollarPerUSTons">Gasifier_EconomicExample!$E$18</definedName>
    <definedName name="DualFuelCost">Gasifier_EconomicExample!$B$88</definedName>
    <definedName name="DualFuelCostCF">Gasifier_EconomicExample!$B$195</definedName>
    <definedName name="DualFuelFlowRate">Gasifier_EconomicExample!$B$63</definedName>
    <definedName name="DualFuelKwh">Gasifier_EconomicExample!$C$88</definedName>
    <definedName name="DualFuelPowerInput">Gasifier_EconomicExample!$B$59</definedName>
    <definedName name="EconomicLife">Gasifier_EconomicExample!$B$126</definedName>
    <definedName name="ElectricityCapacityPayment">Gasifier_EconomicExample!$B$106</definedName>
    <definedName name="EmissionControlSystemCapitalCost">Gasifier_EconomicExample!$B$31</definedName>
    <definedName name="EmissionControlSystemCapitalCostPerKwe">Gasifier_EconomicExample!$C$31</definedName>
    <definedName name="EnergyRevenueRequired">Gasifier_EconomicExample!$B$206</definedName>
    <definedName name="EquityInterest">Gasifier_EconomicExample!$B$187</definedName>
    <definedName name="EquityPrincipalPaid">Gasifier_EconomicExample!$B$188</definedName>
    <definedName name="EquityPrincipalRemaining">Gasifier_EconomicExample!$B$189</definedName>
    <definedName name="EquityRatio">Gasifier_EconomicExample!$B$124</definedName>
    <definedName name="EquityRecovery">Gasifier_EconomicExample!$B$186</definedName>
    <definedName name="EscalationBiomassFuel">Gasifier_EconomicExample!$B$115</definedName>
    <definedName name="EscalationCharSales">Gasifier_EconomicExample!$B$119</definedName>
    <definedName name="EscalationDualFuel">Gasifier_EconomicExample!$B$116</definedName>
    <definedName name="EscalationHeatSales">Gasifier_EconomicExample!$B$118</definedName>
    <definedName name="EscalationOther">Gasifier_EconomicExample!$B$120</definedName>
    <definedName name="EscalationProductionTaxCredit">Gasifier_EconomicExample!$B$117</definedName>
    <definedName name="FederalTaxRate">Gasifier_EconomicExample!$B$100</definedName>
    <definedName name="FractionOfInputEnergy">Gasifier_EconomicExample!$B$45</definedName>
    <definedName name="GasCleaningSystemCapitalCost">Gasifier_EconomicExample!$B$29</definedName>
    <definedName name="GasCleaningSystemCapitalCostPerKwe">Gasifier_EconomicExample!$C$29</definedName>
    <definedName name="GasifierSystemCapitalCost">Gasifier_EconomicExample!$B$28</definedName>
    <definedName name="GasifierSystemCapitalCostPerKwe">Gasifier_EconomicExample!$C$28</definedName>
    <definedName name="GasolineDensity">Gasifier_EconomicExample!$H$11</definedName>
    <definedName name="GasolineHigherHeatingValueKjPerL">Gasifier_EconomicExample!$J$11</definedName>
    <definedName name="GasolineHigherHeatingValueMjPerKg">Gasifier_EconomicExample!$I$11</definedName>
    <definedName name="GasolineLowerHeatingValueKjPerL">Gasifier_EconomicExample!$L$11</definedName>
    <definedName name="GasolineLowerHeatingValueMjPerKg">Gasifier_EconomicExample!$K$11</definedName>
    <definedName name="GeneralInflation">Gasifier_EconomicExample!$B$114</definedName>
    <definedName name="GrossElectricalCapacity">Gasifier_EconomicExample!$B$36</definedName>
    <definedName name="H2_HHV">Gasifier_EconomicExample!$I$21</definedName>
    <definedName name="H2_HHV_KJL">Gasifier_EconomicExample!$J$21</definedName>
    <definedName name="H2_LHV">Gasifier_EconomicExample!$K$21</definedName>
    <definedName name="H2_LHV_KJL">Gasifier_EconomicExample!$L$21</definedName>
    <definedName name="H2Density">Gasifier_EconomicExample!$H$21</definedName>
    <definedName name="HeatIncome">Gasifier_EconomicExample!$B$200</definedName>
    <definedName name="HeatIncomePerUnitNEE">Gasifier_EconomicExample!$B$82</definedName>
    <definedName name="HeatRecoverySystemCapitalCost">Gasifier_EconomicExample!$B$32</definedName>
    <definedName name="HeatRecoverySystemCapitalCostPerKwe">Gasifier_EconomicExample!$C$32</definedName>
    <definedName name="HeavyDieselDensity">Gasifier_EconomicExample!$H$15</definedName>
    <definedName name="HeavyDieselHHV">Gasifier_EconomicExample!$I$15</definedName>
    <definedName name="HeavyDieselHHVkJL">Gasifier_EconomicExample!$J$15</definedName>
    <definedName name="HeavyDieselLowerHeatingValueKjPerL">Gasifier_EconomicExample!$L$15</definedName>
    <definedName name="HeavyDieselLowerHeatingValueMjPerKg">Gasifier_EconomicExample!$K$15</definedName>
    <definedName name="HHVEfficiencyOfGasificationSystem">Gasifier_EconomicExample!$B$42</definedName>
    <definedName name="HigherHeatingValue">Gasifier_EconomicExample!$B$65</definedName>
    <definedName name="Hydrocarbons">Gasifier_EconomicExample!$B$49</definedName>
    <definedName name="HydrogenGas">Gasifier_EconomicExample!$B$48</definedName>
    <definedName name="Insurance">Gasifier_EconomicExample!$B$92</definedName>
    <definedName name="InsurancePropertyTaxKwh">Gasifier_EconomicExample!$C$92</definedName>
    <definedName name="InterestRateOnDebt">Gasifier_EconomicExample!$B$125</definedName>
    <definedName name="InterestRateOnDebtReserve">Gasifier_EconomicExample!$B$107</definedName>
    <definedName name="InterstOnDebtReserve">Gasifier_EconomicExample!$B$202</definedName>
    <definedName name="KjPerCubicMeter">Gasifier_EconomicExample!$E$12</definedName>
    <definedName name="KjPerKg">Gasifier_EconomicExample!$E$14</definedName>
    <definedName name="LaborCost">Gasifier_EconomicExample!$B$89</definedName>
    <definedName name="LaborCostKwh">Gasifier_EconomicExample!$C$89</definedName>
    <definedName name="LAC">Gasifier_EconomicExample!$E$237</definedName>
    <definedName name="LACCostOfMoney">Gasifier_EconomicExample!$B$209</definedName>
    <definedName name="LightDieselDensity">Gasifier_EconomicExample!$H$13</definedName>
    <definedName name="LightDieselHigherHeatingValueKjPerL">Gasifier_EconomicExample!$J$13</definedName>
    <definedName name="LightDieselHigherHeatingValueMjPerKg">Gasifier_EconomicExample!$I$13</definedName>
    <definedName name="LightDieselLowerHeatingValueKjPerL">Gasifier_EconomicExample!$L$13</definedName>
    <definedName name="LightDieselLowerHeatingValueMjPerKg">Gasifier_EconomicExample!$K$13</definedName>
    <definedName name="MaintenanceCost">Gasifier_EconomicExample!$B$90</definedName>
    <definedName name="MaintenanceCostKwh">Gasifier_EconomicExample!$C$90</definedName>
    <definedName name="Management">Gasifier_EconomicExample!$B$94</definedName>
    <definedName name="ManagementKwh">Gasifier_EconomicExample!$C$94</definedName>
    <definedName name="MetricTonsPerHour">Gasifier_EconomicExample!$E$16</definedName>
    <definedName name="MoistureContent">Gasifier_EconomicExample!$B$66</definedName>
    <definedName name="NaturalGasDensity">Gasifier_EconomicExample!$H$17</definedName>
    <definedName name="NaturalGasHigherHeatingValueKjPerL">Gasifier_EconomicExample!$J$17</definedName>
    <definedName name="NaturalGasHigherHeatingValueMjPerKg">Gasifier_EconomicExample!$I$17</definedName>
    <definedName name="NaturalGasLowerHeatingValueKjPerL">Gasifier_EconomicExample!$L$17</definedName>
    <definedName name="NaturalGasLowerHeatingValueMjPerKg">Gasifier_EconomicExample!$K$17</definedName>
    <definedName name="NetElectricalCapacity">Gasifier_EconomicExample!$B$37</definedName>
    <definedName name="NetHHVEfficiencyofPowerGeneration">Gasifier_EconomicExample!$B$43</definedName>
    <definedName name="NitrogenGas">Gasifier_EconomicExample!$B$52</definedName>
    <definedName name="NonFuelExpensesCF">Gasifier_EconomicExample!$B$196</definedName>
    <definedName name="OtherOperatingExpenses">Gasifier_EconomicExample!$B$95</definedName>
    <definedName name="OtherOperatingExpensesKwh">Gasifier_EconomicExample!$C$95</definedName>
    <definedName name="OverallCHPefficiencyGross">Gasifier_EconomicExample!$B$83</definedName>
    <definedName name="OverallCHPefficiencyNet">Gasifier_EconomicExample!$B$84</definedName>
    <definedName name="OverallNetSystemEfficiency">Gasifier_EconomicExample!$B$44</definedName>
    <definedName name="Oxygen">Gasifier_EconomicExample!$B$51</definedName>
    <definedName name="ParasiticLoad">Gasifier_EconomicExample!$B$38</definedName>
    <definedName name="PowerGenerationCapitalCost">Gasifier_EconomicExample!$B$30</definedName>
    <definedName name="PowerGenerationCapitalCostPerKwe">Gasifier_EconomicExample!$C$30</definedName>
    <definedName name="PresentWorth">Gasifier_EconomicExample!$B$210</definedName>
    <definedName name="_xlnm.Print_Area" localSheetId="0">Gasifier_EconomicExample!$A$242:$K$269</definedName>
    <definedName name="ProductionTaxCredit">Gasifier_EconomicExample!$B$102</definedName>
    <definedName name="RealCostOfMoney">Gasifier_EconomicExample!$B$217</definedName>
    <definedName name="RebtRecovery">Gasifier_EconomicExample!$B$190</definedName>
    <definedName name="RecoveredHeat">Gasifier_EconomicExample!$B$78</definedName>
    <definedName name="SalesPriceForChar">Gasifier_EconomicExample!$B$108</definedName>
    <definedName name="StateTaxRate">Gasifier_EconomicExample!$B$101</definedName>
    <definedName name="TaxCredit">Gasifier_EconomicExample!$B$204</definedName>
    <definedName name="Taxes">Gasifier_EconomicExample!$B$205</definedName>
    <definedName name="TaxWithoutCredit">Gasifier_EconomicExample!$B$203</definedName>
    <definedName name="TotalCostOfPlant">Gasifier_EconomicExample!$B$129</definedName>
    <definedName name="TotalDebtCost">Gasifier_EconomicExample!$B$131</definedName>
    <definedName name="TotalEquityCost">Gasifier_EconomicExample!$B$130</definedName>
    <definedName name="TotalExpensesIncludingFuel">Gasifier_EconomicExample!$B$97</definedName>
    <definedName name="TotalExpensesIncludingFuelKwh">Gasifier_EconomicExample!$C$97</definedName>
    <definedName name="TotalFacilityCapitalCost">Gasifier_EconomicExample!$B$33</definedName>
    <definedName name="TotalFacilityCapitalCostPerKwe">Gasifier_EconomicExample!$C$33</definedName>
    <definedName name="TotalFuelPowerInput">Gasifier_EconomicExample!$B$57</definedName>
    <definedName name="TotalHeatProductionRate">Gasifier_EconomicExample!$B$76</definedName>
    <definedName name="TotalIncomeFromHeatSales">Gasifier_EconomicExample!$B$81</definedName>
    <definedName name="TotalNonFuelExpenses">Gasifier_EconomicExample!$B$96</definedName>
    <definedName name="TotalNonFuelExpensesKwh">Gasifier_EconomicExample!$C$96</definedName>
    <definedName name="TotalPresentWorth">Gasifier_EconomicExample!$B$211</definedName>
    <definedName name="USTonsPerHour">Gasifier_EconomicExample!$C$16</definedName>
    <definedName name="Utilities">Gasifier_EconomicExample!$B$93</definedName>
    <definedName name="UtilitiesKwh">Gasifier_EconomicExample!$C$93</definedName>
    <definedName name="WasteTreatment">Gasifier_EconomicExample!$B$91</definedName>
    <definedName name="WasteTreatmentKwh">Gasifier_EconomicExample!$C$91</definedName>
    <definedName name="Year">Gasifier_EconomicExample!$C$185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65" i="1"/>
  <c r="C33" i="1" l="1"/>
  <c r="B209" i="1"/>
  <c r="B212" i="1" s="1"/>
  <c r="J11" i="1"/>
  <c r="L11" i="1"/>
  <c r="E12" i="1"/>
  <c r="J13" i="1"/>
  <c r="L13" i="1"/>
  <c r="E14" i="1"/>
  <c r="J15" i="1"/>
  <c r="L15" i="1"/>
  <c r="C16" i="1"/>
  <c r="J17" i="1"/>
  <c r="L17" i="1"/>
  <c r="E18" i="1"/>
  <c r="H19" i="1"/>
  <c r="J19" i="1" s="1"/>
  <c r="E20" i="1"/>
  <c r="H21" i="1"/>
  <c r="J21" i="1" s="1"/>
  <c r="H23" i="1"/>
  <c r="J23" i="1" s="1"/>
  <c r="E24" i="1"/>
  <c r="C28" i="1"/>
  <c r="C29" i="1"/>
  <c r="C30" i="1"/>
  <c r="C31" i="1"/>
  <c r="C32" i="1"/>
  <c r="B38" i="1"/>
  <c r="B40" i="1"/>
  <c r="B41" i="1" s="1"/>
  <c r="B44" i="1"/>
  <c r="B52" i="1"/>
  <c r="B53" i="1" s="1"/>
  <c r="B54" i="1" s="1"/>
  <c r="B57" i="1"/>
  <c r="B76" i="1" s="1"/>
  <c r="B78" i="1" s="1"/>
  <c r="B96" i="1"/>
  <c r="B196" i="1" s="1"/>
  <c r="B103" i="1"/>
  <c r="B109" i="1"/>
  <c r="C199" i="1" s="1"/>
  <c r="B124" i="1"/>
  <c r="B128" i="1" s="1"/>
  <c r="B132" i="1"/>
  <c r="B133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D160" i="1"/>
  <c r="E160" i="1"/>
  <c r="F160" i="1"/>
  <c r="C185" i="1"/>
  <c r="D185" i="1" s="1"/>
  <c r="E185" i="1" s="1"/>
  <c r="F185" i="1" s="1"/>
  <c r="I199" i="1"/>
  <c r="AW227" i="1"/>
  <c r="C231" i="1"/>
  <c r="G231" i="1"/>
  <c r="J231" i="1"/>
  <c r="N231" i="1"/>
  <c r="Q231" i="1"/>
  <c r="U231" i="1"/>
  <c r="X231" i="1"/>
  <c r="AB231" i="1"/>
  <c r="AE231" i="1"/>
  <c r="AI231" i="1"/>
  <c r="AL231" i="1"/>
  <c r="AP231" i="1"/>
  <c r="AS231" i="1"/>
  <c r="AW231" i="1"/>
  <c r="AZ231" i="1"/>
  <c r="BD231" i="1"/>
  <c r="G232" i="1"/>
  <c r="N232" i="1"/>
  <c r="U232" i="1"/>
  <c r="AB232" i="1"/>
  <c r="AI232" i="1"/>
  <c r="AP232" i="1"/>
  <c r="AW232" i="1"/>
  <c r="BD232" i="1"/>
  <c r="G233" i="1"/>
  <c r="N233" i="1"/>
  <c r="U233" i="1"/>
  <c r="AB233" i="1"/>
  <c r="AI233" i="1"/>
  <c r="AP233" i="1"/>
  <c r="AW233" i="1"/>
  <c r="BD233" i="1"/>
  <c r="G234" i="1"/>
  <c r="N234" i="1"/>
  <c r="U234" i="1"/>
  <c r="AB234" i="1"/>
  <c r="AI234" i="1"/>
  <c r="AP234" i="1"/>
  <c r="AW234" i="1"/>
  <c r="BD234" i="1"/>
  <c r="G235" i="1"/>
  <c r="N235" i="1"/>
  <c r="U235" i="1"/>
  <c r="AB235" i="1"/>
  <c r="AI235" i="1"/>
  <c r="AP235" i="1"/>
  <c r="AW235" i="1"/>
  <c r="BD235" i="1"/>
  <c r="G236" i="1"/>
  <c r="N236" i="1"/>
  <c r="U236" i="1"/>
  <c r="AB236" i="1"/>
  <c r="AI236" i="1"/>
  <c r="AP236" i="1"/>
  <c r="AW236" i="1"/>
  <c r="BD236" i="1"/>
  <c r="G237" i="1"/>
  <c r="N237" i="1"/>
  <c r="U237" i="1"/>
  <c r="AB237" i="1"/>
  <c r="AI237" i="1"/>
  <c r="AP237" i="1"/>
  <c r="AW237" i="1"/>
  <c r="BD237" i="1"/>
  <c r="G238" i="1"/>
  <c r="N238" i="1"/>
  <c r="U238" i="1"/>
  <c r="AB238" i="1"/>
  <c r="AI238" i="1"/>
  <c r="AP238" i="1"/>
  <c r="AW238" i="1"/>
  <c r="BD238" i="1"/>
  <c r="B239" i="1"/>
  <c r="D239" i="1" s="1"/>
  <c r="C239" i="1" s="1"/>
  <c r="G239" i="1"/>
  <c r="I239" i="1"/>
  <c r="K239" i="1" s="1"/>
  <c r="J239" i="1" s="1"/>
  <c r="N239" i="1"/>
  <c r="P239" i="1"/>
  <c r="R239" i="1" s="1"/>
  <c r="Q239" i="1" s="1"/>
  <c r="U239" i="1"/>
  <c r="W239" i="1"/>
  <c r="Y239" i="1" s="1"/>
  <c r="X239" i="1" s="1"/>
  <c r="AB239" i="1"/>
  <c r="AD239" i="1"/>
  <c r="AF239" i="1" s="1"/>
  <c r="AE239" i="1" s="1"/>
  <c r="AI239" i="1"/>
  <c r="AK239" i="1"/>
  <c r="AM239" i="1" s="1"/>
  <c r="AL239" i="1" s="1"/>
  <c r="AP239" i="1"/>
  <c r="AR239" i="1"/>
  <c r="AT239" i="1" s="1"/>
  <c r="AS239" i="1" s="1"/>
  <c r="AW239" i="1"/>
  <c r="AY239" i="1"/>
  <c r="BA239" i="1" s="1"/>
  <c r="AZ239" i="1" s="1"/>
  <c r="BD239" i="1"/>
  <c r="D240" i="1"/>
  <c r="C240" i="1" s="1"/>
  <c r="G240" i="1"/>
  <c r="K240" i="1"/>
  <c r="J240" i="1" s="1"/>
  <c r="N240" i="1"/>
  <c r="R240" i="1"/>
  <c r="Q240" i="1" s="1"/>
  <c r="U240" i="1"/>
  <c r="Y240" i="1"/>
  <c r="X240" i="1" s="1"/>
  <c r="AB240" i="1"/>
  <c r="AF240" i="1"/>
  <c r="AE240" i="1" s="1"/>
  <c r="AI240" i="1"/>
  <c r="AM240" i="1"/>
  <c r="AL240" i="1" s="1"/>
  <c r="AP240" i="1"/>
  <c r="AT240" i="1"/>
  <c r="AS240" i="1" s="1"/>
  <c r="AW240" i="1"/>
  <c r="BA240" i="1"/>
  <c r="AZ240" i="1" s="1"/>
  <c r="BD240" i="1"/>
  <c r="C241" i="1"/>
  <c r="G241" i="1"/>
  <c r="J241" i="1"/>
  <c r="N241" i="1"/>
  <c r="Q241" i="1"/>
  <c r="U241" i="1"/>
  <c r="X241" i="1"/>
  <c r="AB241" i="1"/>
  <c r="AE241" i="1"/>
  <c r="AI241" i="1"/>
  <c r="AL241" i="1"/>
  <c r="AP241" i="1"/>
  <c r="AS241" i="1"/>
  <c r="AW241" i="1"/>
  <c r="AZ241" i="1"/>
  <c r="BD241" i="1"/>
  <c r="D242" i="1"/>
  <c r="C242" i="1" s="1"/>
  <c r="G242" i="1"/>
  <c r="K242" i="1"/>
  <c r="J242" i="1" s="1"/>
  <c r="N242" i="1"/>
  <c r="R242" i="1"/>
  <c r="Q242" i="1" s="1"/>
  <c r="U242" i="1"/>
  <c r="Y242" i="1"/>
  <c r="X242" i="1" s="1"/>
  <c r="AB242" i="1"/>
  <c r="AF242" i="1"/>
  <c r="AE242" i="1" s="1"/>
  <c r="AI242" i="1"/>
  <c r="AM242" i="1"/>
  <c r="AL242" i="1" s="1"/>
  <c r="AP242" i="1"/>
  <c r="AT242" i="1"/>
  <c r="AS242" i="1" s="1"/>
  <c r="AW242" i="1"/>
  <c r="BA242" i="1"/>
  <c r="AZ242" i="1" s="1"/>
  <c r="BD242" i="1"/>
  <c r="B243" i="1"/>
  <c r="D243" i="1" s="1"/>
  <c r="C243" i="1"/>
  <c r="G243" i="1"/>
  <c r="I243" i="1"/>
  <c r="K243" i="1" s="1"/>
  <c r="J243" i="1" s="1"/>
  <c r="N243" i="1"/>
  <c r="P243" i="1"/>
  <c r="P244" i="1" s="1"/>
  <c r="R243" i="1"/>
  <c r="Q243" i="1" s="1"/>
  <c r="U243" i="1"/>
  <c r="W243" i="1"/>
  <c r="AB243" i="1"/>
  <c r="AD243" i="1"/>
  <c r="AF243" i="1" s="1"/>
  <c r="AE243" i="1" s="1"/>
  <c r="AI243" i="1"/>
  <c r="AK243" i="1"/>
  <c r="AM243" i="1"/>
  <c r="AL243" i="1" s="1"/>
  <c r="AP243" i="1"/>
  <c r="AR243" i="1"/>
  <c r="AW243" i="1"/>
  <c r="AY243" i="1"/>
  <c r="AY244" i="1" s="1"/>
  <c r="BA243" i="1"/>
  <c r="AZ243" i="1" s="1"/>
  <c r="BD243" i="1"/>
  <c r="G244" i="1"/>
  <c r="N244" i="1"/>
  <c r="U244" i="1"/>
  <c r="AB244" i="1"/>
  <c r="AI244" i="1"/>
  <c r="AK244" i="1"/>
  <c r="AK245" i="1" s="1"/>
  <c r="AM244" i="1"/>
  <c r="AL244" i="1" s="1"/>
  <c r="AP244" i="1"/>
  <c r="AW244" i="1"/>
  <c r="BD244" i="1"/>
  <c r="G245" i="1"/>
  <c r="N245" i="1"/>
  <c r="U245" i="1"/>
  <c r="AB245" i="1"/>
  <c r="AI245" i="1"/>
  <c r="AP245" i="1"/>
  <c r="AW245" i="1"/>
  <c r="BD245" i="1"/>
  <c r="G246" i="1"/>
  <c r="N246" i="1"/>
  <c r="U246" i="1"/>
  <c r="AB246" i="1"/>
  <c r="AI246" i="1"/>
  <c r="AP246" i="1"/>
  <c r="AW246" i="1"/>
  <c r="BD246" i="1"/>
  <c r="G247" i="1"/>
  <c r="N247" i="1"/>
  <c r="U247" i="1"/>
  <c r="AB247" i="1"/>
  <c r="AI247" i="1"/>
  <c r="AP247" i="1"/>
  <c r="AW247" i="1"/>
  <c r="BD247" i="1"/>
  <c r="G248" i="1"/>
  <c r="N248" i="1"/>
  <c r="U248" i="1"/>
  <c r="AB248" i="1"/>
  <c r="AI248" i="1"/>
  <c r="AP248" i="1"/>
  <c r="AW248" i="1"/>
  <c r="BD248" i="1"/>
  <c r="G249" i="1"/>
  <c r="N249" i="1"/>
  <c r="U249" i="1"/>
  <c r="AB249" i="1"/>
  <c r="AI249" i="1"/>
  <c r="AP249" i="1"/>
  <c r="AW249" i="1"/>
  <c r="BD249" i="1"/>
  <c r="G250" i="1"/>
  <c r="N250" i="1"/>
  <c r="U250" i="1"/>
  <c r="AB250" i="1"/>
  <c r="AI250" i="1"/>
  <c r="AP250" i="1"/>
  <c r="AW250" i="1"/>
  <c r="BD250" i="1"/>
  <c r="C251" i="1"/>
  <c r="G251" i="1"/>
  <c r="J251" i="1"/>
  <c r="N251" i="1"/>
  <c r="Q251" i="1"/>
  <c r="U251" i="1"/>
  <c r="X251" i="1"/>
  <c r="AB251" i="1"/>
  <c r="AE251" i="1"/>
  <c r="AI251" i="1"/>
  <c r="AL251" i="1"/>
  <c r="AP251" i="1"/>
  <c r="AS251" i="1"/>
  <c r="AW251" i="1"/>
  <c r="AZ251" i="1"/>
  <c r="BD251" i="1"/>
  <c r="R199" i="1" l="1"/>
  <c r="Q199" i="1"/>
  <c r="C196" i="1"/>
  <c r="J199" i="1"/>
  <c r="L21" i="1"/>
  <c r="L19" i="1"/>
  <c r="AK238" i="1"/>
  <c r="AM238" i="1" s="1"/>
  <c r="AL238" i="1" s="1"/>
  <c r="P245" i="1"/>
  <c r="R245" i="1" s="1"/>
  <c r="Q245" i="1" s="1"/>
  <c r="R244" i="1"/>
  <c r="Q244" i="1" s="1"/>
  <c r="I244" i="1"/>
  <c r="I245" i="1" s="1"/>
  <c r="N199" i="1"/>
  <c r="F199" i="1"/>
  <c r="U199" i="1"/>
  <c r="M199" i="1"/>
  <c r="E199" i="1"/>
  <c r="B199" i="1"/>
  <c r="BA244" i="1"/>
  <c r="AZ244" i="1" s="1"/>
  <c r="AY245" i="1"/>
  <c r="B55" i="1"/>
  <c r="AT243" i="1"/>
  <c r="AS243" i="1" s="1"/>
  <c r="AR244" i="1"/>
  <c r="AM245" i="1"/>
  <c r="AL245" i="1" s="1"/>
  <c r="AK246" i="1"/>
  <c r="Y243" i="1"/>
  <c r="X243" i="1" s="1"/>
  <c r="W244" i="1"/>
  <c r="B160" i="1"/>
  <c r="B244" i="1"/>
  <c r="I238" i="1"/>
  <c r="K238" i="1" s="1"/>
  <c r="J238" i="1" s="1"/>
  <c r="T199" i="1"/>
  <c r="P199" i="1"/>
  <c r="L199" i="1"/>
  <c r="H199" i="1"/>
  <c r="D199" i="1"/>
  <c r="L23" i="1"/>
  <c r="AD244" i="1"/>
  <c r="W238" i="1"/>
  <c r="Y238" i="1" s="1"/>
  <c r="X238" i="1" s="1"/>
  <c r="S199" i="1"/>
  <c r="O199" i="1"/>
  <c r="K199" i="1"/>
  <c r="G199" i="1"/>
  <c r="G185" i="1"/>
  <c r="G204" i="1" s="1"/>
  <c r="F196" i="1"/>
  <c r="W237" i="1"/>
  <c r="AY238" i="1"/>
  <c r="AR238" i="1"/>
  <c r="AD238" i="1"/>
  <c r="P238" i="1"/>
  <c r="B238" i="1"/>
  <c r="D196" i="1"/>
  <c r="E196" i="1"/>
  <c r="B58" i="1"/>
  <c r="B67" i="1" s="1"/>
  <c r="B59" i="1"/>
  <c r="B63" i="1" s="1"/>
  <c r="B64" i="1" s="1"/>
  <c r="B217" i="1"/>
  <c r="B218" i="1" s="1"/>
  <c r="B129" i="1"/>
  <c r="B79" i="1"/>
  <c r="B81" i="1" s="1"/>
  <c r="C95" i="1"/>
  <c r="C94" i="1"/>
  <c r="C93" i="1"/>
  <c r="E204" i="1"/>
  <c r="C91" i="1"/>
  <c r="F204" i="1"/>
  <c r="C204" i="1"/>
  <c r="C90" i="1"/>
  <c r="C89" i="1"/>
  <c r="D204" i="1"/>
  <c r="B204" i="1"/>
  <c r="C92" i="1"/>
  <c r="B68" i="1" l="1"/>
  <c r="I237" i="1"/>
  <c r="AK237" i="1"/>
  <c r="AK236" i="1" s="1"/>
  <c r="K244" i="1"/>
  <c r="J244" i="1" s="1"/>
  <c r="V199" i="1"/>
  <c r="P246" i="1"/>
  <c r="R246" i="1" s="1"/>
  <c r="Q246" i="1" s="1"/>
  <c r="B56" i="1"/>
  <c r="D244" i="1"/>
  <c r="C244" i="1" s="1"/>
  <c r="B245" i="1"/>
  <c r="AK247" i="1"/>
  <c r="AM246" i="1"/>
  <c r="AL246" i="1" s="1"/>
  <c r="AY246" i="1"/>
  <c r="BA245" i="1"/>
  <c r="AZ245" i="1" s="1"/>
  <c r="P247" i="1"/>
  <c r="AF244" i="1"/>
  <c r="AE244" i="1" s="1"/>
  <c r="AD245" i="1"/>
  <c r="K245" i="1"/>
  <c r="J245" i="1" s="1"/>
  <c r="I246" i="1"/>
  <c r="Y244" i="1"/>
  <c r="X244" i="1" s="1"/>
  <c r="W245" i="1"/>
  <c r="AT244" i="1"/>
  <c r="AS244" i="1" s="1"/>
  <c r="AR245" i="1"/>
  <c r="AF238" i="1"/>
  <c r="AE238" i="1" s="1"/>
  <c r="AD237" i="1"/>
  <c r="Y237" i="1"/>
  <c r="X237" i="1" s="1"/>
  <c r="W236" i="1"/>
  <c r="AT238" i="1"/>
  <c r="AS238" i="1" s="1"/>
  <c r="AR237" i="1"/>
  <c r="D238" i="1"/>
  <c r="C238" i="1" s="1"/>
  <c r="B237" i="1"/>
  <c r="BA238" i="1"/>
  <c r="AZ238" i="1" s="1"/>
  <c r="AY237" i="1"/>
  <c r="H185" i="1"/>
  <c r="G196" i="1"/>
  <c r="R238" i="1"/>
  <c r="Q238" i="1" s="1"/>
  <c r="P237" i="1"/>
  <c r="AM237" i="1"/>
  <c r="AL237" i="1" s="1"/>
  <c r="K237" i="1"/>
  <c r="J237" i="1" s="1"/>
  <c r="I236" i="1"/>
  <c r="B72" i="1"/>
  <c r="B73" i="1" s="1"/>
  <c r="B111" i="1" s="1"/>
  <c r="B201" i="1" s="1"/>
  <c r="G201" i="1" s="1"/>
  <c r="B60" i="1"/>
  <c r="B61" i="1" s="1"/>
  <c r="B62" i="1" s="1"/>
  <c r="B195" i="1"/>
  <c r="C88" i="1"/>
  <c r="B200" i="1"/>
  <c r="C200" i="1" s="1"/>
  <c r="B82" i="1"/>
  <c r="B83" i="1"/>
  <c r="B84" i="1"/>
  <c r="F198" i="1"/>
  <c r="Q198" i="1"/>
  <c r="E198" i="1"/>
  <c r="H198" i="1"/>
  <c r="C198" i="1"/>
  <c r="B131" i="1"/>
  <c r="U198" i="1"/>
  <c r="R198" i="1"/>
  <c r="P198" i="1"/>
  <c r="M198" i="1"/>
  <c r="D198" i="1"/>
  <c r="O198" i="1"/>
  <c r="J198" i="1"/>
  <c r="N198" i="1"/>
  <c r="I198" i="1"/>
  <c r="B130" i="1"/>
  <c r="S198" i="1"/>
  <c r="T198" i="1"/>
  <c r="B198" i="1"/>
  <c r="K198" i="1"/>
  <c r="L198" i="1"/>
  <c r="G198" i="1"/>
  <c r="C96" i="1"/>
  <c r="C87" i="1" l="1"/>
  <c r="C97" i="1" s="1"/>
  <c r="B97" i="1"/>
  <c r="B69" i="1"/>
  <c r="B194" i="1"/>
  <c r="D194" i="1" s="1"/>
  <c r="AT245" i="1"/>
  <c r="AS245" i="1" s="1"/>
  <c r="AR246" i="1"/>
  <c r="K246" i="1"/>
  <c r="J246" i="1" s="1"/>
  <c r="I247" i="1"/>
  <c r="R247" i="1"/>
  <c r="Q247" i="1" s="1"/>
  <c r="P248" i="1"/>
  <c r="AM247" i="1"/>
  <c r="AL247" i="1" s="1"/>
  <c r="AK248" i="1"/>
  <c r="Y245" i="1"/>
  <c r="X245" i="1" s="1"/>
  <c r="W246" i="1"/>
  <c r="AF245" i="1"/>
  <c r="AE245" i="1" s="1"/>
  <c r="AD246" i="1"/>
  <c r="D245" i="1"/>
  <c r="C245" i="1" s="1"/>
  <c r="B246" i="1"/>
  <c r="BA246" i="1"/>
  <c r="AZ246" i="1" s="1"/>
  <c r="AY247" i="1"/>
  <c r="K236" i="1"/>
  <c r="J236" i="1" s="1"/>
  <c r="I235" i="1"/>
  <c r="R237" i="1"/>
  <c r="Q237" i="1" s="1"/>
  <c r="P236" i="1"/>
  <c r="BA237" i="1"/>
  <c r="AZ237" i="1" s="1"/>
  <c r="AY236" i="1"/>
  <c r="Y236" i="1"/>
  <c r="X236" i="1" s="1"/>
  <c r="W235" i="1"/>
  <c r="AF237" i="1"/>
  <c r="AE237" i="1" s="1"/>
  <c r="AD236" i="1"/>
  <c r="AM236" i="1"/>
  <c r="AL236" i="1" s="1"/>
  <c r="AK235" i="1"/>
  <c r="D237" i="1"/>
  <c r="C237" i="1" s="1"/>
  <c r="B236" i="1"/>
  <c r="AT237" i="1"/>
  <c r="AS237" i="1" s="1"/>
  <c r="AR236" i="1"/>
  <c r="I185" i="1"/>
  <c r="I200" i="1" s="1"/>
  <c r="H204" i="1"/>
  <c r="H196" i="1"/>
  <c r="C201" i="1"/>
  <c r="E201" i="1"/>
  <c r="H195" i="1"/>
  <c r="F195" i="1"/>
  <c r="H201" i="1"/>
  <c r="F201" i="1"/>
  <c r="G195" i="1"/>
  <c r="D201" i="1"/>
  <c r="D195" i="1"/>
  <c r="E195" i="1"/>
  <c r="C195" i="1"/>
  <c r="G200" i="1"/>
  <c r="H194" i="1"/>
  <c r="D200" i="1"/>
  <c r="H200" i="1"/>
  <c r="F200" i="1"/>
  <c r="E200" i="1"/>
  <c r="B187" i="1"/>
  <c r="B134" i="1"/>
  <c r="V198" i="1"/>
  <c r="B191" i="1"/>
  <c r="B135" i="1"/>
  <c r="C194" i="1" l="1"/>
  <c r="E194" i="1"/>
  <c r="G194" i="1"/>
  <c r="F194" i="1"/>
  <c r="I194" i="1"/>
  <c r="AY248" i="1"/>
  <c r="BA247" i="1"/>
  <c r="AZ247" i="1" s="1"/>
  <c r="AF246" i="1"/>
  <c r="AE246" i="1" s="1"/>
  <c r="AD247" i="1"/>
  <c r="K247" i="1"/>
  <c r="J247" i="1" s="1"/>
  <c r="I248" i="1"/>
  <c r="D246" i="1"/>
  <c r="C246" i="1" s="1"/>
  <c r="B247" i="1"/>
  <c r="Y246" i="1"/>
  <c r="X246" i="1" s="1"/>
  <c r="W247" i="1"/>
  <c r="P249" i="1"/>
  <c r="R248" i="1"/>
  <c r="Q248" i="1" s="1"/>
  <c r="AT246" i="1"/>
  <c r="AS246" i="1" s="1"/>
  <c r="AR247" i="1"/>
  <c r="AK249" i="1"/>
  <c r="AM248" i="1"/>
  <c r="AL248" i="1" s="1"/>
  <c r="Y235" i="1"/>
  <c r="X235" i="1" s="1"/>
  <c r="W234" i="1"/>
  <c r="AT236" i="1"/>
  <c r="AS236" i="1" s="1"/>
  <c r="AR235" i="1"/>
  <c r="AM235" i="1"/>
  <c r="AL235" i="1" s="1"/>
  <c r="AK234" i="1"/>
  <c r="AF236" i="1"/>
  <c r="AE236" i="1" s="1"/>
  <c r="AD235" i="1"/>
  <c r="BA236" i="1"/>
  <c r="AZ236" i="1" s="1"/>
  <c r="AY235" i="1"/>
  <c r="K235" i="1"/>
  <c r="J235" i="1" s="1"/>
  <c r="I234" i="1"/>
  <c r="J185" i="1"/>
  <c r="I196" i="1"/>
  <c r="I204" i="1"/>
  <c r="D236" i="1"/>
  <c r="C236" i="1" s="1"/>
  <c r="B235" i="1"/>
  <c r="R236" i="1"/>
  <c r="Q236" i="1" s="1"/>
  <c r="P235" i="1"/>
  <c r="I195" i="1"/>
  <c r="I201" i="1"/>
  <c r="O186" i="1"/>
  <c r="Q186" i="1"/>
  <c r="M186" i="1"/>
  <c r="K186" i="1"/>
  <c r="L186" i="1"/>
  <c r="I186" i="1"/>
  <c r="J186" i="1"/>
  <c r="N186" i="1"/>
  <c r="T186" i="1"/>
  <c r="C186" i="1"/>
  <c r="E186" i="1"/>
  <c r="S186" i="1"/>
  <c r="R186" i="1"/>
  <c r="B186" i="1"/>
  <c r="G186" i="1"/>
  <c r="P186" i="1"/>
  <c r="H186" i="1"/>
  <c r="U186" i="1"/>
  <c r="F186" i="1"/>
  <c r="D186" i="1"/>
  <c r="R190" i="1"/>
  <c r="Q190" i="1"/>
  <c r="N190" i="1"/>
  <c r="O190" i="1"/>
  <c r="J190" i="1"/>
  <c r="T190" i="1"/>
  <c r="C190" i="1"/>
  <c r="M190" i="1"/>
  <c r="G190" i="1"/>
  <c r="L190" i="1"/>
  <c r="F190" i="1"/>
  <c r="I190" i="1"/>
  <c r="B190" i="1"/>
  <c r="B136" i="1"/>
  <c r="E190" i="1"/>
  <c r="K190" i="1"/>
  <c r="U190" i="1"/>
  <c r="S190" i="1"/>
  <c r="D190" i="1"/>
  <c r="P190" i="1"/>
  <c r="H190" i="1"/>
  <c r="AK250" i="1" l="1"/>
  <c r="AM249" i="1"/>
  <c r="AL249" i="1" s="1"/>
  <c r="P250" i="1"/>
  <c r="R249" i="1"/>
  <c r="Q249" i="1" s="1"/>
  <c r="D247" i="1"/>
  <c r="C247" i="1" s="1"/>
  <c r="B248" i="1"/>
  <c r="AT247" i="1"/>
  <c r="AS247" i="1" s="1"/>
  <c r="AR248" i="1"/>
  <c r="Y247" i="1"/>
  <c r="X247" i="1" s="1"/>
  <c r="W248" i="1"/>
  <c r="K248" i="1"/>
  <c r="J248" i="1" s="1"/>
  <c r="I249" i="1"/>
  <c r="AF247" i="1"/>
  <c r="AE247" i="1" s="1"/>
  <c r="AD248" i="1"/>
  <c r="BA248" i="1"/>
  <c r="AZ248" i="1" s="1"/>
  <c r="AY249" i="1"/>
  <c r="BA235" i="1"/>
  <c r="AZ235" i="1" s="1"/>
  <c r="AY234" i="1"/>
  <c r="AM234" i="1"/>
  <c r="AL234" i="1" s="1"/>
  <c r="AK233" i="1"/>
  <c r="Y234" i="1"/>
  <c r="X234" i="1" s="1"/>
  <c r="W233" i="1"/>
  <c r="D235" i="1"/>
  <c r="C235" i="1" s="1"/>
  <c r="B234" i="1"/>
  <c r="K185" i="1"/>
  <c r="J196" i="1"/>
  <c r="J204" i="1"/>
  <c r="J194" i="1"/>
  <c r="J201" i="1"/>
  <c r="J195" i="1"/>
  <c r="J200" i="1"/>
  <c r="K234" i="1"/>
  <c r="J234" i="1" s="1"/>
  <c r="I233" i="1"/>
  <c r="AF235" i="1"/>
  <c r="AE235" i="1" s="1"/>
  <c r="AD234" i="1"/>
  <c r="AT235" i="1"/>
  <c r="AS235" i="1" s="1"/>
  <c r="AR234" i="1"/>
  <c r="R235" i="1"/>
  <c r="Q235" i="1" s="1"/>
  <c r="P234" i="1"/>
  <c r="B110" i="1"/>
  <c r="B197" i="1"/>
  <c r="U197" i="1" s="1"/>
  <c r="V197" i="1" s="1"/>
  <c r="V186" i="1"/>
  <c r="B188" i="1"/>
  <c r="V190" i="1"/>
  <c r="B192" i="1"/>
  <c r="B193" i="1" s="1"/>
  <c r="C191" i="1" s="1"/>
  <c r="C192" i="1" s="1"/>
  <c r="R250" i="1" l="1"/>
  <c r="Q250" i="1" s="1"/>
  <c r="P251" i="1"/>
  <c r="BA249" i="1"/>
  <c r="AZ249" i="1" s="1"/>
  <c r="AY250" i="1"/>
  <c r="I250" i="1"/>
  <c r="K249" i="1"/>
  <c r="J249" i="1" s="1"/>
  <c r="AR249" i="1"/>
  <c r="AT248" i="1"/>
  <c r="AS248" i="1" s="1"/>
  <c r="AF248" i="1"/>
  <c r="AE248" i="1" s="1"/>
  <c r="AD249" i="1"/>
  <c r="Y248" i="1"/>
  <c r="X248" i="1" s="1"/>
  <c r="W249" i="1"/>
  <c r="D248" i="1"/>
  <c r="C248" i="1" s="1"/>
  <c r="B249" i="1"/>
  <c r="AK251" i="1"/>
  <c r="AM250" i="1"/>
  <c r="AL250" i="1" s="1"/>
  <c r="R234" i="1"/>
  <c r="Q234" i="1" s="1"/>
  <c r="P233" i="1"/>
  <c r="AF234" i="1"/>
  <c r="AE234" i="1" s="1"/>
  <c r="AD233" i="1"/>
  <c r="Y233" i="1"/>
  <c r="X233" i="1" s="1"/>
  <c r="W232" i="1"/>
  <c r="BA234" i="1"/>
  <c r="AZ234" i="1" s="1"/>
  <c r="AY233" i="1"/>
  <c r="AT234" i="1"/>
  <c r="AS234" i="1" s="1"/>
  <c r="AR233" i="1"/>
  <c r="K233" i="1"/>
  <c r="J233" i="1" s="1"/>
  <c r="I232" i="1"/>
  <c r="L185" i="1"/>
  <c r="K196" i="1"/>
  <c r="K204" i="1"/>
  <c r="K200" i="1"/>
  <c r="K201" i="1"/>
  <c r="K195" i="1"/>
  <c r="K194" i="1"/>
  <c r="D234" i="1"/>
  <c r="C234" i="1" s="1"/>
  <c r="B233" i="1"/>
  <c r="AM233" i="1"/>
  <c r="AL233" i="1" s="1"/>
  <c r="AK232" i="1"/>
  <c r="B203" i="1"/>
  <c r="B205" i="1"/>
  <c r="B189" i="1"/>
  <c r="C187" i="1" s="1"/>
  <c r="C188" i="1" s="1"/>
  <c r="C203" i="1" s="1"/>
  <c r="J202" i="1"/>
  <c r="N202" i="1"/>
  <c r="D202" i="1"/>
  <c r="Q202" i="1"/>
  <c r="C202" i="1"/>
  <c r="E202" i="1"/>
  <c r="O202" i="1"/>
  <c r="T202" i="1"/>
  <c r="R202" i="1"/>
  <c r="P202" i="1"/>
  <c r="S202" i="1"/>
  <c r="U202" i="1"/>
  <c r="F202" i="1"/>
  <c r="I202" i="1"/>
  <c r="G202" i="1"/>
  <c r="L202" i="1"/>
  <c r="H202" i="1"/>
  <c r="K202" i="1"/>
  <c r="B202" i="1"/>
  <c r="M202" i="1"/>
  <c r="C193" i="1"/>
  <c r="Y249" i="1" l="1"/>
  <c r="X249" i="1" s="1"/>
  <c r="W250" i="1"/>
  <c r="AR250" i="1"/>
  <c r="AT249" i="1"/>
  <c r="AS249" i="1" s="1"/>
  <c r="BA250" i="1"/>
  <c r="AZ250" i="1" s="1"/>
  <c r="AY251" i="1"/>
  <c r="D249" i="1"/>
  <c r="C249" i="1" s="1"/>
  <c r="B250" i="1"/>
  <c r="AD250" i="1"/>
  <c r="AF249" i="1"/>
  <c r="AE249" i="1" s="1"/>
  <c r="K250" i="1"/>
  <c r="J250" i="1" s="1"/>
  <c r="I251" i="1"/>
  <c r="AM232" i="1"/>
  <c r="AL232" i="1" s="1"/>
  <c r="AK231" i="1"/>
  <c r="K232" i="1"/>
  <c r="J232" i="1" s="1"/>
  <c r="I231" i="1"/>
  <c r="BA233" i="1"/>
  <c r="AZ233" i="1" s="1"/>
  <c r="AY232" i="1"/>
  <c r="R233" i="1"/>
  <c r="Q233" i="1" s="1"/>
  <c r="P232" i="1"/>
  <c r="D233" i="1"/>
  <c r="C233" i="1" s="1"/>
  <c r="B232" i="1"/>
  <c r="M185" i="1"/>
  <c r="L196" i="1"/>
  <c r="L204" i="1"/>
  <c r="L195" i="1"/>
  <c r="L201" i="1"/>
  <c r="L200" i="1"/>
  <c r="L194" i="1"/>
  <c r="AT233" i="1"/>
  <c r="AS233" i="1" s="1"/>
  <c r="AR232" i="1"/>
  <c r="W231" i="1"/>
  <c r="Y232" i="1"/>
  <c r="X232" i="1" s="1"/>
  <c r="AF233" i="1"/>
  <c r="AE233" i="1" s="1"/>
  <c r="AD232" i="1"/>
  <c r="V202" i="1"/>
  <c r="B206" i="1"/>
  <c r="B210" i="1" s="1"/>
  <c r="C189" i="1"/>
  <c r="D187" i="1" s="1"/>
  <c r="C205" i="1"/>
  <c r="C206" i="1" s="1"/>
  <c r="D191" i="1"/>
  <c r="B251" i="1" l="1"/>
  <c r="D250" i="1"/>
  <c r="C250" i="1" s="1"/>
  <c r="AR251" i="1"/>
  <c r="AT250" i="1"/>
  <c r="AS250" i="1" s="1"/>
  <c r="Y250" i="1"/>
  <c r="X250" i="1" s="1"/>
  <c r="W251" i="1"/>
  <c r="AF250" i="1"/>
  <c r="AE250" i="1" s="1"/>
  <c r="AD251" i="1"/>
  <c r="P231" i="1"/>
  <c r="R232" i="1"/>
  <c r="Q232" i="1" s="1"/>
  <c r="AF232" i="1"/>
  <c r="AE232" i="1" s="1"/>
  <c r="AD231" i="1"/>
  <c r="AR231" i="1"/>
  <c r="AT232" i="1"/>
  <c r="AS232" i="1" s="1"/>
  <c r="N185" i="1"/>
  <c r="M196" i="1"/>
  <c r="M204" i="1"/>
  <c r="M201" i="1"/>
  <c r="M195" i="1"/>
  <c r="M200" i="1"/>
  <c r="M194" i="1"/>
  <c r="D232" i="1"/>
  <c r="C232" i="1" s="1"/>
  <c r="B231" i="1"/>
  <c r="AY231" i="1"/>
  <c r="BA232" i="1"/>
  <c r="AZ232" i="1" s="1"/>
  <c r="D192" i="1"/>
  <c r="D188" i="1"/>
  <c r="C210" i="1"/>
  <c r="O185" i="1" l="1"/>
  <c r="N196" i="1"/>
  <c r="N204" i="1"/>
  <c r="N194" i="1"/>
  <c r="N195" i="1"/>
  <c r="N200" i="1"/>
  <c r="N201" i="1"/>
  <c r="D193" i="1"/>
  <c r="D203" i="1"/>
  <c r="D205" i="1"/>
  <c r="D189" i="1"/>
  <c r="P185" i="1" l="1"/>
  <c r="O196" i="1"/>
  <c r="O204" i="1"/>
  <c r="O201" i="1"/>
  <c r="O194" i="1"/>
  <c r="O195" i="1"/>
  <c r="O200" i="1"/>
  <c r="E191" i="1"/>
  <c r="D206" i="1"/>
  <c r="E187" i="1"/>
  <c r="Q185" i="1" l="1"/>
  <c r="P196" i="1"/>
  <c r="P204" i="1"/>
  <c r="P200" i="1"/>
  <c r="P194" i="1"/>
  <c r="P195" i="1"/>
  <c r="P201" i="1"/>
  <c r="E192" i="1"/>
  <c r="E188" i="1"/>
  <c r="D210" i="1"/>
  <c r="R185" i="1" l="1"/>
  <c r="Q196" i="1"/>
  <c r="Q204" i="1"/>
  <c r="Q195" i="1"/>
  <c r="Q194" i="1"/>
  <c r="Q200" i="1"/>
  <c r="Q201" i="1"/>
  <c r="E193" i="1"/>
  <c r="E203" i="1"/>
  <c r="E205" i="1"/>
  <c r="E189" i="1"/>
  <c r="S185" i="1" l="1"/>
  <c r="R196" i="1"/>
  <c r="R204" i="1"/>
  <c r="R195" i="1"/>
  <c r="R194" i="1"/>
  <c r="R201" i="1"/>
  <c r="R200" i="1"/>
  <c r="F191" i="1"/>
  <c r="F192" i="1" s="1"/>
  <c r="F187" i="1"/>
  <c r="E206" i="1"/>
  <c r="T185" i="1" l="1"/>
  <c r="S196" i="1"/>
  <c r="S204" i="1"/>
  <c r="S194" i="1"/>
  <c r="S200" i="1"/>
  <c r="S195" i="1"/>
  <c r="S201" i="1"/>
  <c r="F193" i="1"/>
  <c r="E210" i="1"/>
  <c r="F188" i="1"/>
  <c r="U185" i="1" l="1"/>
  <c r="T204" i="1"/>
  <c r="T196" i="1"/>
  <c r="T194" i="1"/>
  <c r="T195" i="1"/>
  <c r="T201" i="1"/>
  <c r="T200" i="1"/>
  <c r="G191" i="1"/>
  <c r="G192" i="1" s="1"/>
  <c r="G193" i="1" s="1"/>
  <c r="F203" i="1"/>
  <c r="F205" i="1"/>
  <c r="F189" i="1"/>
  <c r="U204" i="1" l="1"/>
  <c r="V204" i="1" s="1"/>
  <c r="U196" i="1"/>
  <c r="V196" i="1" s="1"/>
  <c r="U195" i="1"/>
  <c r="V195" i="1" s="1"/>
  <c r="U194" i="1"/>
  <c r="V194" i="1" s="1"/>
  <c r="U200" i="1"/>
  <c r="V200" i="1" s="1"/>
  <c r="U201" i="1"/>
  <c r="V201" i="1" s="1"/>
  <c r="H191" i="1"/>
  <c r="H192" i="1" s="1"/>
  <c r="H193" i="1" s="1"/>
  <c r="G187" i="1"/>
  <c r="F206" i="1"/>
  <c r="I191" i="1" l="1"/>
  <c r="I192" i="1" s="1"/>
  <c r="I193" i="1" s="1"/>
  <c r="G188" i="1"/>
  <c r="F210" i="1"/>
  <c r="J191" i="1" l="1"/>
  <c r="J192" i="1" s="1"/>
  <c r="J193" i="1" s="1"/>
  <c r="G203" i="1"/>
  <c r="G205" i="1"/>
  <c r="G206" i="1" s="1"/>
  <c r="G189" i="1"/>
  <c r="K191" i="1" l="1"/>
  <c r="K192" i="1" s="1"/>
  <c r="K193" i="1" s="1"/>
  <c r="H187" i="1"/>
  <c r="H188" i="1" s="1"/>
  <c r="H189" i="1" s="1"/>
  <c r="G210" i="1"/>
  <c r="L191" i="1" l="1"/>
  <c r="L192" i="1" s="1"/>
  <c r="L193" i="1" s="1"/>
  <c r="I187" i="1"/>
  <c r="I188" i="1" s="1"/>
  <c r="I189" i="1" s="1"/>
  <c r="H203" i="1"/>
  <c r="H205" i="1"/>
  <c r="H206" i="1" s="1"/>
  <c r="H210" i="1" s="1"/>
  <c r="M191" i="1" l="1"/>
  <c r="M192" i="1" s="1"/>
  <c r="M193" i="1" s="1"/>
  <c r="J187" i="1"/>
  <c r="J188" i="1" s="1"/>
  <c r="J189" i="1" s="1"/>
  <c r="I203" i="1"/>
  <c r="I205" i="1"/>
  <c r="I206" i="1" s="1"/>
  <c r="I210" i="1" s="1"/>
  <c r="N191" i="1" l="1"/>
  <c r="N192" i="1" s="1"/>
  <c r="N193" i="1" s="1"/>
  <c r="K187" i="1"/>
  <c r="K188" i="1" s="1"/>
  <c r="K189" i="1" s="1"/>
  <c r="J203" i="1"/>
  <c r="J205" i="1"/>
  <c r="J206" i="1" s="1"/>
  <c r="J210" i="1" s="1"/>
  <c r="O191" i="1" l="1"/>
  <c r="O192" i="1" s="1"/>
  <c r="O193" i="1" s="1"/>
  <c r="K203" i="1"/>
  <c r="K205" i="1"/>
  <c r="K206" i="1" s="1"/>
  <c r="K210" i="1" s="1"/>
  <c r="L187" i="1"/>
  <c r="L188" i="1" s="1"/>
  <c r="P191" i="1" l="1"/>
  <c r="P192" i="1" s="1"/>
  <c r="P193" i="1" s="1"/>
  <c r="L203" i="1"/>
  <c r="L205" i="1"/>
  <c r="L206" i="1" s="1"/>
  <c r="L210" i="1" s="1"/>
  <c r="L189" i="1"/>
  <c r="Q191" i="1" l="1"/>
  <c r="Q192" i="1" s="1"/>
  <c r="Q193" i="1" s="1"/>
  <c r="M187" i="1"/>
  <c r="M188" i="1" s="1"/>
  <c r="M189" i="1" s="1"/>
  <c r="R191" i="1" l="1"/>
  <c r="R192" i="1" s="1"/>
  <c r="R193" i="1" s="1"/>
  <c r="N187" i="1"/>
  <c r="N188" i="1" s="1"/>
  <c r="M203" i="1"/>
  <c r="M205" i="1"/>
  <c r="M206" i="1" s="1"/>
  <c r="M210" i="1" s="1"/>
  <c r="S191" i="1" l="1"/>
  <c r="S192" i="1" s="1"/>
  <c r="S193" i="1" s="1"/>
  <c r="N203" i="1"/>
  <c r="N205" i="1"/>
  <c r="N206" i="1" s="1"/>
  <c r="N210" i="1" s="1"/>
  <c r="N189" i="1"/>
  <c r="T191" i="1" l="1"/>
  <c r="T192" i="1" s="1"/>
  <c r="T193" i="1" s="1"/>
  <c r="O187" i="1"/>
  <c r="O188" i="1" s="1"/>
  <c r="O189" i="1" s="1"/>
  <c r="U191" i="1" l="1"/>
  <c r="P187" i="1"/>
  <c r="P188" i="1" s="1"/>
  <c r="O203" i="1"/>
  <c r="O205" i="1"/>
  <c r="O206" i="1" s="1"/>
  <c r="O210" i="1" s="1"/>
  <c r="U192" i="1" l="1"/>
  <c r="V191" i="1"/>
  <c r="P203" i="1"/>
  <c r="P205" i="1"/>
  <c r="P206" i="1" s="1"/>
  <c r="P210" i="1" s="1"/>
  <c r="P189" i="1"/>
  <c r="V192" i="1" l="1"/>
  <c r="U193" i="1"/>
  <c r="Q187" i="1"/>
  <c r="Q188" i="1" s="1"/>
  <c r="Q189" i="1" s="1"/>
  <c r="Q203" i="1" l="1"/>
  <c r="Q205" i="1"/>
  <c r="Q206" i="1" s="1"/>
  <c r="Q210" i="1" s="1"/>
  <c r="R187" i="1"/>
  <c r="R188" i="1" s="1"/>
  <c r="R189" i="1" s="1"/>
  <c r="S187" i="1" l="1"/>
  <c r="S188" i="1" s="1"/>
  <c r="S189" i="1" s="1"/>
  <c r="R203" i="1"/>
  <c r="R205" i="1"/>
  <c r="R206" i="1" s="1"/>
  <c r="R210" i="1" s="1"/>
  <c r="T187" i="1" l="1"/>
  <c r="T188" i="1" s="1"/>
  <c r="T189" i="1" s="1"/>
  <c r="S203" i="1"/>
  <c r="S205" i="1"/>
  <c r="S206" i="1" s="1"/>
  <c r="S210" i="1" s="1"/>
  <c r="U187" i="1" l="1"/>
  <c r="T203" i="1"/>
  <c r="T205" i="1"/>
  <c r="T206" i="1" s="1"/>
  <c r="T210" i="1" s="1"/>
  <c r="U188" i="1" l="1"/>
  <c r="V187" i="1"/>
  <c r="U203" i="1" l="1"/>
  <c r="V203" i="1" s="1"/>
  <c r="U205" i="1"/>
  <c r="V188" i="1"/>
  <c r="U189" i="1"/>
  <c r="U206" i="1" l="1"/>
  <c r="V205" i="1"/>
  <c r="U210" i="1" l="1"/>
  <c r="B211" i="1" s="1"/>
  <c r="V206" i="1"/>
  <c r="B219" i="1" l="1"/>
  <c r="B220" i="1" s="1"/>
  <c r="B213" i="1"/>
  <c r="B214" i="1" l="1"/>
  <c r="V213" i="1"/>
  <c r="AA230" i="1"/>
  <c r="F230" i="1"/>
  <c r="M230" i="1"/>
  <c r="T230" i="1"/>
  <c r="AO230" i="1"/>
  <c r="AV230" i="1"/>
  <c r="BC230" i="1"/>
  <c r="AH230" i="1"/>
  <c r="S230" i="1" l="1"/>
  <c r="L230" i="1"/>
  <c r="E230" i="1"/>
  <c r="AG230" i="1"/>
  <c r="Z230" i="1"/>
  <c r="AU230" i="1"/>
  <c r="BB230" i="1"/>
  <c r="AN230" i="1"/>
  <c r="V214" i="1"/>
</calcChain>
</file>

<file path=xl/sharedStrings.xml><?xml version="1.0" encoding="utf-8"?>
<sst xmlns="http://schemas.openxmlformats.org/spreadsheetml/2006/main" count="406" uniqueCount="281">
  <si>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</si>
  <si>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</si>
  <si>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</si>
  <si>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</si>
  <si>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</si>
  <si>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</si>
  <si>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</si>
  <si>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</si>
  <si>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</si>
  <si>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</si>
  <si>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</si>
  <si>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</si>
  <si>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</si>
  <si>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</si>
  <si>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</si>
  <si>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</si>
  <si>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</si>
  <si>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</si>
  <si>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</si>
  <si>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</si>
  <si>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</si>
  <si>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</si>
  <si>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</si>
  <si>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</si>
  <si>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</si>
  <si>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</si>
  <si>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</si>
  <si>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</si>
  <si>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</si>
  <si>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</si>
  <si>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</si>
  <si>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</si>
  <si>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</si>
  <si>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</si>
  <si>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</si>
  <si>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</si>
  <si>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</si>
  <si>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</si>
  <si>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</si>
  <si>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</si>
  <si>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</si>
  <si>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</si>
  <si>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</si>
  <si>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</si>
  <si>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</si>
  <si>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</si>
  <si>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</si>
  <si>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</si>
  <si>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</si>
  <si>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</si>
  <si>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</si>
  <si>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</si>
  <si>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</si>
  <si>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</si>
  <si>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</si>
  <si>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</si>
  <si>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</si>
  <si>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</si>
  <si>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</si>
  <si>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</si>
  <si>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</si>
  <si>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</si>
  <si>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</si>
  <si>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</si>
  <si>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</si>
  <si>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</si>
  <si>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</si>
  <si>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</si>
  <si>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</si>
  <si>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</si>
  <si>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</si>
  <si>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</si>
  <si>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</si>
  <si>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</si>
  <si>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</si>
  <si>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</si>
  <si>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</si>
  <si>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</si>
  <si>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</si>
  <si>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</si>
  <si>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</si>
  <si>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</si>
  <si>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</si>
  <si>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</si>
  <si>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</si>
  <si>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</si>
  <si>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</si>
  <si>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</si>
  <si>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</si>
  <si>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</si>
  <si>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</si>
  <si>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</si>
  <si>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</si>
  <si>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</si>
  <si>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</si>
  <si>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</si>
  <si>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</si>
  <si>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</si>
  <si>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</si>
  <si>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</si>
  <si>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</si>
  <si>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</si>
  <si>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</si>
  <si>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</si>
  <si>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</si>
  <si>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</si>
  <si>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</si>
  <si>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</si>
  <si>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</si>
  <si>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</si>
  <si>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</si>
  <si>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</si>
  <si>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Capital Cost</t>
  </si>
  <si>
    <t>Total heat production rate (kWth)</t>
  </si>
  <si>
    <t>Recovered heat (kWth)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</si>
  <si>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</si>
  <si>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</si>
  <si>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</si>
  <si>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</si>
  <si>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</si>
  <si>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</si>
  <si>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</si>
  <si>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</si>
  <si>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</si>
  <si>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</si>
  <si>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</si>
  <si>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</si>
  <si>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</si>
  <si>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</si>
  <si>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</si>
  <si>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</si>
  <si>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</si>
  <si>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</si>
  <si>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</si>
  <si>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</si>
  <si>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</si>
  <si>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</si>
  <si>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</si>
  <si>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</si>
  <si>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</si>
  <si>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</si>
  <si>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</si>
  <si>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</si>
  <si>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</si>
  <si>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</si>
  <si>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</si>
  <si>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</si>
  <si>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</si>
  <si>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</si>
  <si>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</si>
  <si>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</si>
  <si>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</si>
  <si>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</si>
  <si>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</si>
  <si>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</si>
  <si>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</si>
  <si>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</si>
  <si>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</si>
  <si>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($)</t>
  </si>
  <si>
    <r>
      <t>Conversion to kJ/m</t>
    </r>
    <r>
      <rPr>
        <vertAlign val="superscript"/>
        <sz val="9"/>
        <rFont val="Arial"/>
        <family val="2"/>
      </rPr>
      <t>3</t>
    </r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</si>
  <si>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</si>
  <si>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</si>
  <si>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</si>
  <si>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</si>
  <si>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</si>
  <si>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</si>
  <si>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Example:  Biomass Gasification/Power Generation</t>
  </si>
  <si>
    <t>This simplified model computes both the current $ and constant $ level annual cost of electricity for a model gasification-power generation facility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</si>
  <si>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</si>
  <si>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</si>
  <si>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</si>
  <si>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</si>
  <si>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</si>
  <si>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</si>
  <si>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</si>
  <si>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</si>
  <si>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</si>
  <si>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</si>
  <si>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</si>
  <si>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</si>
  <si>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</si>
  <si>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</si>
  <si>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</si>
  <si>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</si>
  <si>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Power Input (kW)</t>
  </si>
  <si>
    <t>Dual Fuel Power Input (kW)</t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</si>
  <si>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</si>
  <si>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</si>
  <si>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</si>
  <si>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</si>
  <si>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</si>
  <si>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</si>
  <si>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</si>
  <si>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</si>
  <si>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</si>
  <si>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</si>
  <si>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</si>
  <si>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</si>
  <si>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</si>
  <si>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</si>
  <si>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</si>
  <si>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</si>
  <si>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</si>
  <si>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</si>
  <si>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</si>
  <si>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</si>
  <si>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</si>
  <si>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</si>
  <si>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</si>
  <si>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</si>
  <si>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</si>
  <si>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</si>
  <si>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</si>
  <si>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</si>
  <si>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</si>
  <si>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</si>
  <si>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</si>
  <si>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</si>
  <si>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</si>
  <si>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</si>
  <si>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</si>
  <si>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</si>
  <si>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</si>
  <si>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</si>
  <si>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</si>
  <si>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</si>
  <si>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</si>
  <si>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</si>
  <si>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</si>
  <si>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</si>
  <si>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</si>
  <si>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</si>
  <si>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</si>
  <si>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</si>
  <si>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</si>
  <si>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</si>
  <si>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</si>
  <si>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</si>
  <si>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</si>
  <si>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</si>
  <si>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</si>
  <si>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</si>
  <si>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</si>
  <si>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</si>
  <si>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</si>
  <si>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</si>
  <si>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</si>
  <si>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</si>
  <si>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</si>
  <si>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</si>
  <si>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</si>
  <si>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</si>
  <si>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</si>
  <si>
    <r>
      <t>Enter Btu/ft</t>
    </r>
    <r>
      <rPr>
        <vertAlign val="superscript"/>
        <sz val="9"/>
        <rFont val="Arial"/>
        <family val="2"/>
      </rPr>
      <t>3</t>
    </r>
    <phoneticPr fontId="0" type="noConversion"/>
  </si>
  <si>
    <t>Gasifier and Feedstock Handling System Capital Cost ($)</t>
    <phoneticPr fontId="0" type="noConversion"/>
  </si>
  <si>
    <t>Gas Cleaning System Capital Cost ($)</t>
    <phoneticPr fontId="0" type="noConversion"/>
  </si>
  <si>
    <t>Power Generation/Interconnect System Capital Cost ($)</t>
    <phoneticPr fontId="0" type="noConversion"/>
  </si>
  <si>
    <t>Emission Control System Capital Cost ($)</t>
    <phoneticPr fontId="0" type="noConversion"/>
  </si>
  <si>
    <t>Heat Recovery System Capital Cost ($)</t>
    <phoneticPr fontId="0" type="noConversion"/>
  </si>
  <si>
    <t>($/kWe-net)</t>
    <phoneticPr fontId="0" type="noConversion"/>
  </si>
  <si>
    <t>Total Facility Capital Cost ($)</t>
    <phoneticPr fontId="0" type="noConversion"/>
  </si>
  <si>
    <t>Gross Electrical Capacity (kWe)</t>
    <phoneticPr fontId="0" type="noConversion"/>
  </si>
  <si>
    <t>Net Electrical Capacity (kWe)</t>
    <phoneticPr fontId="0" type="noConversion"/>
  </si>
  <si>
    <t>Parasitic Load (kWe)</t>
    <phoneticPr fontId="0" type="noConversion"/>
  </si>
  <si>
    <t>Capacity Factor (%)</t>
    <phoneticPr fontId="0" type="noConversion"/>
  </si>
  <si>
    <t>Annual Hours</t>
    <phoneticPr fontId="0" type="noConversion"/>
  </si>
  <si>
    <t>Annual Net Electricity Generation (kWh)</t>
    <phoneticPr fontId="0" type="noConversion"/>
  </si>
  <si>
    <t>HHV Efficiency of Gasification System--Biomass to Clean Gas (%)</t>
    <phoneticPr fontId="0" type="noConversion"/>
  </si>
  <si>
    <t>Net HHV Efficiency of Power Generation incl. Dual Fuel (%)</t>
    <phoneticPr fontId="0" type="noConversion"/>
  </si>
  <si>
    <t>Overall Net System Efficiency (%)</t>
    <phoneticPr fontId="0" type="noConversion"/>
  </si>
  <si>
    <t>Dual Fuel:  Fraction of Input Energy (%)</t>
    <phoneticPr fontId="0" type="noConversion"/>
  </si>
  <si>
    <t>Clean Gas Composition (% by volume, dry)</t>
    <phoneticPr fontId="0" type="noConversion"/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</si>
  <si>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phoneticPr fontId="0" type="noConversion"/>
  </si>
  <si>
    <t>Clean Gas Molecular Mass (kg/kmol)</t>
    <phoneticPr fontId="0" type="noConversion"/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</si>
  <si>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</si>
  <si>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</si>
  <si>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</si>
  <si>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t>Total Fuel Power Input (kW)</t>
    <phoneticPr fontId="0" type="noConversion"/>
  </si>
  <si>
    <t>Diff</t>
  </si>
  <si>
    <t>different variables from generic-power-only are hightlighted in:</t>
  </si>
  <si>
    <t xml:space="preserve"> turns to wet basis, and thus all the rest are on a wet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</si>
</sst>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#,##0.0000"/>
  </numFmts>
  <fonts count="10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67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 applyProtection="1">
      <protection locked="0"/>
    </xf>
    <xf numFmtId="169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66" fontId="3" fillId="4" borderId="16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/>
    </xf>
    <xf numFmtId="167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68" fontId="3" fillId="7" borderId="0" xfId="1" applyNumberFormat="1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 vertical="center"/>
    </xf>
    <xf numFmtId="169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67" fontId="3" fillId="6" borderId="24" xfId="1" applyNumberFormat="1" applyFont="1" applyFill="1" applyBorder="1" applyAlignment="1">
      <alignment horizontal="center" vertical="center"/>
    </xf>
    <xf numFmtId="167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68" fontId="3" fillId="7" borderId="24" xfId="1" applyNumberFormat="1" applyFont="1" applyFill="1" applyBorder="1" applyAlignment="1">
      <alignment horizontal="center" vertical="center"/>
    </xf>
    <xf numFmtId="167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68" fontId="3" fillId="7" borderId="27" xfId="1" applyNumberFormat="1" applyFont="1" applyFill="1" applyBorder="1" applyAlignment="1">
      <alignment horizontal="center" vertical="center"/>
    </xf>
    <xf numFmtId="167" fontId="3" fillId="7" borderId="27" xfId="1" applyNumberFormat="1" applyFont="1" applyFill="1" applyBorder="1" applyAlignment="1">
      <alignment horizontal="center" vertical="center"/>
    </xf>
    <xf numFmtId="167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164" fontId="7" fillId="4" borderId="32" xfId="0" applyNumberFormat="1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69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4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9" fontId="3" fillId="2" borderId="17" xfId="0" applyNumberFormat="1" applyFont="1" applyFill="1" applyBorder="1" applyAlignment="1">
      <alignment horizontal="center"/>
    </xf>
    <xf numFmtId="166" fontId="3" fillId="2" borderId="17" xfId="0" applyNumberFormat="1" applyFont="1" applyFill="1" applyBorder="1" applyAlignment="1">
      <alignment horizontal="center"/>
    </xf>
    <xf numFmtId="0" fontId="3" fillId="9" borderId="5" xfId="0" applyFont="1" applyFill="1" applyBorder="1"/>
    <xf numFmtId="0" fontId="3" fillId="9" borderId="2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0" fontId="3" fillId="9" borderId="2" xfId="0" applyFont="1" applyFill="1" applyBorder="1" applyAlignment="1">
      <alignment horizontal="center"/>
    </xf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  <xf numFmtId="0" fontId="3" fillId="10" borderId="2" xfId="0" applyFont="1" applyFill="1" applyBorder="1"/>
    <xf numFmtId="3" fontId="3" fillId="10" borderId="2" xfId="0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5.8521227060611705E-2</c:v>
                </c:pt>
                <c:pt idx="1">
                  <c:v>6.0651790754979118E-2</c:v>
                </c:pt>
                <c:pt idx="2">
                  <c:v>6.2782354449346559E-2</c:v>
                </c:pt>
                <c:pt idx="3">
                  <c:v>6.4912918143713999E-2</c:v>
                </c:pt>
                <c:pt idx="4">
                  <c:v>6.7043481838081398E-2</c:v>
                </c:pt>
                <c:pt idx="5">
                  <c:v>6.9174045532448852E-2</c:v>
                </c:pt>
                <c:pt idx="6">
                  <c:v>7.1304609226816251E-2</c:v>
                </c:pt>
                <c:pt idx="7">
                  <c:v>7.343517292118372E-2</c:v>
                </c:pt>
                <c:pt idx="8">
                  <c:v>7.5565736615551118E-2</c:v>
                </c:pt>
                <c:pt idx="9">
                  <c:v>7.7696300309918559E-2</c:v>
                </c:pt>
                <c:pt idx="10">
                  <c:v>7.9826864004285986E-2</c:v>
                </c:pt>
                <c:pt idx="11">
                  <c:v>8.2566160182758377E-2</c:v>
                </c:pt>
                <c:pt idx="12">
                  <c:v>8.5305456361230825E-2</c:v>
                </c:pt>
                <c:pt idx="13">
                  <c:v>8.8044752539703203E-2</c:v>
                </c:pt>
                <c:pt idx="14">
                  <c:v>9.0784048718175595E-2</c:v>
                </c:pt>
                <c:pt idx="15">
                  <c:v>9.3523344896648042E-2</c:v>
                </c:pt>
                <c:pt idx="16">
                  <c:v>9.6262641075120448E-2</c:v>
                </c:pt>
                <c:pt idx="17">
                  <c:v>9.9001937253592853E-2</c:v>
                </c:pt>
                <c:pt idx="18">
                  <c:v>0.1017412334320652</c:v>
                </c:pt>
                <c:pt idx="19">
                  <c:v>0.10448052961053765</c:v>
                </c:pt>
                <c:pt idx="20">
                  <c:v>0.10721982578901007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9-4D99-BF85-37BA6F9E291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3.5110709806030455E-2</c:v>
                </c:pt>
                <c:pt idx="1">
                  <c:v>3.9582325225856002E-2</c:v>
                </c:pt>
                <c:pt idx="2">
                  <c:v>4.405394064568155E-2</c:v>
                </c:pt>
                <c:pt idx="3">
                  <c:v>4.8525556065507104E-2</c:v>
                </c:pt>
                <c:pt idx="4">
                  <c:v>5.2997171485332659E-2</c:v>
                </c:pt>
                <c:pt idx="5">
                  <c:v>5.7468786905158199E-2</c:v>
                </c:pt>
                <c:pt idx="6">
                  <c:v>6.1940402324983761E-2</c:v>
                </c:pt>
                <c:pt idx="7">
                  <c:v>6.6412017744809315E-2</c:v>
                </c:pt>
                <c:pt idx="8">
                  <c:v>7.0883633164634877E-2</c:v>
                </c:pt>
                <c:pt idx="9">
                  <c:v>7.5355248584460424E-2</c:v>
                </c:pt>
                <c:pt idx="10">
                  <c:v>7.9826864004285986E-2</c:v>
                </c:pt>
                <c:pt idx="11">
                  <c:v>9.5634683595007181E-2</c:v>
                </c:pt>
                <c:pt idx="12">
                  <c:v>0.11144250318572832</c:v>
                </c:pt>
                <c:pt idx="13">
                  <c:v>0.12725032277644954</c:v>
                </c:pt>
                <c:pt idx="14">
                  <c:v>0.14305814236717068</c:v>
                </c:pt>
                <c:pt idx="15">
                  <c:v>0.1588659619578919</c:v>
                </c:pt>
                <c:pt idx="16">
                  <c:v>0.17467378154861302</c:v>
                </c:pt>
                <c:pt idx="17">
                  <c:v>0.19048160113933413</c:v>
                </c:pt>
                <c:pt idx="18">
                  <c:v>0.20628942073005538</c:v>
                </c:pt>
                <c:pt idx="19">
                  <c:v>0.2220972403207766</c:v>
                </c:pt>
                <c:pt idx="20">
                  <c:v>0.23790505991149766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9-4D99-BF85-37BA6F9E291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0.10644549592349191</c:v>
                </c:pt>
                <c:pt idx="1">
                  <c:v>0.1037836327315713</c:v>
                </c:pt>
                <c:pt idx="2">
                  <c:v>0.10112176953965071</c:v>
                </c:pt>
                <c:pt idx="3">
                  <c:v>9.8459906347730122E-2</c:v>
                </c:pt>
                <c:pt idx="4">
                  <c:v>9.5798043155809517E-2</c:v>
                </c:pt>
                <c:pt idx="5">
                  <c:v>9.3136179963888954E-2</c:v>
                </c:pt>
                <c:pt idx="6">
                  <c:v>9.0474316771968349E-2</c:v>
                </c:pt>
                <c:pt idx="7">
                  <c:v>8.7812453580047758E-2</c:v>
                </c:pt>
                <c:pt idx="8">
                  <c:v>8.5150590388127181E-2</c:v>
                </c:pt>
                <c:pt idx="9">
                  <c:v>8.248872719620659E-2</c:v>
                </c:pt>
                <c:pt idx="10">
                  <c:v>7.9826864004285986E-2</c:v>
                </c:pt>
                <c:pt idx="11">
                  <c:v>7.9531101427405923E-2</c:v>
                </c:pt>
                <c:pt idx="12">
                  <c:v>7.9235338850525847E-2</c:v>
                </c:pt>
                <c:pt idx="13">
                  <c:v>7.8939576273645784E-2</c:v>
                </c:pt>
                <c:pt idx="14">
                  <c:v>7.8643813696765735E-2</c:v>
                </c:pt>
                <c:pt idx="15">
                  <c:v>7.8348051119885673E-2</c:v>
                </c:pt>
                <c:pt idx="16">
                  <c:v>7.805228854300561E-2</c:v>
                </c:pt>
                <c:pt idx="17">
                  <c:v>7.775652596612552E-2</c:v>
                </c:pt>
                <c:pt idx="18">
                  <c:v>7.7460763389245443E-2</c:v>
                </c:pt>
                <c:pt idx="19">
                  <c:v>7.7165000812365409E-2</c:v>
                </c:pt>
                <c:pt idx="20">
                  <c:v>7.6869238235485332E-2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9-4D99-BF85-37BA6F9E291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7.5282750290137951E-2</c:v>
                </c:pt>
                <c:pt idx="1">
                  <c:v>7.5681324244631823E-2</c:v>
                </c:pt>
                <c:pt idx="2">
                  <c:v>7.6092595517217892E-2</c:v>
                </c:pt>
                <c:pt idx="3">
                  <c:v>7.6516480222946368E-2</c:v>
                </c:pt>
                <c:pt idx="4">
                  <c:v>7.6952879685642669E-2</c:v>
                </c:pt>
                <c:pt idx="5">
                  <c:v>7.7401681068604469E-2</c:v>
                </c:pt>
                <c:pt idx="6">
                  <c:v>7.786275804807663E-2</c:v>
                </c:pt>
                <c:pt idx="7">
                  <c:v>7.8335971523575187E-2</c:v>
                </c:pt>
                <c:pt idx="8">
                  <c:v>7.8821170359087658E-2</c:v>
                </c:pt>
                <c:pt idx="9">
                  <c:v>7.9318192149199745E-2</c:v>
                </c:pt>
                <c:pt idx="10">
                  <c:v>7.9826864004285986E-2</c:v>
                </c:pt>
                <c:pt idx="11">
                  <c:v>8.1148292873537323E-2</c:v>
                </c:pt>
                <c:pt idx="12">
                  <c:v>8.2538290308528342E-2</c:v>
                </c:pt>
                <c:pt idx="13">
                  <c:v>8.39935089397017E-2</c:v>
                </c:pt>
                <c:pt idx="14">
                  <c:v>8.5510409184780589E-2</c:v>
                </c:pt>
                <c:pt idx="15">
                  <c:v>8.7085330925235405E-2</c:v>
                </c:pt>
                <c:pt idx="16">
                  <c:v>8.8714558892534642E-2</c:v>
                </c:pt>
                <c:pt idx="17">
                  <c:v>9.0394380562909604E-2</c:v>
                </c:pt>
                <c:pt idx="18">
                  <c:v>9.2121135892680242E-2</c:v>
                </c:pt>
                <c:pt idx="19">
                  <c:v>9.3891258690616194E-2</c:v>
                </c:pt>
                <c:pt idx="20">
                  <c:v>9.5701309803713067E-2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9-4D99-BF85-37BA6F9E291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7.4704482042009121E-2</c:v>
                </c:pt>
                <c:pt idx="1">
                  <c:v>7.5127928925322621E-2</c:v>
                </c:pt>
                <c:pt idx="2">
                  <c:v>7.5572482694638024E-2</c:v>
                </c:pt>
                <c:pt idx="3">
                  <c:v>7.6038091191301699E-2</c:v>
                </c:pt>
                <c:pt idx="4">
                  <c:v>7.6524389572748347E-2</c:v>
                </c:pt>
                <c:pt idx="5">
                  <c:v>7.7030733915608884E-2</c:v>
                </c:pt>
                <c:pt idx="6">
                  <c:v>7.7556244618764383E-2</c:v>
                </c:pt>
                <c:pt idx="7">
                  <c:v>7.8099855316182812E-2</c:v>
                </c:pt>
                <c:pt idx="8">
                  <c:v>7.8660363253007501E-2</c:v>
                </c:pt>
                <c:pt idx="9">
                  <c:v>7.923647772007654E-2</c:v>
                </c:pt>
                <c:pt idx="10">
                  <c:v>7.9826864004285986E-2</c:v>
                </c:pt>
                <c:pt idx="11">
                  <c:v>8.1356536440790994E-2</c:v>
                </c:pt>
                <c:pt idx="12">
                  <c:v>8.2947267516450152E-2</c:v>
                </c:pt>
                <c:pt idx="13">
                  <c:v>8.4581884421099263E-2</c:v>
                </c:pt>
                <c:pt idx="14">
                  <c:v>8.6246509274246458E-2</c:v>
                </c:pt>
                <c:pt idx="15">
                  <c:v>8.7930427135550229E-2</c:v>
                </c:pt>
                <c:pt idx="16">
                  <c:v>8.9625608823312594E-2</c:v>
                </c:pt>
                <c:pt idx="17">
                  <c:v>9.1326154110156293E-2</c:v>
                </c:pt>
                <c:pt idx="18">
                  <c:v>9.3027783905351574E-2</c:v>
                </c:pt>
                <c:pt idx="19">
                  <c:v>9.4727425670094262E-2</c:v>
                </c:pt>
                <c:pt idx="20">
                  <c:v>9.6422894334204284E-2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9-4D99-BF85-37BA6F9E291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0.24977325842057971</c:v>
                </c:pt>
                <c:pt idx="1">
                  <c:v>0.19229138972095092</c:v>
                </c:pt>
                <c:pt idx="2">
                  <c:v>0.15887169861651562</c:v>
                </c:pt>
                <c:pt idx="3">
                  <c:v>0.13702036212515406</c:v>
                </c:pt>
                <c:pt idx="4">
                  <c:v>0.12161696099189923</c:v>
                </c:pt>
                <c:pt idx="5">
                  <c:v>0.11017443443576699</c:v>
                </c:pt>
                <c:pt idx="6">
                  <c:v>0.10133906582913328</c:v>
                </c:pt>
                <c:pt idx="7">
                  <c:v>9.4310931710220092E-2</c:v>
                </c:pt>
                <c:pt idx="8">
                  <c:v>8.858698742780631E-2</c:v>
                </c:pt>
                <c:pt idx="9">
                  <c:v>8.3835033683915539E-2</c:v>
                </c:pt>
                <c:pt idx="10">
                  <c:v>7.9826864004285986E-2</c:v>
                </c:pt>
                <c:pt idx="11">
                  <c:v>7.4867338875405837E-2</c:v>
                </c:pt>
                <c:pt idx="12">
                  <c:v>7.0850822045678941E-2</c:v>
                </c:pt>
                <c:pt idx="13">
                  <c:v>6.7531706851981774E-2</c:v>
                </c:pt>
                <c:pt idx="14">
                  <c:v>6.4742864499881217E-2</c:v>
                </c:pt>
                <c:pt idx="15">
                  <c:v>6.2366618002611972E-2</c:v>
                </c:pt>
                <c:pt idx="16">
                  <c:v>6.0317711584048202E-2</c:v>
                </c:pt>
                <c:pt idx="17">
                  <c:v>5.8532864703915062E-2</c:v>
                </c:pt>
                <c:pt idx="18">
                  <c:v>5.6964120360838394E-2</c:v>
                </c:pt>
                <c:pt idx="19">
                  <c:v>5.5574471566442817E-2</c:v>
                </c:pt>
                <c:pt idx="20">
                  <c:v>5.4334904841841926E-2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9-4D99-BF85-37BA6F9E291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0.11267452039803895</c:v>
                </c:pt>
                <c:pt idx="1">
                  <c:v>0.10640024895204118</c:v>
                </c:pt>
                <c:pt idx="2">
                  <c:v>0.10127839471041034</c:v>
                </c:pt>
                <c:pt idx="3">
                  <c:v>9.7018160808493153E-2</c:v>
                </c:pt>
                <c:pt idx="4">
                  <c:v>9.3418997684459645E-2</c:v>
                </c:pt>
                <c:pt idx="5">
                  <c:v>9.0338114050286925E-2</c:v>
                </c:pt>
                <c:pt idx="6">
                  <c:v>8.767108045652551E-2</c:v>
                </c:pt>
                <c:pt idx="7">
                  <c:v>8.5339757385055698E-2</c:v>
                </c:pt>
                <c:pt idx="8">
                  <c:v>8.3284512045733672E-2</c:v>
                </c:pt>
                <c:pt idx="9">
                  <c:v>8.145904568844764E-2</c:v>
                </c:pt>
                <c:pt idx="10">
                  <c:v>7.9826864004285986E-2</c:v>
                </c:pt>
                <c:pt idx="11">
                  <c:v>7.9320541747734868E-2</c:v>
                </c:pt>
                <c:pt idx="12">
                  <c:v>7.8831480477202565E-2</c:v>
                </c:pt>
                <c:pt idx="13">
                  <c:v>7.8358812321883631E-2</c:v>
                </c:pt>
                <c:pt idx="14">
                  <c:v>7.7901726633223575E-2</c:v>
                </c:pt>
                <c:pt idx="15">
                  <c:v>7.7459465345276757E-2</c:v>
                </c:pt>
                <c:pt idx="16">
                  <c:v>7.7031318779285748E-2</c:v>
                </c:pt>
                <c:pt idx="17">
                  <c:v>7.6616621843639987E-2</c:v>
                </c:pt>
                <c:pt idx="18">
                  <c:v>7.6214750586416261E-2</c:v>
                </c:pt>
                <c:pt idx="19">
                  <c:v>7.5825119062915072E-2</c:v>
                </c:pt>
                <c:pt idx="20">
                  <c:v>7.5447176485118922E-2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9-4D99-BF85-37BA6F9E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840"/>
        <c:axId val="1"/>
      </c:scatterChart>
      <c:valAx>
        <c:axId val="224194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7585301841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4469829160062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8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6541265674"/>
          <c:y val="0.92659063279937803"/>
          <c:w val="0.91453939924176142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-26.68980826120184</c:v>
                </c:pt>
                <c:pt idx="1">
                  <c:v>-24.020827435081678</c:v>
                </c:pt>
                <c:pt idx="2">
                  <c:v>-21.351846608961477</c:v>
                </c:pt>
                <c:pt idx="3">
                  <c:v>-18.682865782841276</c:v>
                </c:pt>
                <c:pt idx="4">
                  <c:v>-16.013884956721132</c:v>
                </c:pt>
                <c:pt idx="5">
                  <c:v>-13.344904130600913</c:v>
                </c:pt>
                <c:pt idx="6">
                  <c:v>-10.675923304480763</c:v>
                </c:pt>
                <c:pt idx="7">
                  <c:v>-8.0069424783605303</c:v>
                </c:pt>
                <c:pt idx="8">
                  <c:v>-5.3379616522403817</c:v>
                </c:pt>
                <c:pt idx="9">
                  <c:v>-2.6689808261201824</c:v>
                </c:pt>
                <c:pt idx="10">
                  <c:v>0</c:v>
                </c:pt>
                <c:pt idx="11">
                  <c:v>3.431546776440217</c:v>
                </c:pt>
                <c:pt idx="12">
                  <c:v>6.8630935528805042</c:v>
                </c:pt>
                <c:pt idx="13">
                  <c:v>10.294640329320703</c:v>
                </c:pt>
                <c:pt idx="14">
                  <c:v>13.726187105760919</c:v>
                </c:pt>
                <c:pt idx="15">
                  <c:v>17.157733882201207</c:v>
                </c:pt>
                <c:pt idx="16">
                  <c:v>20.589280658641442</c:v>
                </c:pt>
                <c:pt idx="17">
                  <c:v>24.020827435081678</c:v>
                </c:pt>
                <c:pt idx="18">
                  <c:v>27.452374211521839</c:v>
                </c:pt>
                <c:pt idx="19">
                  <c:v>30.883920987962128</c:v>
                </c:pt>
                <c:pt idx="20">
                  <c:v>34.315467764402378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07C-B25E-91CB8895A283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-56.016423488532233</c:v>
                </c:pt>
                <c:pt idx="1">
                  <c:v>-50.414781139679008</c:v>
                </c:pt>
                <c:pt idx="2">
                  <c:v>-44.813138790825796</c:v>
                </c:pt>
                <c:pt idx="3">
                  <c:v>-39.211496441972571</c:v>
                </c:pt>
                <c:pt idx="4">
                  <c:v>-33.609854093119345</c:v>
                </c:pt>
                <c:pt idx="5">
                  <c:v>-28.008211744266138</c:v>
                </c:pt>
                <c:pt idx="6">
                  <c:v>-22.406569395412905</c:v>
                </c:pt>
                <c:pt idx="7">
                  <c:v>-16.80492704655968</c:v>
                </c:pt>
                <c:pt idx="8">
                  <c:v>-11.203284697706449</c:v>
                </c:pt>
                <c:pt idx="9">
                  <c:v>-5.6016423488532325</c:v>
                </c:pt>
                <c:pt idx="10">
                  <c:v>0</c:v>
                </c:pt>
                <c:pt idx="11">
                  <c:v>19.802631342091125</c:v>
                </c:pt>
                <c:pt idx="12">
                  <c:v>39.605262684182179</c:v>
                </c:pt>
                <c:pt idx="13">
                  <c:v>59.407894026273347</c:v>
                </c:pt>
                <c:pt idx="14">
                  <c:v>79.210525368364387</c:v>
                </c:pt>
                <c:pt idx="15">
                  <c:v>99.013156710455547</c:v>
                </c:pt>
                <c:pt idx="16">
                  <c:v>118.81578805254658</c:v>
                </c:pt>
                <c:pt idx="17">
                  <c:v>138.61841939463758</c:v>
                </c:pt>
                <c:pt idx="18">
                  <c:v>158.42105073672877</c:v>
                </c:pt>
                <c:pt idx="19">
                  <c:v>178.22368207881996</c:v>
                </c:pt>
                <c:pt idx="20">
                  <c:v>198.0263134209109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07C-B25E-91CB8895A283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33.345456133384801</c:v>
                </c:pt>
                <c:pt idx="1">
                  <c:v>30.010910520046302</c:v>
                </c:pt>
                <c:pt idx="2">
                  <c:v>26.676364906707828</c:v>
                </c:pt>
                <c:pt idx="3">
                  <c:v>23.341819293369348</c:v>
                </c:pt>
                <c:pt idx="4">
                  <c:v>20.007273680030853</c:v>
                </c:pt>
                <c:pt idx="5">
                  <c:v>16.672728066692407</c:v>
                </c:pt>
                <c:pt idx="6">
                  <c:v>13.338182453353914</c:v>
                </c:pt>
                <c:pt idx="7">
                  <c:v>10.003636840015433</c:v>
                </c:pt>
                <c:pt idx="8">
                  <c:v>6.669091226676974</c:v>
                </c:pt>
                <c:pt idx="9">
                  <c:v>3.3345456133384959</c:v>
                </c:pt>
                <c:pt idx="10">
                  <c:v>0</c:v>
                </c:pt>
                <c:pt idx="11">
                  <c:v>-0.37050506814871592</c:v>
                </c:pt>
                <c:pt idx="12">
                  <c:v>-0.74101013629744916</c:v>
                </c:pt>
                <c:pt idx="13">
                  <c:v>-1.1115152044461651</c:v>
                </c:pt>
                <c:pt idx="14">
                  <c:v>-1.4820202725948637</c:v>
                </c:pt>
                <c:pt idx="15">
                  <c:v>-1.8525253407435796</c:v>
                </c:pt>
                <c:pt idx="16">
                  <c:v>-2.2230304088922956</c:v>
                </c:pt>
                <c:pt idx="17">
                  <c:v>-2.5935354770410464</c:v>
                </c:pt>
                <c:pt idx="18">
                  <c:v>-2.9640405451897793</c:v>
                </c:pt>
                <c:pt idx="19">
                  <c:v>-3.3345456133384603</c:v>
                </c:pt>
                <c:pt idx="20">
                  <c:v>-3.7050506814871937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07C-B25E-91CB8895A283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-5.692461768138676</c:v>
                </c:pt>
                <c:pt idx="1">
                  <c:v>-5.1931637442648189</c:v>
                </c:pt>
                <c:pt idx="2">
                  <c:v>-4.6779596488565511</c:v>
                </c:pt>
                <c:pt idx="3">
                  <c:v>-4.1469545655230551</c:v>
                </c:pt>
                <c:pt idx="4">
                  <c:v>-3.6002721070052424</c:v>
                </c:pt>
                <c:pt idx="5">
                  <c:v>-3.038053625094562</c:v>
                </c:pt>
                <c:pt idx="6">
                  <c:v>-2.4604573669634582</c:v>
                </c:pt>
                <c:pt idx="7">
                  <c:v>-1.8676575853346193</c:v>
                </c:pt>
                <c:pt idx="8">
                  <c:v>-1.2598436099711128</c:v>
                </c:pt>
                <c:pt idx="9">
                  <c:v>-0.63721888794094306</c:v>
                </c:pt>
                <c:pt idx="10">
                  <c:v>0</c:v>
                </c:pt>
                <c:pt idx="11">
                  <c:v>1.6553686352759494</c:v>
                </c:pt>
                <c:pt idx="12">
                  <c:v>3.396633875153579</c:v>
                </c:pt>
                <c:pt idx="13">
                  <c:v>5.2196024325745816</c:v>
                </c:pt>
                <c:pt idx="14">
                  <c:v>7.1198402334700859</c:v>
                </c:pt>
                <c:pt idx="15">
                  <c:v>9.0927622066673006</c:v>
                </c:pt>
                <c:pt idx="16">
                  <c:v>11.133714193972931</c:v>
                </c:pt>
                <c:pt idx="17">
                  <c:v>13.238045475588567</c:v>
                </c:pt>
                <c:pt idx="18">
                  <c:v>15.401171074106287</c:v>
                </c:pt>
                <c:pt idx="19">
                  <c:v>17.618623582125281</c:v>
                </c:pt>
                <c:pt idx="20">
                  <c:v>19.886094734442739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07C-B25E-91CB8895A283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-6.4168648313703507</c:v>
                </c:pt>
                <c:pt idx="1">
                  <c:v>-5.886408213043512</c:v>
                </c:pt>
                <c:pt idx="2">
                  <c:v>-5.3295107639698083</c:v>
                </c:pt>
                <c:pt idx="3">
                  <c:v>-4.7462378238745089</c:v>
                </c:pt>
                <c:pt idx="4">
                  <c:v>-4.1370464350952405</c:v>
                </c:pt>
                <c:pt idx="5">
                  <c:v>-3.5027432475951628</c:v>
                </c:pt>
                <c:pt idx="6">
                  <c:v>-2.8444301474747777</c:v>
                </c:pt>
                <c:pt idx="7">
                  <c:v>-2.163442983317557</c:v>
                </c:pt>
                <c:pt idx="8">
                  <c:v>-1.461288459503876</c:v>
                </c:pt>
                <c:pt idx="9">
                  <c:v>-0.73958346175010392</c:v>
                </c:pt>
                <c:pt idx="10">
                  <c:v>0</c:v>
                </c:pt>
                <c:pt idx="11">
                  <c:v>1.9162376670877099</c:v>
                </c:pt>
                <c:pt idx="12">
                  <c:v>3.9089641702530473</c:v>
                </c:pt>
                <c:pt idx="13">
                  <c:v>5.9566669392874747</c:v>
                </c:pt>
                <c:pt idx="14">
                  <c:v>8.0419609990138099</c:v>
                </c:pt>
                <c:pt idx="15">
                  <c:v>10.151423624544684</c:v>
                </c:pt>
                <c:pt idx="16">
                  <c:v>12.274996570703948</c:v>
                </c:pt>
                <c:pt idx="17">
                  <c:v>14.405288557061317</c:v>
                </c:pt>
                <c:pt idx="18">
                  <c:v>16.536939119087553</c:v>
                </c:pt>
                <c:pt idx="19">
                  <c:v>18.666099253264225</c:v>
                </c:pt>
                <c:pt idx="20">
                  <c:v>20.790031697884615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07C-B25E-91CB8895A283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212.89373763595313</c:v>
                </c:pt>
                <c:pt idx="1">
                  <c:v>140.8855616708513</c:v>
                </c:pt>
                <c:pt idx="2">
                  <c:v>99.020343086489831</c:v>
                </c:pt>
                <c:pt idx="3">
                  <c:v>71.646930935176528</c:v>
                </c:pt>
                <c:pt idx="4">
                  <c:v>52.350919090808191</c:v>
                </c:pt>
                <c:pt idx="5">
                  <c:v>38.016738863563042</c:v>
                </c:pt>
                <c:pt idx="6">
                  <c:v>26.948574384297853</c:v>
                </c:pt>
                <c:pt idx="7">
                  <c:v>18.144352639427801</c:v>
                </c:pt>
                <c:pt idx="8">
                  <c:v>10.973904001853292</c:v>
                </c:pt>
                <c:pt idx="9">
                  <c:v>5.021078717829063</c:v>
                </c:pt>
                <c:pt idx="10">
                  <c:v>0</c:v>
                </c:pt>
                <c:pt idx="11">
                  <c:v>-6.2128522656406329</c:v>
                </c:pt>
                <c:pt idx="12">
                  <c:v>-11.244387551194686</c:v>
                </c:pt>
                <c:pt idx="13">
                  <c:v>-15.402280054048061</c:v>
                </c:pt>
                <c:pt idx="14">
                  <c:v>-18.895893873013591</c:v>
                </c:pt>
                <c:pt idx="15">
                  <c:v>-21.872644277666421</c:v>
                </c:pt>
                <c:pt idx="16">
                  <c:v>-24.439332126576232</c:v>
                </c:pt>
                <c:pt idx="17">
                  <c:v>-26.675229656056171</c:v>
                </c:pt>
                <c:pt idx="18">
                  <c:v>-28.640413134881591</c:v>
                </c:pt>
                <c:pt idx="19">
                  <c:v>-30.381241628809363</c:v>
                </c:pt>
                <c:pt idx="20">
                  <c:v>-31.934060645392968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07C-B25E-91CB8895A283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41.14862434278934</c:v>
                </c:pt>
                <c:pt idx="1">
                  <c:v>33.288774749222824</c:v>
                </c:pt>
                <c:pt idx="2">
                  <c:v>26.872570999372584</c:v>
                </c:pt>
                <c:pt idx="3">
                  <c:v>21.535728628001909</c:v>
                </c:pt>
                <c:pt idx="4">
                  <c:v>17.027016969430093</c:v>
                </c:pt>
                <c:pt idx="5">
                  <c:v>13.167559789692577</c:v>
                </c:pt>
                <c:pt idx="6">
                  <c:v>9.826537156487019</c:v>
                </c:pt>
                <c:pt idx="7">
                  <c:v>6.9060628267618274</c:v>
                </c:pt>
                <c:pt idx="8">
                  <c:v>4.3314341413462536</c:v>
                </c:pt>
                <c:pt idx="9">
                  <c:v>2.0446521412566336</c:v>
                </c:pt>
                <c:pt idx="10">
                  <c:v>0</c:v>
                </c:pt>
                <c:pt idx="11">
                  <c:v>-0.63427551973472518</c:v>
                </c:pt>
                <c:pt idx="12">
                  <c:v>-1.2469280103875531</c:v>
                </c:pt>
                <c:pt idx="13">
                  <c:v>-1.8390446633648714</c:v>
                </c:pt>
                <c:pt idx="14">
                  <c:v>-2.4116409871231417</c:v>
                </c:pt>
                <c:pt idx="15">
                  <c:v>-2.9656666193001406</c:v>
                </c:pt>
                <c:pt idx="16">
                  <c:v>-3.5020105823650312</c:v>
                </c:pt>
                <c:pt idx="17">
                  <c:v>-4.021506043972412</c:v>
                </c:pt>
                <c:pt idx="18">
                  <c:v>-4.524934635633171</c:v>
                </c:pt>
                <c:pt idx="19">
                  <c:v>-5.013030376786511</c:v>
                </c:pt>
                <c:pt idx="20">
                  <c:v>-5.486483245705247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E-407C-B25E-91CB889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512"/>
        <c:axId val="1"/>
      </c:scatterChart>
      <c:valAx>
        <c:axId val="224194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5873432485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13703107078881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51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494604841"/>
          <c:y val="0.92659063279937803"/>
          <c:w val="0.91120979877515307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12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>
    <tabColor indexed="13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E49138D8-6749-45BC-AC1E-CE8B7351D939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7FE9381C-2FD2-455F-B3E2-DA8E1FBAA6E7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E0669B2F-8795-44E2-972A-3467D81E4D3D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C6611A7D-FF5D-4D7F-A524-05A3B9F4910B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693" name="AutoShape 5">
          <a:extLst>
            <a:ext uri="{FF2B5EF4-FFF2-40B4-BE49-F238E27FC236}">
              <a16:creationId xmlns:a16="http://schemas.microsoft.com/office/drawing/2014/main" id="{064C0103-CE33-439F-BDD2-7989C3825B8D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694" name="AutoShape 6">
          <a:extLst>
            <a:ext uri="{FF2B5EF4-FFF2-40B4-BE49-F238E27FC236}">
              <a16:creationId xmlns:a16="http://schemas.microsoft.com/office/drawing/2014/main" id="{C3E11C02-BA6A-43BA-AE76-6CB9D369742B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695" name="AutoShape 7">
          <a:extLst>
            <a:ext uri="{FF2B5EF4-FFF2-40B4-BE49-F238E27FC236}">
              <a16:creationId xmlns:a16="http://schemas.microsoft.com/office/drawing/2014/main" id="{78ED70A6-FC7E-4223-949A-3CB29CE30B8E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696" name="AutoShape 8">
          <a:extLst>
            <a:ext uri="{FF2B5EF4-FFF2-40B4-BE49-F238E27FC236}">
              <a16:creationId xmlns:a16="http://schemas.microsoft.com/office/drawing/2014/main" id="{1B6B1F9D-BA8A-4E8C-9F2A-2CCF399E028C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697" name="AutoShape 9">
          <a:extLst>
            <a:ext uri="{FF2B5EF4-FFF2-40B4-BE49-F238E27FC236}">
              <a16:creationId xmlns:a16="http://schemas.microsoft.com/office/drawing/2014/main" id="{76288558-F77E-4FED-B4C0-8D0276D85B54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698" name="AutoShape 10">
          <a:extLst>
            <a:ext uri="{FF2B5EF4-FFF2-40B4-BE49-F238E27FC236}">
              <a16:creationId xmlns:a16="http://schemas.microsoft.com/office/drawing/2014/main" id="{4E224580-46F1-4A47-BA21-4121201C1E18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699" name="AutoShape 11">
          <a:extLst>
            <a:ext uri="{FF2B5EF4-FFF2-40B4-BE49-F238E27FC236}">
              <a16:creationId xmlns:a16="http://schemas.microsoft.com/office/drawing/2014/main" id="{44A8B400-0049-411D-AB19-46CA672C4957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700" name="AutoShape 12">
          <a:extLst>
            <a:ext uri="{FF2B5EF4-FFF2-40B4-BE49-F238E27FC236}">
              <a16:creationId xmlns:a16="http://schemas.microsoft.com/office/drawing/2014/main" id="{7D5341CF-BC76-4534-8EEB-A7B0BA30F352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701" name="AutoShape 13">
          <a:extLst>
            <a:ext uri="{FF2B5EF4-FFF2-40B4-BE49-F238E27FC236}">
              <a16:creationId xmlns:a16="http://schemas.microsoft.com/office/drawing/2014/main" id="{77D1F573-2612-42F3-BE70-2F3ABE4C84A4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702" name="AutoShape 14">
          <a:extLst>
            <a:ext uri="{FF2B5EF4-FFF2-40B4-BE49-F238E27FC236}">
              <a16:creationId xmlns:a16="http://schemas.microsoft.com/office/drawing/2014/main" id="{3140FFCB-3D39-4E04-962A-E80B3C3B91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703" name="AutoShape 15">
          <a:extLst>
            <a:ext uri="{FF2B5EF4-FFF2-40B4-BE49-F238E27FC236}">
              <a16:creationId xmlns:a16="http://schemas.microsoft.com/office/drawing/2014/main" id="{EBC9462A-7BC0-4786-8EB0-173480CAB20E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E14-A9F1-429D-AE9F-B38B50E14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3A14-67E5-4EEE-A55A-2D018D0A2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BE291"/>
  <sheetViews>
    <sheetView tabSelected="1" topLeftCell="A41" workbookViewId="0">
      <selection activeCell="C68" sqref="C68"/>
    </sheetView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5.832031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42</v>
      </c>
    </row>
    <row r="2" spans="1:12" ht="20.25">
      <c r="A2" s="1" t="s">
        <v>166</v>
      </c>
    </row>
    <row r="4" spans="1:12">
      <c r="A4" s="2" t="s">
        <v>167</v>
      </c>
    </row>
    <row r="5" spans="1:12">
      <c r="A5" s="2" t="s">
        <v>68</v>
      </c>
      <c r="B5" s="21" t="s">
        <v>66</v>
      </c>
    </row>
    <row r="6" spans="1:12">
      <c r="A6" s="2" t="s">
        <v>69</v>
      </c>
      <c r="B6" s="33" t="s">
        <v>67</v>
      </c>
      <c r="D6" s="4" t="s">
        <v>279</v>
      </c>
      <c r="H6" s="166" t="s">
        <v>278</v>
      </c>
    </row>
    <row r="7" spans="1:12">
      <c r="A7" s="2" t="s">
        <v>101</v>
      </c>
    </row>
    <row r="8" spans="1:12" ht="12.75" thickBot="1"/>
    <row r="9" spans="1:12">
      <c r="C9" s="127" t="s">
        <v>81</v>
      </c>
      <c r="D9" s="90"/>
      <c r="E9" s="92"/>
      <c r="G9" s="127" t="s">
        <v>179</v>
      </c>
      <c r="H9" s="90"/>
      <c r="I9" s="90"/>
      <c r="J9" s="90"/>
      <c r="K9" s="90"/>
      <c r="L9" s="92"/>
    </row>
    <row r="10" spans="1:12" ht="48.75" thickBot="1">
      <c r="C10" s="93" t="s">
        <v>171</v>
      </c>
      <c r="D10" s="91"/>
      <c r="E10" s="94" t="s">
        <v>105</v>
      </c>
      <c r="G10" s="93" t="s">
        <v>169</v>
      </c>
      <c r="H10" s="95" t="s">
        <v>180</v>
      </c>
      <c r="I10" s="95" t="s">
        <v>170</v>
      </c>
      <c r="J10" s="95" t="s">
        <v>188</v>
      </c>
      <c r="K10" s="95" t="s">
        <v>175</v>
      </c>
      <c r="L10" s="96" t="s">
        <v>189</v>
      </c>
    </row>
    <row r="11" spans="1:12" ht="25.5">
      <c r="C11" s="76" t="s">
        <v>253</v>
      </c>
      <c r="D11" s="77"/>
      <c r="E11" s="78" t="s">
        <v>159</v>
      </c>
      <c r="G11" s="114" t="s">
        <v>168</v>
      </c>
      <c r="H11" s="110">
        <v>750</v>
      </c>
      <c r="I11" s="111">
        <v>47.3</v>
      </c>
      <c r="J11" s="110">
        <f>GasolineHigherHeatingValueMjPerKg*GasolineDensity</f>
        <v>35475</v>
      </c>
      <c r="K11" s="111">
        <v>44</v>
      </c>
      <c r="L11" s="120">
        <f>GasolineLowerHeatingValueMjPerKg*GasolineDensity</f>
        <v>33000</v>
      </c>
    </row>
    <row r="12" spans="1:12" ht="12.75" thickBot="1">
      <c r="C12" s="79">
        <v>150</v>
      </c>
      <c r="D12" s="80" t="s">
        <v>80</v>
      </c>
      <c r="E12" s="81">
        <f>BtuPerCubicFoot*1.055056*35.31</f>
        <v>5588.104104</v>
      </c>
      <c r="G12" s="97"/>
      <c r="H12" s="98"/>
      <c r="I12" s="99"/>
      <c r="J12" s="99"/>
      <c r="K12" s="99"/>
      <c r="L12" s="100"/>
    </row>
    <row r="13" spans="1:12" ht="24">
      <c r="C13" s="76" t="s">
        <v>78</v>
      </c>
      <c r="D13" s="77"/>
      <c r="E13" s="78" t="s">
        <v>79</v>
      </c>
      <c r="G13" s="114" t="s">
        <v>172</v>
      </c>
      <c r="H13" s="110">
        <v>810</v>
      </c>
      <c r="I13" s="111">
        <v>46.1</v>
      </c>
      <c r="J13" s="110">
        <f>LightDieselHigherHeatingValueMjPerKg*LightDieselDensity</f>
        <v>37341</v>
      </c>
      <c r="K13" s="111">
        <v>43.2</v>
      </c>
      <c r="L13" s="120">
        <f>LightDieselLowerHeatingValueMjPerKg*LightDieselDensity</f>
        <v>34992</v>
      </c>
    </row>
    <row r="14" spans="1:12" ht="12.75" thickBot="1">
      <c r="C14" s="79">
        <v>8000</v>
      </c>
      <c r="D14" s="80" t="s">
        <v>80</v>
      </c>
      <c r="E14" s="81">
        <f>BtuPerPound*1.055056/0.4535924</f>
        <v>18608.001368629633</v>
      </c>
      <c r="G14" s="97"/>
      <c r="H14" s="98"/>
      <c r="I14" s="99"/>
      <c r="J14" s="99"/>
      <c r="K14" s="99"/>
      <c r="L14" s="100"/>
    </row>
    <row r="15" spans="1:12" ht="24">
      <c r="C15" s="76" t="s">
        <v>104</v>
      </c>
      <c r="D15" s="77"/>
      <c r="E15" s="78" t="s">
        <v>103</v>
      </c>
      <c r="G15" s="114" t="s">
        <v>173</v>
      </c>
      <c r="H15" s="110">
        <v>850</v>
      </c>
      <c r="I15" s="111">
        <v>45.5</v>
      </c>
      <c r="J15" s="110">
        <f>HeavyDieselHHV*HeavyDieselDensity</f>
        <v>38675</v>
      </c>
      <c r="K15" s="111">
        <v>42.8</v>
      </c>
      <c r="L15" s="120">
        <f>HeavyDieselLowerHeatingValueMjPerKg*HeavyDieselDensity</f>
        <v>36380</v>
      </c>
    </row>
    <row r="16" spans="1:12" ht="14.25" thickBot="1">
      <c r="C16" s="82">
        <f>MetricTonsPerHour/0.907</f>
        <v>26.460859977949283</v>
      </c>
      <c r="D16" s="80" t="s">
        <v>80</v>
      </c>
      <c r="E16" s="83">
        <v>24</v>
      </c>
      <c r="G16" s="106"/>
      <c r="H16" s="107"/>
      <c r="I16" s="108"/>
      <c r="J16" s="108" t="s">
        <v>190</v>
      </c>
      <c r="K16" s="108"/>
      <c r="L16" s="109" t="s">
        <v>190</v>
      </c>
    </row>
    <row r="17" spans="1:12" ht="24">
      <c r="C17" s="76" t="s">
        <v>82</v>
      </c>
      <c r="D17" s="77"/>
      <c r="E17" s="78" t="s">
        <v>83</v>
      </c>
      <c r="G17" s="115" t="s">
        <v>174</v>
      </c>
      <c r="H17" s="112">
        <v>0.72399999999999998</v>
      </c>
      <c r="I17" s="113">
        <v>50</v>
      </c>
      <c r="J17" s="121">
        <f>NaturalGasHigherHeatingValueMjPerKg*NaturalGasDensity*1000</f>
        <v>36199.999999999993</v>
      </c>
      <c r="K17" s="113">
        <v>45</v>
      </c>
      <c r="L17" s="122">
        <f>NaturalGasLowerHeatingValueMjPerKg*NaturalGasDensity*1000</f>
        <v>32580</v>
      </c>
    </row>
    <row r="18" spans="1:12" ht="12.75" thickBot="1">
      <c r="C18" s="131">
        <v>20</v>
      </c>
      <c r="D18" s="80" t="s">
        <v>80</v>
      </c>
      <c r="E18" s="85">
        <f>DollarPerMetricTons/0.907</f>
        <v>22.050716648291068</v>
      </c>
      <c r="G18" s="101"/>
      <c r="H18" s="102"/>
      <c r="I18" s="103"/>
      <c r="J18" s="104"/>
      <c r="K18" s="103"/>
      <c r="L18" s="105"/>
    </row>
    <row r="19" spans="1:12" ht="25.5">
      <c r="C19" s="76" t="s">
        <v>164</v>
      </c>
      <c r="D19" s="77"/>
      <c r="E19" s="78" t="s">
        <v>165</v>
      </c>
      <c r="G19" s="115" t="s">
        <v>176</v>
      </c>
      <c r="H19" s="112">
        <f>101325*28/8314/298</f>
        <v>1.1451130380872887</v>
      </c>
      <c r="I19" s="113">
        <v>10.1</v>
      </c>
      <c r="J19" s="121">
        <f>CO_HHV*CODensity*1000</f>
        <v>11565.641684681616</v>
      </c>
      <c r="K19" s="113">
        <v>10.1</v>
      </c>
      <c r="L19" s="122">
        <f>CO_LHV*CODensity*1000</f>
        <v>11565.641684681616</v>
      </c>
    </row>
    <row r="20" spans="1:12" ht="12.75" thickBot="1">
      <c r="C20" s="84">
        <v>5.6</v>
      </c>
      <c r="D20" s="80" t="s">
        <v>80</v>
      </c>
      <c r="E20" s="85">
        <f>CubicFootPerPonds/35.31*2.205</f>
        <v>0.34970263381478334</v>
      </c>
      <c r="G20" s="101"/>
      <c r="H20" s="102"/>
      <c r="I20" s="103"/>
      <c r="J20" s="104"/>
      <c r="K20" s="103"/>
      <c r="L20" s="105"/>
    </row>
    <row r="21" spans="1:12" ht="26.25" customHeight="1" thickBot="1">
      <c r="G21" s="115" t="s">
        <v>177</v>
      </c>
      <c r="H21" s="112">
        <f>101325*2/8314/298</f>
        <v>8.1793788434806336E-2</v>
      </c>
      <c r="I21" s="113">
        <v>142</v>
      </c>
      <c r="J21" s="121">
        <f>H2_HHV*H2Density*1000</f>
        <v>11614.717957742499</v>
      </c>
      <c r="K21" s="113">
        <v>120</v>
      </c>
      <c r="L21" s="122">
        <f>H2_LHV*H2Density*1000</f>
        <v>9815.2546121767609</v>
      </c>
    </row>
    <row r="22" spans="1:12" ht="12.75" thickBot="1">
      <c r="C22" s="127" t="s">
        <v>222</v>
      </c>
      <c r="D22" s="90"/>
      <c r="E22" s="92"/>
      <c r="G22" s="101"/>
      <c r="H22" s="102"/>
      <c r="I22" s="103"/>
      <c r="J22" s="104"/>
      <c r="K22" s="103"/>
      <c r="L22" s="105"/>
    </row>
    <row r="23" spans="1:12" ht="24.75" thickBot="1">
      <c r="C23" s="76" t="s">
        <v>115</v>
      </c>
      <c r="D23" s="77"/>
      <c r="E23" s="86" t="s">
        <v>102</v>
      </c>
      <c r="G23" s="116" t="s">
        <v>178</v>
      </c>
      <c r="H23" s="117">
        <f>101325*16/8314/298</f>
        <v>0.65435030747845069</v>
      </c>
      <c r="I23" s="118">
        <v>55.5</v>
      </c>
      <c r="J23" s="123">
        <f>CH4_HHV*CH4Density*1000</f>
        <v>36316.442065054012</v>
      </c>
      <c r="K23" s="118">
        <v>50</v>
      </c>
      <c r="L23" s="124">
        <f>CH4_LHV*CH4Density*1000</f>
        <v>32717.515373922539</v>
      </c>
    </row>
    <row r="24" spans="1:12" ht="12.75" thickBot="1">
      <c r="C24" s="131">
        <v>5</v>
      </c>
      <c r="D24" s="87" t="s">
        <v>80</v>
      </c>
      <c r="E24" s="88">
        <f>DollarPerMillionBtu/1055*3.6</f>
        <v>1.7061611374407586E-2</v>
      </c>
    </row>
    <row r="27" spans="1:12">
      <c r="A27" s="18" t="s">
        <v>112</v>
      </c>
      <c r="B27" s="70" t="s">
        <v>158</v>
      </c>
      <c r="C27" s="69" t="s">
        <v>259</v>
      </c>
      <c r="D27" s="2" t="s">
        <v>228</v>
      </c>
    </row>
    <row r="28" spans="1:12">
      <c r="A28" s="163" t="s">
        <v>254</v>
      </c>
      <c r="B28" s="13">
        <v>300000</v>
      </c>
      <c r="C28" s="24">
        <f>GasifierSystemCapitalCost/NetElectricalCapacity</f>
        <v>600</v>
      </c>
    </row>
    <row r="29" spans="1:12">
      <c r="A29" s="163" t="s">
        <v>255</v>
      </c>
      <c r="B29" s="13">
        <v>50000</v>
      </c>
      <c r="C29" s="24">
        <f>GasCleaningSystemCapitalCost/NetElectricalCapacity</f>
        <v>100</v>
      </c>
    </row>
    <row r="30" spans="1:12">
      <c r="A30" s="163" t="s">
        <v>256</v>
      </c>
      <c r="B30" s="13">
        <v>450000</v>
      </c>
      <c r="C30" s="24">
        <f>PowerGenerationCapitalCost/NetElectricalCapacity</f>
        <v>900</v>
      </c>
    </row>
    <row r="31" spans="1:12">
      <c r="A31" s="163" t="s">
        <v>257</v>
      </c>
      <c r="B31" s="13">
        <v>25000</v>
      </c>
      <c r="C31" s="24">
        <f>EmissionControlSystemCapitalCost/NetElectricalCapacity</f>
        <v>50</v>
      </c>
    </row>
    <row r="32" spans="1:12">
      <c r="A32" s="163" t="s">
        <v>258</v>
      </c>
      <c r="B32" s="71">
        <v>50000</v>
      </c>
      <c r="C32" s="24">
        <f>HeatRecoverySystemCapitalCost/NetElectricalCapacity</f>
        <v>100</v>
      </c>
    </row>
    <row r="33" spans="1:4">
      <c r="A33" s="163" t="s">
        <v>260</v>
      </c>
      <c r="B33" s="68">
        <f>GasifierSystemCapitalCost + GasCleaningSystemCapitalCost + PowerGenerationCapitalCost + EmissionControlSystemCapitalCost + HeatRecoverySystemCapitalCost</f>
        <v>875000</v>
      </c>
      <c r="C33" s="24">
        <f>TotalFacilityCapitalCost/NetElectricalCapacity</f>
        <v>1750</v>
      </c>
      <c r="D33" s="2" t="s">
        <v>125</v>
      </c>
    </row>
    <row r="34" spans="1:4">
      <c r="A34" s="17"/>
      <c r="B34" s="31"/>
    </row>
    <row r="35" spans="1:4">
      <c r="A35" s="164" t="s">
        <v>145</v>
      </c>
      <c r="B35" s="31"/>
    </row>
    <row r="36" spans="1:4">
      <c r="A36" s="11" t="s">
        <v>261</v>
      </c>
      <c r="B36" s="12">
        <v>650</v>
      </c>
      <c r="D36" s="2" t="s">
        <v>126</v>
      </c>
    </row>
    <row r="37" spans="1:4">
      <c r="A37" s="11" t="s">
        <v>262</v>
      </c>
      <c r="B37" s="12">
        <v>500</v>
      </c>
      <c r="D37" s="2" t="s">
        <v>160</v>
      </c>
    </row>
    <row r="38" spans="1:4">
      <c r="A38" s="32" t="s">
        <v>263</v>
      </c>
      <c r="B38" s="40">
        <f>GrossElectricalCapacity-NetElectricalCapacity</f>
        <v>150</v>
      </c>
      <c r="D38" s="2" t="s">
        <v>161</v>
      </c>
    </row>
    <row r="39" spans="1:4">
      <c r="A39" s="11" t="s">
        <v>264</v>
      </c>
      <c r="B39" s="12">
        <v>85</v>
      </c>
      <c r="D39" s="2" t="s">
        <v>77</v>
      </c>
    </row>
    <row r="40" spans="1:4">
      <c r="A40" s="32" t="s">
        <v>265</v>
      </c>
      <c r="B40" s="24">
        <f>CapacityFactor/100*8760</f>
        <v>7446</v>
      </c>
    </row>
    <row r="41" spans="1:4">
      <c r="A41" s="32" t="s">
        <v>266</v>
      </c>
      <c r="B41" s="24">
        <f>NetElectricalCapacity*AnnualHours</f>
        <v>3723000</v>
      </c>
    </row>
    <row r="42" spans="1:4">
      <c r="A42" s="11" t="s">
        <v>267</v>
      </c>
      <c r="B42" s="89">
        <v>65</v>
      </c>
    </row>
    <row r="43" spans="1:4">
      <c r="A43" s="11" t="s">
        <v>268</v>
      </c>
      <c r="B43" s="38">
        <v>23</v>
      </c>
    </row>
    <row r="44" spans="1:4">
      <c r="A44" s="32" t="s">
        <v>269</v>
      </c>
      <c r="B44" s="72">
        <f>HHVEfficiencyOfGasificationSystem*NetHHVEfficiencyofPowerGeneration/100</f>
        <v>14.95</v>
      </c>
      <c r="D44" s="2" t="s">
        <v>203</v>
      </c>
    </row>
    <row r="45" spans="1:4">
      <c r="A45" s="11" t="s">
        <v>270</v>
      </c>
      <c r="B45" s="38">
        <v>20</v>
      </c>
      <c r="D45" s="130" t="s">
        <v>230</v>
      </c>
    </row>
    <row r="46" spans="1:4">
      <c r="A46" s="11" t="s">
        <v>271</v>
      </c>
      <c r="B46" s="119"/>
    </row>
    <row r="47" spans="1:4">
      <c r="A47" s="11" t="s">
        <v>176</v>
      </c>
      <c r="B47" s="38">
        <v>20</v>
      </c>
    </row>
    <row r="48" spans="1:4" ht="13.5">
      <c r="A48" s="11" t="s">
        <v>177</v>
      </c>
      <c r="B48" s="38">
        <v>12</v>
      </c>
    </row>
    <row r="49" spans="1:4" ht="13.5">
      <c r="A49" s="11" t="s">
        <v>272</v>
      </c>
      <c r="B49" s="38">
        <v>5</v>
      </c>
    </row>
    <row r="50" spans="1:4" ht="13.5">
      <c r="A50" s="11" t="s">
        <v>181</v>
      </c>
      <c r="B50" s="38">
        <v>12</v>
      </c>
    </row>
    <row r="51" spans="1:4" ht="13.5">
      <c r="A51" s="11" t="s">
        <v>183</v>
      </c>
      <c r="B51" s="38">
        <v>0</v>
      </c>
    </row>
    <row r="52" spans="1:4" ht="13.5">
      <c r="A52" s="32" t="s">
        <v>182</v>
      </c>
      <c r="B52" s="72">
        <f>100-(CO+HydrogenGas+Hydrocarbons+CarbonDioxide+Oxygen)</f>
        <v>51</v>
      </c>
    </row>
    <row r="53" spans="1:4">
      <c r="A53" s="32" t="s">
        <v>273</v>
      </c>
      <c r="B53" s="73">
        <f>(CO*28+HydrogenGas*2+Hydrocarbons*16+CarbonDioxide*44+Oxygen*32+NitrogenGas*28)/100</f>
        <v>26.2</v>
      </c>
    </row>
    <row r="54" spans="1:4" ht="13.5">
      <c r="A54" s="32" t="s">
        <v>274</v>
      </c>
      <c r="B54" s="74">
        <f>101325*CleanGasMolecularMass/8314/298</f>
        <v>1.0714986284959629</v>
      </c>
    </row>
    <row r="55" spans="1:4" ht="13.5">
      <c r="A55" s="32" t="s">
        <v>275</v>
      </c>
      <c r="B55" s="40">
        <f>(CO*CO_HHV_KJL+HydrogenGas*H2_HHV_KJL+Hydrocarbons*CH4_HHV_KJL)/100</f>
        <v>5522.7165951181241</v>
      </c>
    </row>
    <row r="56" spans="1:4" ht="13.5">
      <c r="A56" s="32" t="s">
        <v>276</v>
      </c>
      <c r="B56" s="40">
        <f>(CO*CO_LHV_KJL+HydrogenGas*H2_LHV_KJL+Hydrocarbons*CH4_LHV_KJL)/100</f>
        <v>5126.8346590936617</v>
      </c>
    </row>
    <row r="57" spans="1:4">
      <c r="A57" s="32" t="s">
        <v>277</v>
      </c>
      <c r="B57" s="40">
        <f>NetElectricalCapacity/(NetHHVEfficiencyofPowerGeneration/100)</f>
        <v>2173.913043478261</v>
      </c>
    </row>
    <row r="58" spans="1:4">
      <c r="A58" s="32" t="s">
        <v>184</v>
      </c>
      <c r="B58" s="40">
        <f>TotalFuelPowerInput*(1-FractionOfInputEnergy/100)</f>
        <v>1739.130434782609</v>
      </c>
    </row>
    <row r="59" spans="1:4">
      <c r="A59" s="32" t="s">
        <v>185</v>
      </c>
      <c r="B59" s="40">
        <f>TotalFuelPowerInput*FractionOfInputEnergy/100</f>
        <v>434.78260869565219</v>
      </c>
    </row>
    <row r="60" spans="1:4" ht="13.5">
      <c r="A60" s="32" t="s">
        <v>186</v>
      </c>
      <c r="B60" s="40">
        <f>CleanGasPowerInput/CleanGasHigherHeatingValue*3600</f>
        <v>1133.6575863320179</v>
      </c>
    </row>
    <row r="61" spans="1:4">
      <c r="A61" s="32" t="s">
        <v>191</v>
      </c>
      <c r="B61" s="40">
        <f>CleanGasFlowRateVolume*CleanGasDensity</f>
        <v>1214.7125489388009</v>
      </c>
    </row>
    <row r="62" spans="1:4">
      <c r="A62" s="32" t="s">
        <v>193</v>
      </c>
      <c r="B62" s="40">
        <f>CleanGasFlowRateMass*AnnualHours/1000</f>
        <v>9044.749639398311</v>
      </c>
      <c r="D62" s="2" t="s">
        <v>192</v>
      </c>
    </row>
    <row r="63" spans="1:4">
      <c r="A63" s="32" t="s">
        <v>187</v>
      </c>
      <c r="B63" s="40">
        <f>DualFuelPowerInput/HeavyDieselHHVkJL*3600</f>
        <v>40.471037913493163</v>
      </c>
      <c r="D63" s="130" t="s">
        <v>223</v>
      </c>
    </row>
    <row r="64" spans="1:4">
      <c r="A64" s="32" t="s">
        <v>194</v>
      </c>
      <c r="B64" s="40">
        <f>DualFuelFlowRate*AnnualHours</f>
        <v>301347.34830387007</v>
      </c>
    </row>
    <row r="65" spans="1:4">
      <c r="A65" s="11" t="s">
        <v>195</v>
      </c>
      <c r="B65" s="12">
        <v>18608</v>
      </c>
      <c r="C65" s="2">
        <f>HigherHeatingValue*(1-MoistureContent/100)</f>
        <v>9304</v>
      </c>
      <c r="D65" s="2" t="s">
        <v>196</v>
      </c>
    </row>
    <row r="66" spans="1:4">
      <c r="A66" s="11" t="s">
        <v>197</v>
      </c>
      <c r="B66" s="38">
        <v>50</v>
      </c>
      <c r="D66" s="2" t="s">
        <v>198</v>
      </c>
    </row>
    <row r="67" spans="1:4">
      <c r="A67" s="32" t="s">
        <v>199</v>
      </c>
      <c r="B67" s="40">
        <f>CleanGasPowerInput/(HHVEfficiencyOfGasificationSystem/100)/C65*3600</f>
        <v>1035.2651572884106</v>
      </c>
    </row>
    <row r="68" spans="1:4">
      <c r="A68" s="32" t="s">
        <v>200</v>
      </c>
      <c r="B68" s="40">
        <f>BiomassFeedRate*AnnualHours/1000</f>
        <v>7708.5843611695045</v>
      </c>
      <c r="C68" s="2" t="s">
        <v>280</v>
      </c>
    </row>
    <row r="69" spans="1:4">
      <c r="A69" s="170" t="s">
        <v>201</v>
      </c>
      <c r="B69" s="171">
        <f>AnnualBiomassConsumptionDryMass/(1-MoistureContent/100)</f>
        <v>15417.168722339009</v>
      </c>
    </row>
    <row r="70" spans="1:4">
      <c r="A70" s="11" t="s">
        <v>202</v>
      </c>
      <c r="B70" s="12">
        <v>5</v>
      </c>
    </row>
    <row r="71" spans="1:4">
      <c r="A71" s="11" t="s">
        <v>204</v>
      </c>
      <c r="B71" s="12">
        <v>30</v>
      </c>
    </row>
    <row r="72" spans="1:4">
      <c r="A72" s="32" t="s">
        <v>206</v>
      </c>
      <c r="B72" s="40">
        <f>AshContent/100*BiomassFeedRate/(1-CarbonConcentration/100)</f>
        <v>73.947511234886477</v>
      </c>
    </row>
    <row r="73" spans="1:4">
      <c r="A73" s="32" t="s">
        <v>205</v>
      </c>
      <c r="B73" s="40">
        <f>CharProductionRate*AnnualHours/1000</f>
        <v>550.61316865496462</v>
      </c>
      <c r="D73" s="2" t="s">
        <v>207</v>
      </c>
    </row>
    <row r="74" spans="1:4">
      <c r="B74" s="27"/>
    </row>
    <row r="75" spans="1:4">
      <c r="A75" s="165" t="s">
        <v>146</v>
      </c>
      <c r="B75" s="27"/>
    </row>
    <row r="76" spans="1:4">
      <c r="A76" s="32" t="s">
        <v>113</v>
      </c>
      <c r="B76" s="24">
        <f>TotalFuelPowerInput-GrossElectricalCapacity</f>
        <v>1523.913043478261</v>
      </c>
      <c r="D76" s="2" t="s">
        <v>122</v>
      </c>
    </row>
    <row r="77" spans="1:4">
      <c r="A77" s="11" t="s">
        <v>134</v>
      </c>
      <c r="B77" s="13">
        <v>50</v>
      </c>
      <c r="D77" s="2" t="s">
        <v>121</v>
      </c>
    </row>
    <row r="78" spans="1:4">
      <c r="A78" s="32" t="s">
        <v>114</v>
      </c>
      <c r="B78" s="24">
        <f>TotalHeatProductionRate*AggregateFractionOfHeatRecovered/100</f>
        <v>761.95652173913049</v>
      </c>
      <c r="D78" s="2" t="s">
        <v>123</v>
      </c>
    </row>
    <row r="79" spans="1:4">
      <c r="A79" s="32" t="s">
        <v>117</v>
      </c>
      <c r="B79" s="24">
        <f>RecoveredHeat*AnnualHours</f>
        <v>5673528.2608695654</v>
      </c>
      <c r="D79" s="2" t="s">
        <v>124</v>
      </c>
    </row>
    <row r="80" spans="1:4">
      <c r="A80" s="11" t="s">
        <v>133</v>
      </c>
      <c r="B80" s="75">
        <v>0.01</v>
      </c>
      <c r="D80" s="2" t="s">
        <v>118</v>
      </c>
    </row>
    <row r="81" spans="1:4">
      <c r="A81" s="32" t="s">
        <v>116</v>
      </c>
      <c r="B81" s="24">
        <f>AnnualHeatSales*AggregateSalesPriceForHeat</f>
        <v>56735.282608695656</v>
      </c>
    </row>
    <row r="82" spans="1:4">
      <c r="A82" s="32" t="s">
        <v>144</v>
      </c>
      <c r="B82" s="48">
        <f>TotalIncomeFromHeatSales/AnnualNetElectricityGeneration</f>
        <v>1.5239130434782609E-2</v>
      </c>
    </row>
    <row r="83" spans="1:4">
      <c r="A83" s="32" t="s">
        <v>131</v>
      </c>
      <c r="B83" s="39">
        <f>(GrossElectricalCapacity*AnnualHours+AnnualHeatSales)/(TotalFuelPowerInput*AnnualHours)*100</f>
        <v>64.95</v>
      </c>
    </row>
    <row r="84" spans="1:4">
      <c r="A84" s="32" t="s">
        <v>132</v>
      </c>
      <c r="B84" s="39">
        <f>(AnnualNetElectricityGeneration+AnnualHeatSales)/(TotalFuelPowerInput*AnnualHours)*100</f>
        <v>58.050000000000004</v>
      </c>
    </row>
    <row r="85" spans="1:4">
      <c r="B85" s="27"/>
    </row>
    <row r="86" spans="1:4" ht="24">
      <c r="A86" s="18" t="s">
        <v>143</v>
      </c>
      <c r="B86" s="10"/>
      <c r="C86" s="45" t="s">
        <v>141</v>
      </c>
    </row>
    <row r="87" spans="1:4">
      <c r="A87" s="163" t="s">
        <v>210</v>
      </c>
      <c r="B87" s="44">
        <v>22.05</v>
      </c>
      <c r="C87" s="36">
        <f>AnnualBiomassConsumptionDryMass*BiomassFuelCost/AnnualNetElectricityGeneration</f>
        <v>4.5655193436418905E-2</v>
      </c>
      <c r="D87" s="2" t="s">
        <v>224</v>
      </c>
    </row>
    <row r="88" spans="1:4">
      <c r="A88" s="163" t="s">
        <v>211</v>
      </c>
      <c r="B88" s="44">
        <v>0.3</v>
      </c>
      <c r="C88" s="36">
        <f>DualFuelCost*AnnualDualFuelConsumption/AnnualNetElectricityGeneration</f>
        <v>2.4282622748095894E-2</v>
      </c>
      <c r="D88" s="130" t="s">
        <v>223</v>
      </c>
    </row>
    <row r="89" spans="1:4">
      <c r="A89" s="11" t="s">
        <v>135</v>
      </c>
      <c r="B89" s="46">
        <v>20000</v>
      </c>
      <c r="C89" s="36">
        <f>LaborCost/AnnualNetElectricityGeneration</f>
        <v>5.3720118184260009E-3</v>
      </c>
      <c r="D89" s="2" t="s">
        <v>147</v>
      </c>
    </row>
    <row r="90" spans="1:4">
      <c r="A90" s="11" t="s">
        <v>136</v>
      </c>
      <c r="B90" s="46">
        <v>4000</v>
      </c>
      <c r="C90" s="36">
        <f>MaintenanceCost/AnnualNetElectricityGeneration</f>
        <v>1.0744023636852001E-3</v>
      </c>
      <c r="D90" s="2" t="s">
        <v>148</v>
      </c>
    </row>
    <row r="91" spans="1:4">
      <c r="A91" s="163" t="s">
        <v>212</v>
      </c>
      <c r="B91" s="46">
        <v>2000</v>
      </c>
      <c r="C91" s="36">
        <f>WasteTreatment/AnnualNetElectricityGeneration</f>
        <v>5.3720118184260007E-4</v>
      </c>
    </row>
    <row r="92" spans="1:4">
      <c r="A92" s="11" t="s">
        <v>137</v>
      </c>
      <c r="B92" s="46">
        <v>1000</v>
      </c>
      <c r="C92" s="36">
        <f>Insurance/AnnualNetElectricityGeneration</f>
        <v>2.6860059092130003E-4</v>
      </c>
      <c r="D92" s="2" t="s">
        <v>149</v>
      </c>
    </row>
    <row r="93" spans="1:4">
      <c r="A93" s="11" t="s">
        <v>138</v>
      </c>
      <c r="B93" s="46">
        <v>1000</v>
      </c>
      <c r="C93" s="36">
        <f>Utilities/AnnualNetElectricityGeneration</f>
        <v>2.6860059092130003E-4</v>
      </c>
      <c r="D93" s="2" t="s">
        <v>152</v>
      </c>
    </row>
    <row r="94" spans="1:4">
      <c r="A94" s="11" t="s">
        <v>139</v>
      </c>
      <c r="B94" s="46">
        <v>1000</v>
      </c>
      <c r="C94" s="36">
        <f>Management/AnnualNetElectricityGeneration</f>
        <v>2.6860059092130003E-4</v>
      </c>
      <c r="D94" s="2" t="s">
        <v>150</v>
      </c>
    </row>
    <row r="95" spans="1:4">
      <c r="A95" s="11" t="s">
        <v>140</v>
      </c>
      <c r="B95" s="46">
        <v>1000</v>
      </c>
      <c r="C95" s="36">
        <f>OtherOperatingExpenses/AnnualNetElectricityGeneration</f>
        <v>2.6860059092130003E-4</v>
      </c>
      <c r="D95" s="2" t="s">
        <v>153</v>
      </c>
    </row>
    <row r="96" spans="1:4">
      <c r="A96" s="32" t="s">
        <v>142</v>
      </c>
      <c r="B96" s="47">
        <f>LaborCost+MaintenanceCost+WasteTreatment+Insurance+Utilities+Management+OtherOperatingExpenses</f>
        <v>30000</v>
      </c>
      <c r="C96" s="36">
        <f>LaborCostKwh+MaintenanceCostKwh+WasteTreatmentKwh+InsurancePropertyTaxKwh+UtilitiesKwh+ManagementKwh+OtherOperatingExpensesKwh</f>
        <v>8.0580177276390001E-3</v>
      </c>
    </row>
    <row r="97" spans="1:4">
      <c r="A97" s="32" t="s">
        <v>157</v>
      </c>
      <c r="B97" s="24">
        <f>BiomassFuelCost*AnnualBiomassConsumptionDryMass+DualFuelCost*AnnualDualFuelConsumption+TotalNonFuelExpenses</f>
        <v>290378.48965494859</v>
      </c>
      <c r="C97" s="36">
        <f>BiomassFuelCostKwh+DualFuelKwh+TotalNonFuelExpensesKwh</f>
        <v>7.7995833912153811E-2</v>
      </c>
    </row>
    <row r="98" spans="1:4">
      <c r="B98" s="5"/>
    </row>
    <row r="99" spans="1:4">
      <c r="A99" s="18" t="s">
        <v>35</v>
      </c>
      <c r="B99" s="3"/>
    </row>
    <row r="100" spans="1:4">
      <c r="A100" s="11" t="s">
        <v>0</v>
      </c>
      <c r="B100" s="14">
        <v>34</v>
      </c>
      <c r="D100" s="2" t="s">
        <v>84</v>
      </c>
    </row>
    <row r="101" spans="1:4">
      <c r="A101" s="11" t="s">
        <v>1</v>
      </c>
      <c r="B101" s="14">
        <v>9.6</v>
      </c>
      <c r="D101" s="2" t="s">
        <v>85</v>
      </c>
    </row>
    <row r="102" spans="1:4">
      <c r="A102" s="11" t="s">
        <v>106</v>
      </c>
      <c r="B102" s="28">
        <v>8.9999999999999993E-3</v>
      </c>
      <c r="D102" s="2" t="s">
        <v>225</v>
      </c>
    </row>
    <row r="103" spans="1:4">
      <c r="A103" s="32" t="s">
        <v>2</v>
      </c>
      <c r="B103" s="34">
        <f>StateTaxRate+FederalTaxRate*(1-StateTaxRate/100)</f>
        <v>40.335999999999999</v>
      </c>
      <c r="D103" s="2" t="s">
        <v>86</v>
      </c>
    </row>
    <row r="104" spans="1:4">
      <c r="B104" s="7"/>
    </row>
    <row r="105" spans="1:4">
      <c r="A105" s="18" t="s">
        <v>43</v>
      </c>
      <c r="B105" s="3"/>
    </row>
    <row r="106" spans="1:4">
      <c r="A106" s="11" t="s">
        <v>120</v>
      </c>
      <c r="B106" s="15">
        <v>0</v>
      </c>
      <c r="D106" s="2" t="s">
        <v>229</v>
      </c>
    </row>
    <row r="107" spans="1:4">
      <c r="A107" s="11" t="s">
        <v>72</v>
      </c>
      <c r="B107" s="14">
        <v>2</v>
      </c>
      <c r="D107" s="2" t="s">
        <v>87</v>
      </c>
    </row>
    <row r="108" spans="1:4">
      <c r="A108" s="163" t="s">
        <v>213</v>
      </c>
      <c r="B108" s="14">
        <v>0</v>
      </c>
      <c r="D108" s="2" t="s">
        <v>226</v>
      </c>
    </row>
    <row r="109" spans="1:4">
      <c r="A109" s="32" t="s">
        <v>14</v>
      </c>
      <c r="B109" s="24">
        <f>ElectricityCapacityPayment*NetElectricalCapacity</f>
        <v>0</v>
      </c>
    </row>
    <row r="110" spans="1:4">
      <c r="A110" s="32" t="s">
        <v>13</v>
      </c>
      <c r="B110" s="24">
        <f>DebtReserve*InterestRateOnDebtReserve/100</f>
        <v>1263.820748253388</v>
      </c>
    </row>
    <row r="111" spans="1:4">
      <c r="A111" s="163" t="s">
        <v>209</v>
      </c>
      <c r="B111" s="24">
        <f>SalesPriceForChar*AnnualCharProduction</f>
        <v>0</v>
      </c>
    </row>
    <row r="112" spans="1:4">
      <c r="B112" s="4"/>
    </row>
    <row r="113" spans="1:4">
      <c r="A113" s="18" t="s">
        <v>44</v>
      </c>
      <c r="B113" s="16"/>
    </row>
    <row r="114" spans="1:4">
      <c r="A114" s="11" t="s">
        <v>70</v>
      </c>
      <c r="B114" s="14">
        <v>2.1</v>
      </c>
      <c r="D114" s="2" t="s">
        <v>88</v>
      </c>
    </row>
    <row r="115" spans="1:4">
      <c r="A115" s="163" t="s">
        <v>217</v>
      </c>
      <c r="B115" s="14">
        <v>2.1</v>
      </c>
      <c r="D115" s="2" t="s">
        <v>89</v>
      </c>
    </row>
    <row r="116" spans="1:4">
      <c r="A116" s="163" t="s">
        <v>216</v>
      </c>
      <c r="B116" s="14">
        <v>2.1</v>
      </c>
    </row>
    <row r="117" spans="1:4">
      <c r="A117" s="11" t="s">
        <v>219</v>
      </c>
      <c r="B117" s="14">
        <v>2.1</v>
      </c>
      <c r="D117" s="2" t="s">
        <v>111</v>
      </c>
    </row>
    <row r="118" spans="1:4">
      <c r="A118" s="163" t="s">
        <v>220</v>
      </c>
      <c r="B118" s="14">
        <v>2.1</v>
      </c>
      <c r="D118" s="2" t="s">
        <v>119</v>
      </c>
    </row>
    <row r="119" spans="1:4">
      <c r="A119" s="163" t="s">
        <v>221</v>
      </c>
      <c r="B119" s="14">
        <v>2.1</v>
      </c>
      <c r="D119" s="2" t="s">
        <v>227</v>
      </c>
    </row>
    <row r="120" spans="1:4">
      <c r="A120" s="11" t="s">
        <v>71</v>
      </c>
      <c r="B120" s="14">
        <v>2.1</v>
      </c>
      <c r="D120" s="2" t="s">
        <v>90</v>
      </c>
    </row>
    <row r="121" spans="1:4">
      <c r="B121" s="6"/>
    </row>
    <row r="122" spans="1:4">
      <c r="A122" s="18" t="s">
        <v>45</v>
      </c>
      <c r="B122" s="16"/>
    </row>
    <row r="123" spans="1:4">
      <c r="A123" s="11" t="s">
        <v>3</v>
      </c>
      <c r="B123" s="14">
        <v>90</v>
      </c>
      <c r="D123" s="2" t="s">
        <v>91</v>
      </c>
    </row>
    <row r="124" spans="1:4">
      <c r="A124" s="32" t="s">
        <v>4</v>
      </c>
      <c r="B124" s="35">
        <f>100-DebtRatio</f>
        <v>10</v>
      </c>
      <c r="D124" s="2" t="s">
        <v>92</v>
      </c>
    </row>
    <row r="125" spans="1:4">
      <c r="A125" s="11" t="s">
        <v>73</v>
      </c>
      <c r="B125" s="14">
        <v>5</v>
      </c>
      <c r="D125" s="2" t="s">
        <v>94</v>
      </c>
    </row>
    <row r="126" spans="1:4">
      <c r="A126" s="11" t="s">
        <v>107</v>
      </c>
      <c r="B126" s="23">
        <v>20</v>
      </c>
      <c r="D126" s="2" t="s">
        <v>127</v>
      </c>
    </row>
    <row r="127" spans="1:4">
      <c r="A127" s="11" t="s">
        <v>74</v>
      </c>
      <c r="B127" s="14">
        <v>15</v>
      </c>
      <c r="D127" s="2" t="s">
        <v>93</v>
      </c>
    </row>
    <row r="128" spans="1:4">
      <c r="A128" s="32" t="s">
        <v>75</v>
      </c>
      <c r="B128" s="35">
        <f>DebtRatio/100*InterestRateOnDebt+EquityRatio/100*CostOfEquity</f>
        <v>6</v>
      </c>
      <c r="D128" s="2" t="s">
        <v>95</v>
      </c>
    </row>
    <row r="129" spans="1:6">
      <c r="A129" s="32" t="s">
        <v>5</v>
      </c>
      <c r="B129" s="24">
        <f>TotalFacilityCapitalCost</f>
        <v>875000</v>
      </c>
    </row>
    <row r="130" spans="1:6">
      <c r="A130" s="32" t="s">
        <v>6</v>
      </c>
      <c r="B130" s="24">
        <f>TotalCostOfPlant*EquityRatio/100</f>
        <v>87500</v>
      </c>
    </row>
    <row r="131" spans="1:6">
      <c r="A131" s="32" t="s">
        <v>7</v>
      </c>
      <c r="B131" s="24">
        <f>TotalCostOfPlant*DebtRatio/100</f>
        <v>787500</v>
      </c>
    </row>
    <row r="132" spans="1:6">
      <c r="A132" s="32" t="s">
        <v>8</v>
      </c>
      <c r="B132" s="36">
        <f>CostOfEquity/100*(1+CostOfEquity/100)^EconomicLife/((1+CostOfEquity/100)^EconomicLife-1)</f>
        <v>0.1597614704057439</v>
      </c>
      <c r="D132" s="2" t="s">
        <v>96</v>
      </c>
    </row>
    <row r="133" spans="1:6">
      <c r="A133" s="32" t="s">
        <v>9</v>
      </c>
      <c r="B133" s="36">
        <f>InterestRateOnDebt/100*(1+InterestRateOnDebt/100)^EconomicLife/((1+InterestRateOnDebt/100)^EconomicLife-1)</f>
        <v>8.0242587190691314E-2</v>
      </c>
    </row>
    <row r="134" spans="1:6">
      <c r="A134" s="32" t="s">
        <v>10</v>
      </c>
      <c r="B134" s="24">
        <f>CapitalRecoveryFactorEquity*TotalEquityCost</f>
        <v>13979.128660502591</v>
      </c>
      <c r="D134" s="2" t="s">
        <v>97</v>
      </c>
    </row>
    <row r="135" spans="1:6">
      <c r="A135" s="32" t="s">
        <v>11</v>
      </c>
      <c r="B135" s="24">
        <f>TotalDebtCost*CapitalRecoveryFactorDebt</f>
        <v>63191.037412669408</v>
      </c>
      <c r="D135" s="2" t="s">
        <v>98</v>
      </c>
    </row>
    <row r="136" spans="1:6">
      <c r="A136" s="11" t="s">
        <v>12</v>
      </c>
      <c r="B136" s="13">
        <f>AnnualDebtPayment</f>
        <v>63191.037412669408</v>
      </c>
      <c r="D136" s="2" t="s">
        <v>99</v>
      </c>
    </row>
    <row r="138" spans="1:6">
      <c r="A138" s="18" t="s">
        <v>46</v>
      </c>
      <c r="B138" s="3"/>
      <c r="D138" s="2" t="s">
        <v>100</v>
      </c>
    </row>
    <row r="139" spans="1:6" ht="24">
      <c r="A139" s="67"/>
      <c r="B139" s="125" t="s">
        <v>218</v>
      </c>
      <c r="D139" s="22" t="s">
        <v>128</v>
      </c>
      <c r="E139" s="22" t="s">
        <v>129</v>
      </c>
      <c r="F139" s="22" t="s">
        <v>130</v>
      </c>
    </row>
    <row r="140" spans="1:6">
      <c r="A140" s="11" t="s">
        <v>15</v>
      </c>
      <c r="B140" s="19">
        <f>F140</f>
        <v>0.05</v>
      </c>
      <c r="D140" s="41">
        <v>0.2</v>
      </c>
      <c r="E140" s="41">
        <v>0.1</v>
      </c>
      <c r="F140" s="41">
        <v>0.05</v>
      </c>
    </row>
    <row r="141" spans="1:6">
      <c r="A141" s="11" t="s">
        <v>16</v>
      </c>
      <c r="B141" s="19">
        <f t="shared" ref="B141:B159" si="0">F141</f>
        <v>0.05</v>
      </c>
      <c r="D141" s="41">
        <v>0.32</v>
      </c>
      <c r="E141" s="41">
        <v>0.18</v>
      </c>
      <c r="F141" s="41">
        <v>0.05</v>
      </c>
    </row>
    <row r="142" spans="1:6">
      <c r="A142" s="11" t="s">
        <v>17</v>
      </c>
      <c r="B142" s="19">
        <f t="shared" si="0"/>
        <v>0.05</v>
      </c>
      <c r="D142" s="41">
        <v>0.192</v>
      </c>
      <c r="E142" s="41">
        <v>0.14399999999999999</v>
      </c>
      <c r="F142" s="41">
        <v>0.05</v>
      </c>
    </row>
    <row r="143" spans="1:6">
      <c r="A143" s="11" t="s">
        <v>18</v>
      </c>
      <c r="B143" s="19">
        <f t="shared" si="0"/>
        <v>0.05</v>
      </c>
      <c r="D143" s="41">
        <v>0.1152</v>
      </c>
      <c r="E143" s="41">
        <v>0.1152</v>
      </c>
      <c r="F143" s="41">
        <v>0.05</v>
      </c>
    </row>
    <row r="144" spans="1:6">
      <c r="A144" s="11" t="s">
        <v>19</v>
      </c>
      <c r="B144" s="19">
        <f t="shared" si="0"/>
        <v>0.05</v>
      </c>
      <c r="D144" s="41">
        <v>0.1152</v>
      </c>
      <c r="E144" s="41">
        <v>9.2200000000000004E-2</v>
      </c>
      <c r="F144" s="41">
        <v>0.05</v>
      </c>
    </row>
    <row r="145" spans="1:8">
      <c r="A145" s="11" t="s">
        <v>20</v>
      </c>
      <c r="B145" s="19">
        <f t="shared" si="0"/>
        <v>0.05</v>
      </c>
      <c r="D145" s="41">
        <v>5.7599999999999998E-2</v>
      </c>
      <c r="E145" s="41">
        <v>7.3700000000000002E-2</v>
      </c>
      <c r="F145" s="41">
        <v>0.05</v>
      </c>
    </row>
    <row r="146" spans="1:8">
      <c r="A146" s="11" t="s">
        <v>47</v>
      </c>
      <c r="B146" s="19">
        <f t="shared" si="0"/>
        <v>0.05</v>
      </c>
      <c r="D146" s="41">
        <v>0</v>
      </c>
      <c r="E146" s="41">
        <v>6.5500000000000003E-2</v>
      </c>
      <c r="F146" s="41">
        <v>0.05</v>
      </c>
    </row>
    <row r="147" spans="1:8">
      <c r="A147" s="11" t="s">
        <v>48</v>
      </c>
      <c r="B147" s="19">
        <f t="shared" si="0"/>
        <v>0.05</v>
      </c>
      <c r="D147" s="41">
        <v>0</v>
      </c>
      <c r="E147" s="41">
        <v>6.5500000000000003E-2</v>
      </c>
      <c r="F147" s="41">
        <v>0.05</v>
      </c>
    </row>
    <row r="148" spans="1:8">
      <c r="A148" s="11" t="s">
        <v>49</v>
      </c>
      <c r="B148" s="19">
        <f t="shared" si="0"/>
        <v>0.05</v>
      </c>
      <c r="D148" s="41">
        <v>0</v>
      </c>
      <c r="E148" s="41">
        <v>6.5500000000000003E-2</v>
      </c>
      <c r="F148" s="41">
        <v>0.05</v>
      </c>
    </row>
    <row r="149" spans="1:8">
      <c r="A149" s="11" t="s">
        <v>50</v>
      </c>
      <c r="B149" s="19">
        <f t="shared" si="0"/>
        <v>0.05</v>
      </c>
      <c r="D149" s="41">
        <v>0</v>
      </c>
      <c r="E149" s="41">
        <v>6.5500000000000003E-2</v>
      </c>
      <c r="F149" s="41">
        <v>0.05</v>
      </c>
    </row>
    <row r="150" spans="1:8">
      <c r="A150" s="11" t="s">
        <v>51</v>
      </c>
      <c r="B150" s="19">
        <f t="shared" si="0"/>
        <v>0.05</v>
      </c>
      <c r="D150" s="41">
        <v>0</v>
      </c>
      <c r="E150" s="41">
        <v>3.2899999999999999E-2</v>
      </c>
      <c r="F150" s="41">
        <v>0.05</v>
      </c>
    </row>
    <row r="151" spans="1:8">
      <c r="A151" s="11" t="s">
        <v>52</v>
      </c>
      <c r="B151" s="19">
        <f t="shared" si="0"/>
        <v>0.05</v>
      </c>
      <c r="D151" s="41">
        <v>0</v>
      </c>
      <c r="E151" s="41">
        <v>0</v>
      </c>
      <c r="F151" s="41">
        <v>0.05</v>
      </c>
    </row>
    <row r="152" spans="1:8">
      <c r="A152" s="11" t="s">
        <v>53</v>
      </c>
      <c r="B152" s="19">
        <f t="shared" si="0"/>
        <v>0.05</v>
      </c>
      <c r="D152" s="41">
        <v>0</v>
      </c>
      <c r="E152" s="41">
        <v>0</v>
      </c>
      <c r="F152" s="41">
        <v>0.05</v>
      </c>
    </row>
    <row r="153" spans="1:8">
      <c r="A153" s="11" t="s">
        <v>54</v>
      </c>
      <c r="B153" s="19">
        <f t="shared" si="0"/>
        <v>0.05</v>
      </c>
      <c r="D153" s="41">
        <v>0</v>
      </c>
      <c r="E153" s="41">
        <v>0</v>
      </c>
      <c r="F153" s="41">
        <v>0.05</v>
      </c>
    </row>
    <row r="154" spans="1:8">
      <c r="A154" s="11" t="s">
        <v>55</v>
      </c>
      <c r="B154" s="19">
        <f t="shared" si="0"/>
        <v>0.05</v>
      </c>
      <c r="D154" s="41">
        <v>0</v>
      </c>
      <c r="E154" s="41">
        <v>0</v>
      </c>
      <c r="F154" s="41">
        <v>0.05</v>
      </c>
      <c r="G154" s="30"/>
      <c r="H154" s="30"/>
    </row>
    <row r="155" spans="1:8">
      <c r="A155" s="11" t="s">
        <v>56</v>
      </c>
      <c r="B155" s="19">
        <f t="shared" si="0"/>
        <v>0.05</v>
      </c>
      <c r="D155" s="41">
        <v>0</v>
      </c>
      <c r="E155" s="41">
        <v>0</v>
      </c>
      <c r="F155" s="41">
        <v>0.05</v>
      </c>
    </row>
    <row r="156" spans="1:8">
      <c r="A156" s="11" t="s">
        <v>57</v>
      </c>
      <c r="B156" s="19">
        <f t="shared" si="0"/>
        <v>0.05</v>
      </c>
      <c r="D156" s="41">
        <v>0</v>
      </c>
      <c r="E156" s="41">
        <v>0</v>
      </c>
      <c r="F156" s="41">
        <v>0.05</v>
      </c>
    </row>
    <row r="157" spans="1:8">
      <c r="A157" s="11" t="s">
        <v>58</v>
      </c>
      <c r="B157" s="19">
        <f t="shared" si="0"/>
        <v>0.05</v>
      </c>
      <c r="D157" s="41">
        <v>0</v>
      </c>
      <c r="E157" s="41">
        <v>0</v>
      </c>
      <c r="F157" s="41">
        <v>0.05</v>
      </c>
    </row>
    <row r="158" spans="1:8">
      <c r="A158" s="11" t="s">
        <v>59</v>
      </c>
      <c r="B158" s="19">
        <f t="shared" si="0"/>
        <v>0.05</v>
      </c>
      <c r="D158" s="41">
        <v>0</v>
      </c>
      <c r="E158" s="41">
        <v>0</v>
      </c>
      <c r="F158" s="41">
        <v>0.05</v>
      </c>
    </row>
    <row r="159" spans="1:8">
      <c r="A159" s="11" t="s">
        <v>60</v>
      </c>
      <c r="B159" s="19">
        <f t="shared" si="0"/>
        <v>0.05</v>
      </c>
      <c r="D159" s="41">
        <v>0</v>
      </c>
      <c r="E159" s="41">
        <v>0</v>
      </c>
      <c r="F159" s="41">
        <v>0.05</v>
      </c>
    </row>
    <row r="160" spans="1:8">
      <c r="A160" s="32" t="s">
        <v>21</v>
      </c>
      <c r="B160" s="37">
        <f>SUM(B140:B159)</f>
        <v>1.0000000000000002</v>
      </c>
      <c r="D160" s="36">
        <f>SUM(D140:D159)</f>
        <v>0.99999999999999989</v>
      </c>
      <c r="E160" s="36">
        <f>SUM(E140:E159)</f>
        <v>1</v>
      </c>
      <c r="F160" s="36">
        <f>SUM(F140:F159)</f>
        <v>1.0000000000000002</v>
      </c>
    </row>
    <row r="161" spans="1:4">
      <c r="B161" s="9"/>
    </row>
    <row r="162" spans="1:4" ht="24">
      <c r="A162" s="126" t="s">
        <v>108</v>
      </c>
      <c r="B162" s="125" t="s">
        <v>218</v>
      </c>
      <c r="D162" s="2" t="s">
        <v>151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47</v>
      </c>
      <c r="B169" s="29">
        <v>0</v>
      </c>
    </row>
    <row r="170" spans="1:4">
      <c r="A170" s="11" t="s">
        <v>48</v>
      </c>
      <c r="B170" s="23">
        <v>0</v>
      </c>
    </row>
    <row r="171" spans="1:4">
      <c r="A171" s="11" t="s">
        <v>49</v>
      </c>
      <c r="B171" s="23">
        <v>0</v>
      </c>
    </row>
    <row r="172" spans="1:4">
      <c r="A172" s="11" t="s">
        <v>50</v>
      </c>
      <c r="B172" s="23">
        <v>0</v>
      </c>
    </row>
    <row r="173" spans="1:4">
      <c r="A173" s="11" t="s">
        <v>51</v>
      </c>
      <c r="B173" s="23">
        <v>0</v>
      </c>
    </row>
    <row r="174" spans="1:4">
      <c r="A174" s="11" t="s">
        <v>52</v>
      </c>
      <c r="B174" s="23">
        <v>0</v>
      </c>
    </row>
    <row r="175" spans="1:4">
      <c r="A175" s="11" t="s">
        <v>53</v>
      </c>
      <c r="B175" s="23">
        <v>0</v>
      </c>
    </row>
    <row r="176" spans="1:4">
      <c r="A176" s="11" t="s">
        <v>54</v>
      </c>
      <c r="B176" s="23">
        <v>0</v>
      </c>
    </row>
    <row r="177" spans="1:34">
      <c r="A177" s="11" t="s">
        <v>55</v>
      </c>
      <c r="B177" s="23">
        <v>0</v>
      </c>
    </row>
    <row r="178" spans="1:34">
      <c r="A178" s="11" t="s">
        <v>56</v>
      </c>
      <c r="B178" s="23">
        <v>0</v>
      </c>
    </row>
    <row r="179" spans="1:34">
      <c r="A179" s="11" t="s">
        <v>57</v>
      </c>
      <c r="B179" s="23">
        <v>0</v>
      </c>
    </row>
    <row r="180" spans="1:34">
      <c r="A180" s="11" t="s">
        <v>58</v>
      </c>
      <c r="B180" s="23">
        <v>0</v>
      </c>
    </row>
    <row r="181" spans="1:34">
      <c r="A181" s="11" t="s">
        <v>59</v>
      </c>
      <c r="B181" s="23">
        <v>0</v>
      </c>
    </row>
    <row r="182" spans="1:34">
      <c r="A182" s="11" t="s">
        <v>60</v>
      </c>
      <c r="B182" s="23">
        <v>0</v>
      </c>
    </row>
    <row r="183" spans="1:34">
      <c r="B183" s="9"/>
    </row>
    <row r="184" spans="1:34">
      <c r="A184" s="18" t="s">
        <v>61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6" t="s">
        <v>22</v>
      </c>
      <c r="B185" s="56">
        <v>1</v>
      </c>
      <c r="C185" s="56">
        <f t="shared" ref="C185:K185" si="1">B185+1</f>
        <v>2</v>
      </c>
      <c r="D185" s="56">
        <f t="shared" si="1"/>
        <v>3</v>
      </c>
      <c r="E185" s="56">
        <f t="shared" si="1"/>
        <v>4</v>
      </c>
      <c r="F185" s="56">
        <f>E185+1</f>
        <v>5</v>
      </c>
      <c r="G185" s="56">
        <f>F185+1</f>
        <v>6</v>
      </c>
      <c r="H185" s="56">
        <f>G185+1</f>
        <v>7</v>
      </c>
      <c r="I185" s="56">
        <f>H185+1</f>
        <v>8</v>
      </c>
      <c r="J185" s="56">
        <f t="shared" si="1"/>
        <v>9</v>
      </c>
      <c r="K185" s="56">
        <f t="shared" si="1"/>
        <v>10</v>
      </c>
      <c r="L185" s="56">
        <f>K185+1</f>
        <v>11</v>
      </c>
      <c r="M185" s="56">
        <f t="shared" ref="M185:U185" si="2">L185+1</f>
        <v>12</v>
      </c>
      <c r="N185" s="56">
        <f t="shared" si="2"/>
        <v>13</v>
      </c>
      <c r="O185" s="56">
        <f t="shared" si="2"/>
        <v>14</v>
      </c>
      <c r="P185" s="56">
        <f t="shared" si="2"/>
        <v>15</v>
      </c>
      <c r="Q185" s="56">
        <f t="shared" si="2"/>
        <v>16</v>
      </c>
      <c r="R185" s="56">
        <f t="shared" si="2"/>
        <v>17</v>
      </c>
      <c r="S185" s="56">
        <f t="shared" si="2"/>
        <v>18</v>
      </c>
      <c r="T185" s="56">
        <f t="shared" si="2"/>
        <v>19</v>
      </c>
      <c r="U185" s="56">
        <f t="shared" si="2"/>
        <v>20</v>
      </c>
      <c r="V185" s="62" t="s">
        <v>21</v>
      </c>
    </row>
    <row r="186" spans="1:34">
      <c r="A186" s="49" t="s">
        <v>23</v>
      </c>
      <c r="B186" s="57">
        <f>AnnualEquityRecovery</f>
        <v>13979.128660502591</v>
      </c>
      <c r="C186" s="57">
        <f>AnnualEquityRecovery</f>
        <v>13979.128660502591</v>
      </c>
      <c r="D186" s="57">
        <f t="shared" ref="D186:K186" si="3">$B$134</f>
        <v>13979.128660502591</v>
      </c>
      <c r="E186" s="57">
        <f t="shared" si="3"/>
        <v>13979.128660502591</v>
      </c>
      <c r="F186" s="57">
        <f t="shared" si="3"/>
        <v>13979.128660502591</v>
      </c>
      <c r="G186" s="57">
        <f t="shared" si="3"/>
        <v>13979.128660502591</v>
      </c>
      <c r="H186" s="57">
        <f t="shared" si="3"/>
        <v>13979.128660502591</v>
      </c>
      <c r="I186" s="57">
        <f t="shared" si="3"/>
        <v>13979.128660502591</v>
      </c>
      <c r="J186" s="57">
        <f t="shared" si="3"/>
        <v>13979.128660502591</v>
      </c>
      <c r="K186" s="57">
        <f t="shared" si="3"/>
        <v>13979.128660502591</v>
      </c>
      <c r="L186" s="57">
        <f t="shared" ref="L186:U186" si="4">$B$134</f>
        <v>13979.128660502591</v>
      </c>
      <c r="M186" s="57">
        <f t="shared" si="4"/>
        <v>13979.128660502591</v>
      </c>
      <c r="N186" s="57">
        <f t="shared" si="4"/>
        <v>13979.128660502591</v>
      </c>
      <c r="O186" s="57">
        <f t="shared" si="4"/>
        <v>13979.128660502591</v>
      </c>
      <c r="P186" s="57">
        <f t="shared" si="4"/>
        <v>13979.128660502591</v>
      </c>
      <c r="Q186" s="57">
        <f t="shared" si="4"/>
        <v>13979.128660502591</v>
      </c>
      <c r="R186" s="57">
        <f t="shared" si="4"/>
        <v>13979.128660502591</v>
      </c>
      <c r="S186" s="57">
        <f t="shared" si="4"/>
        <v>13979.128660502591</v>
      </c>
      <c r="T186" s="57">
        <f t="shared" si="4"/>
        <v>13979.128660502591</v>
      </c>
      <c r="U186" s="58">
        <f t="shared" si="4"/>
        <v>13979.128660502591</v>
      </c>
      <c r="V186" s="63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0" t="s">
        <v>24</v>
      </c>
      <c r="B187" s="43">
        <f>CostOfEquity/100*TotalEquityCost</f>
        <v>13125</v>
      </c>
      <c r="C187" s="43">
        <f>CostOfEquity/100*EquityPrincipalRemaining</f>
        <v>12996.88070092461</v>
      </c>
      <c r="D187" s="43">
        <f t="shared" ref="D187:K187" si="5">$B$127/100*C189</f>
        <v>12849.543506987911</v>
      </c>
      <c r="E187" s="43">
        <f t="shared" si="5"/>
        <v>12680.10573396071</v>
      </c>
      <c r="F187" s="43">
        <f>$B$127/100*E189</f>
        <v>12485.252294979429</v>
      </c>
      <c r="G187" s="43">
        <f>$B$127/100*F189</f>
        <v>12261.170840150955</v>
      </c>
      <c r="H187" s="43">
        <f>$B$127/100*G189</f>
        <v>12003.47716709821</v>
      </c>
      <c r="I187" s="43">
        <f>$B$127/100*H189</f>
        <v>11707.129443087553</v>
      </c>
      <c r="J187" s="43">
        <f t="shared" si="5"/>
        <v>11366.329560475298</v>
      </c>
      <c r="K187" s="43">
        <f t="shared" si="5"/>
        <v>10974.409695471204</v>
      </c>
      <c r="L187" s="43">
        <f>$B$127/100*K189</f>
        <v>10523.701850716498</v>
      </c>
      <c r="M187" s="43">
        <f t="shared" ref="M187:U187" si="6">$B$127/100*L189</f>
        <v>10005.387829248584</v>
      </c>
      <c r="N187" s="43">
        <f t="shared" si="6"/>
        <v>9409.3267045604825</v>
      </c>
      <c r="O187" s="43">
        <f t="shared" si="6"/>
        <v>8723.8564111691667</v>
      </c>
      <c r="P187" s="43">
        <f t="shared" si="6"/>
        <v>7935.5655737691532</v>
      </c>
      <c r="Q187" s="43">
        <f t="shared" si="6"/>
        <v>7029.0311107591369</v>
      </c>
      <c r="R187" s="43">
        <f t="shared" si="6"/>
        <v>5986.516478297619</v>
      </c>
      <c r="S187" s="43">
        <f t="shared" si="6"/>
        <v>4787.6246509668727</v>
      </c>
      <c r="T187" s="43">
        <f t="shared" si="6"/>
        <v>3408.8990495365156</v>
      </c>
      <c r="U187" s="59">
        <f t="shared" si="6"/>
        <v>1823.3646078916042</v>
      </c>
      <c r="V187" s="64">
        <f t="shared" ref="V187:V206" si="7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0" t="s">
        <v>25</v>
      </c>
      <c r="B188" s="43">
        <f>EquityRecovery-EquityInterest</f>
        <v>854.12866050259072</v>
      </c>
      <c r="C188" s="43">
        <f t="shared" ref="C188:K188" si="8">C186-C187</f>
        <v>982.24795957798051</v>
      </c>
      <c r="D188" s="43">
        <f t="shared" si="8"/>
        <v>1129.5851535146794</v>
      </c>
      <c r="E188" s="43">
        <f t="shared" si="8"/>
        <v>1299.0229265418802</v>
      </c>
      <c r="F188" s="43">
        <f>F186-F187</f>
        <v>1493.8763655231614</v>
      </c>
      <c r="G188" s="43">
        <f>G186-G187</f>
        <v>1717.9578203516357</v>
      </c>
      <c r="H188" s="43">
        <f>H186-H187</f>
        <v>1975.6514934043807</v>
      </c>
      <c r="I188" s="43">
        <f t="shared" si="8"/>
        <v>2271.9992174150375</v>
      </c>
      <c r="J188" s="43">
        <f t="shared" si="8"/>
        <v>2612.7991000272923</v>
      </c>
      <c r="K188" s="43">
        <f t="shared" si="8"/>
        <v>3004.7189650313867</v>
      </c>
      <c r="L188" s="43">
        <f t="shared" ref="L188:U188" si="9">L186-L187</f>
        <v>3455.4268097860931</v>
      </c>
      <c r="M188" s="43">
        <f t="shared" si="9"/>
        <v>3973.7408312540065</v>
      </c>
      <c r="N188" s="43">
        <f t="shared" si="9"/>
        <v>4569.8019559421082</v>
      </c>
      <c r="O188" s="43">
        <f t="shared" si="9"/>
        <v>5255.272249333424</v>
      </c>
      <c r="P188" s="43">
        <f t="shared" si="9"/>
        <v>6043.5630867334376</v>
      </c>
      <c r="Q188" s="43">
        <f t="shared" si="9"/>
        <v>6950.0975497434538</v>
      </c>
      <c r="R188" s="43">
        <f t="shared" si="9"/>
        <v>7992.6121822049718</v>
      </c>
      <c r="S188" s="43">
        <f t="shared" si="9"/>
        <v>9191.5040095357181</v>
      </c>
      <c r="T188" s="43">
        <f t="shared" si="9"/>
        <v>10570.229610966075</v>
      </c>
      <c r="U188" s="59">
        <f t="shared" si="9"/>
        <v>12155.764052610986</v>
      </c>
      <c r="V188" s="64">
        <f t="shared" si="7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0" t="s">
        <v>26</v>
      </c>
      <c r="B189" s="43">
        <f>TotalEquityCost-EquityPrincipalPaid</f>
        <v>86645.871339497404</v>
      </c>
      <c r="C189" s="43">
        <f t="shared" ref="C189:K189" si="10">B189-C188</f>
        <v>85663.623379919416</v>
      </c>
      <c r="D189" s="43">
        <f t="shared" si="10"/>
        <v>84534.038226404737</v>
      </c>
      <c r="E189" s="43">
        <f t="shared" si="10"/>
        <v>83235.015299862862</v>
      </c>
      <c r="F189" s="43">
        <f>E189-F188</f>
        <v>81741.138934339702</v>
      </c>
      <c r="G189" s="43">
        <f>F189-G188</f>
        <v>80023.181113988074</v>
      </c>
      <c r="H189" s="43">
        <f>G189-H188</f>
        <v>78047.529620583693</v>
      </c>
      <c r="I189" s="43">
        <f>H189-I188</f>
        <v>75775.530403168654</v>
      </c>
      <c r="J189" s="43">
        <f t="shared" si="10"/>
        <v>73162.731303141365</v>
      </c>
      <c r="K189" s="43">
        <f t="shared" si="10"/>
        <v>70158.012338109984</v>
      </c>
      <c r="L189" s="43">
        <f>K189-L188</f>
        <v>66702.585528323893</v>
      </c>
      <c r="M189" s="43">
        <f t="shared" ref="M189:U189" si="11">L189-M188</f>
        <v>62728.844697069886</v>
      </c>
      <c r="N189" s="43">
        <f t="shared" si="11"/>
        <v>58159.042741127778</v>
      </c>
      <c r="O189" s="43">
        <f t="shared" si="11"/>
        <v>52903.770491794356</v>
      </c>
      <c r="P189" s="43">
        <f t="shared" si="11"/>
        <v>46860.207405060915</v>
      </c>
      <c r="Q189" s="43">
        <f t="shared" si="11"/>
        <v>39910.10985531746</v>
      </c>
      <c r="R189" s="43">
        <f t="shared" si="11"/>
        <v>31917.497673112488</v>
      </c>
      <c r="S189" s="43">
        <f t="shared" si="11"/>
        <v>22725.99366357677</v>
      </c>
      <c r="T189" s="43">
        <f t="shared" si="11"/>
        <v>12155.764052610695</v>
      </c>
      <c r="U189" s="59">
        <f t="shared" si="11"/>
        <v>-2.9103830456733704E-10</v>
      </c>
      <c r="V189" s="65" t="s">
        <v>154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0" t="s">
        <v>27</v>
      </c>
      <c r="B190" s="43">
        <f>AnnualDebtPayment</f>
        <v>63191.037412669408</v>
      </c>
      <c r="C190" s="43">
        <f t="shared" ref="C190:K190" si="12">$B$135</f>
        <v>63191.037412669408</v>
      </c>
      <c r="D190" s="43">
        <f t="shared" si="12"/>
        <v>63191.037412669408</v>
      </c>
      <c r="E190" s="43">
        <f t="shared" si="12"/>
        <v>63191.037412669408</v>
      </c>
      <c r="F190" s="43">
        <f t="shared" si="12"/>
        <v>63191.037412669408</v>
      </c>
      <c r="G190" s="43">
        <f t="shared" si="12"/>
        <v>63191.037412669408</v>
      </c>
      <c r="H190" s="43">
        <f t="shared" si="12"/>
        <v>63191.037412669408</v>
      </c>
      <c r="I190" s="43">
        <f t="shared" si="12"/>
        <v>63191.037412669408</v>
      </c>
      <c r="J190" s="43">
        <f t="shared" si="12"/>
        <v>63191.037412669408</v>
      </c>
      <c r="K190" s="43">
        <f t="shared" si="12"/>
        <v>63191.037412669408</v>
      </c>
      <c r="L190" s="43">
        <f t="shared" ref="L190:U190" si="13">$B$135</f>
        <v>63191.037412669408</v>
      </c>
      <c r="M190" s="43">
        <f t="shared" si="13"/>
        <v>63191.037412669408</v>
      </c>
      <c r="N190" s="43">
        <f t="shared" si="13"/>
        <v>63191.037412669408</v>
      </c>
      <c r="O190" s="43">
        <f t="shared" si="13"/>
        <v>63191.037412669408</v>
      </c>
      <c r="P190" s="43">
        <f t="shared" si="13"/>
        <v>63191.037412669408</v>
      </c>
      <c r="Q190" s="43">
        <f t="shared" si="13"/>
        <v>63191.037412669408</v>
      </c>
      <c r="R190" s="43">
        <f t="shared" si="13"/>
        <v>63191.037412669408</v>
      </c>
      <c r="S190" s="43">
        <f t="shared" si="13"/>
        <v>63191.037412669408</v>
      </c>
      <c r="T190" s="43">
        <f t="shared" si="13"/>
        <v>63191.037412669408</v>
      </c>
      <c r="U190" s="59">
        <f t="shared" si="13"/>
        <v>63191.037412669408</v>
      </c>
      <c r="V190" s="64">
        <f t="shared" si="7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0" t="s">
        <v>28</v>
      </c>
      <c r="B191" s="43">
        <f>InterestRateOnDebt/100*TotalDebtCost</f>
        <v>39375</v>
      </c>
      <c r="C191" s="43">
        <f t="shared" ref="C191:K191" si="14">$B$125/100*B193</f>
        <v>38184.19812936653</v>
      </c>
      <c r="D191" s="43">
        <f t="shared" si="14"/>
        <v>36933.856165201389</v>
      </c>
      <c r="E191" s="43">
        <f t="shared" si="14"/>
        <v>35620.997102827991</v>
      </c>
      <c r="F191" s="43">
        <f>$B$125/100*E193</f>
        <v>34242.495087335919</v>
      </c>
      <c r="G191" s="43">
        <f>$B$125/100*F193</f>
        <v>32795.067971069242</v>
      </c>
      <c r="H191" s="43">
        <f>$B$125/100*G193</f>
        <v>31275.269498989237</v>
      </c>
      <c r="I191" s="43">
        <f>$B$125/100*H193</f>
        <v>29679.481103305228</v>
      </c>
      <c r="J191" s="43">
        <f t="shared" si="14"/>
        <v>28003.90328783702</v>
      </c>
      <c r="K191" s="43">
        <f t="shared" si="14"/>
        <v>26244.546581595405</v>
      </c>
      <c r="L191" s="43">
        <f>$B$125/100*K193</f>
        <v>24397.222040041703</v>
      </c>
      <c r="M191" s="43">
        <f t="shared" ref="M191:U191" si="15">$B$125/100*L193</f>
        <v>22457.53127141032</v>
      </c>
      <c r="N191" s="43">
        <f t="shared" si="15"/>
        <v>20420.855964347364</v>
      </c>
      <c r="O191" s="43">
        <f t="shared" si="15"/>
        <v>18282.346891931262</v>
      </c>
      <c r="P191" s="43">
        <f t="shared" si="15"/>
        <v>16036.912365894355</v>
      </c>
      <c r="Q191" s="43">
        <f t="shared" si="15"/>
        <v>13679.206113555603</v>
      </c>
      <c r="R191" s="43">
        <f t="shared" si="15"/>
        <v>11203.614548599913</v>
      </c>
      <c r="S191" s="43">
        <f t="shared" si="15"/>
        <v>8604.2434053964371</v>
      </c>
      <c r="T191" s="43">
        <f t="shared" si="15"/>
        <v>5874.9037050327897</v>
      </c>
      <c r="U191" s="59">
        <f t="shared" si="15"/>
        <v>3009.0970196509584</v>
      </c>
      <c r="V191" s="64">
        <f t="shared" si="7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0" t="s">
        <v>29</v>
      </c>
      <c r="B192" s="43">
        <f>RebtRecovery-DebtInterest</f>
        <v>23816.037412669408</v>
      </c>
      <c r="C192" s="43">
        <f t="shared" ref="C192:K192" si="16">C190-C191</f>
        <v>25006.839283302877</v>
      </c>
      <c r="D192" s="43">
        <f t="shared" si="16"/>
        <v>26257.181247468019</v>
      </c>
      <c r="E192" s="43">
        <f t="shared" si="16"/>
        <v>27570.040309841417</v>
      </c>
      <c r="F192" s="43">
        <f>F190-F191</f>
        <v>28948.542325333488</v>
      </c>
      <c r="G192" s="43">
        <f>G190-G191</f>
        <v>30395.969441600166</v>
      </c>
      <c r="H192" s="43">
        <f>H190-H191</f>
        <v>31915.767913680171</v>
      </c>
      <c r="I192" s="43">
        <f t="shared" si="16"/>
        <v>33511.556309364183</v>
      </c>
      <c r="J192" s="43">
        <f t="shared" si="16"/>
        <v>35187.134124832388</v>
      </c>
      <c r="K192" s="43">
        <f t="shared" si="16"/>
        <v>36946.490831073999</v>
      </c>
      <c r="L192" s="43">
        <f t="shared" ref="L192:U192" si="17">L190-L191</f>
        <v>38793.815372627709</v>
      </c>
      <c r="M192" s="43">
        <f t="shared" si="17"/>
        <v>40733.506141259088</v>
      </c>
      <c r="N192" s="43">
        <f t="shared" si="17"/>
        <v>42770.181448322044</v>
      </c>
      <c r="O192" s="43">
        <f t="shared" si="17"/>
        <v>44908.69052073815</v>
      </c>
      <c r="P192" s="43">
        <f t="shared" si="17"/>
        <v>47154.125046775051</v>
      </c>
      <c r="Q192" s="43">
        <f t="shared" si="17"/>
        <v>49511.831299113808</v>
      </c>
      <c r="R192" s="43">
        <f t="shared" si="17"/>
        <v>51987.422864069493</v>
      </c>
      <c r="S192" s="43">
        <f t="shared" si="17"/>
        <v>54586.794007272969</v>
      </c>
      <c r="T192" s="43">
        <f t="shared" si="17"/>
        <v>57316.133707636618</v>
      </c>
      <c r="U192" s="59">
        <f t="shared" si="17"/>
        <v>60181.940393018449</v>
      </c>
      <c r="V192" s="64">
        <f t="shared" si="7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0" t="s">
        <v>30</v>
      </c>
      <c r="B193" s="43">
        <f>TotalDebtCost-DebtPrincipalPaid</f>
        <v>763683.96258733061</v>
      </c>
      <c r="C193" s="43">
        <f t="shared" ref="C193:K193" si="18">B193-C192</f>
        <v>738677.12330402771</v>
      </c>
      <c r="D193" s="43">
        <f t="shared" si="18"/>
        <v>712419.94205655972</v>
      </c>
      <c r="E193" s="43">
        <f t="shared" si="18"/>
        <v>684849.90174671833</v>
      </c>
      <c r="F193" s="43">
        <f>E193-F192</f>
        <v>655901.35942138487</v>
      </c>
      <c r="G193" s="43">
        <f>F193-G192</f>
        <v>625505.38997978473</v>
      </c>
      <c r="H193" s="43">
        <f>G193-H192</f>
        <v>593589.62206610455</v>
      </c>
      <c r="I193" s="43">
        <f>H193-I192</f>
        <v>560078.0657567404</v>
      </c>
      <c r="J193" s="43">
        <f t="shared" si="18"/>
        <v>524890.93163190805</v>
      </c>
      <c r="K193" s="43">
        <f t="shared" si="18"/>
        <v>487944.44080083404</v>
      </c>
      <c r="L193" s="43">
        <f>K193-L192</f>
        <v>449150.62542820635</v>
      </c>
      <c r="M193" s="43">
        <f t="shared" ref="M193:U193" si="19">L193-M192</f>
        <v>408417.11928694724</v>
      </c>
      <c r="N193" s="43">
        <f t="shared" si="19"/>
        <v>365646.93783862522</v>
      </c>
      <c r="O193" s="43">
        <f t="shared" si="19"/>
        <v>320738.24731788709</v>
      </c>
      <c r="P193" s="43">
        <f t="shared" si="19"/>
        <v>273584.12227111205</v>
      </c>
      <c r="Q193" s="43">
        <f t="shared" si="19"/>
        <v>224072.29097199824</v>
      </c>
      <c r="R193" s="43">
        <f t="shared" si="19"/>
        <v>172084.86810792875</v>
      </c>
      <c r="S193" s="43">
        <f t="shared" si="19"/>
        <v>117498.07410065578</v>
      </c>
      <c r="T193" s="43">
        <f t="shared" si="19"/>
        <v>60181.940393019162</v>
      </c>
      <c r="U193" s="59">
        <f t="shared" si="19"/>
        <v>7.1304384618997574E-10</v>
      </c>
      <c r="V193" s="65" t="s">
        <v>154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162" t="s">
        <v>214</v>
      </c>
      <c r="B194" s="43">
        <f>AnnualBiomassConsumptionDryMass*BiomassFuelCost</f>
        <v>169974.28516378757</v>
      </c>
      <c r="C194" s="43">
        <f>BiomassFuelCostCF*(1+EscalationBiomassFuel/100)^(Year-1)</f>
        <v>173543.74515222709</v>
      </c>
      <c r="D194" s="43">
        <f t="shared" ref="D194:U194" si="20">$B$194*(1+$B$115/100)^(D185-1)</f>
        <v>177188.16380042385</v>
      </c>
      <c r="E194" s="43">
        <f t="shared" si="20"/>
        <v>180909.11524023273</v>
      </c>
      <c r="F194" s="43">
        <f t="shared" si="20"/>
        <v>184708.20666027759</v>
      </c>
      <c r="G194" s="43">
        <f t="shared" si="20"/>
        <v>188587.07900014339</v>
      </c>
      <c r="H194" s="43">
        <f t="shared" si="20"/>
        <v>192547.40765914638</v>
      </c>
      <c r="I194" s="43">
        <f t="shared" si="20"/>
        <v>196590.90321998842</v>
      </c>
      <c r="J194" s="43">
        <f t="shared" si="20"/>
        <v>200719.31218760816</v>
      </c>
      <c r="K194" s="43">
        <f t="shared" si="20"/>
        <v>204934.41774354788</v>
      </c>
      <c r="L194" s="43">
        <f t="shared" si="20"/>
        <v>209238.04051616238</v>
      </c>
      <c r="M194" s="43">
        <f t="shared" si="20"/>
        <v>213632.03936700179</v>
      </c>
      <c r="N194" s="43">
        <f t="shared" si="20"/>
        <v>218118.31219370876</v>
      </c>
      <c r="O194" s="43">
        <f t="shared" si="20"/>
        <v>222698.79674977661</v>
      </c>
      <c r="P194" s="43">
        <f t="shared" si="20"/>
        <v>227375.47148152193</v>
      </c>
      <c r="Q194" s="43">
        <f t="shared" si="20"/>
        <v>232150.35638263385</v>
      </c>
      <c r="R194" s="43">
        <f t="shared" si="20"/>
        <v>237025.51386666915</v>
      </c>
      <c r="S194" s="43">
        <f t="shared" si="20"/>
        <v>242003.04965786918</v>
      </c>
      <c r="T194" s="43">
        <f t="shared" si="20"/>
        <v>247085.11370068436</v>
      </c>
      <c r="U194" s="59">
        <f t="shared" si="20"/>
        <v>252273.90108839874</v>
      </c>
      <c r="V194" s="64">
        <f t="shared" si="7"/>
        <v>4171303.2308318103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162" t="s">
        <v>215</v>
      </c>
      <c r="B195" s="43">
        <f>AnnualDualFuelConsumption*DualFuelCost</f>
        <v>90404.204491161014</v>
      </c>
      <c r="C195" s="43">
        <f>DualFuelCostCF*(1+EscalationDualFuel/100)^(Year-1)</f>
        <v>92302.692785475389</v>
      </c>
      <c r="D195" s="43">
        <f t="shared" ref="D195:U195" si="21">$B195*(1+$B$116/100)^(D185-1)</f>
        <v>94241.049333970353</v>
      </c>
      <c r="E195" s="43">
        <f t="shared" si="21"/>
        <v>96220.11136998373</v>
      </c>
      <c r="F195" s="43">
        <f t="shared" si="21"/>
        <v>98240.733708753367</v>
      </c>
      <c r="G195" s="43">
        <f t="shared" si="21"/>
        <v>100303.78911663717</v>
      </c>
      <c r="H195" s="43">
        <f t="shared" si="21"/>
        <v>102410.16868808655</v>
      </c>
      <c r="I195" s="43">
        <f t="shared" si="21"/>
        <v>104560.78223053635</v>
      </c>
      <c r="J195" s="43">
        <f t="shared" si="21"/>
        <v>106756.55865737759</v>
      </c>
      <c r="K195" s="43">
        <f t="shared" si="21"/>
        <v>108998.44638918251</v>
      </c>
      <c r="L195" s="43">
        <f t="shared" si="21"/>
        <v>111287.41376335533</v>
      </c>
      <c r="M195" s="43">
        <f t="shared" si="21"/>
        <v>113624.44945238579</v>
      </c>
      <c r="N195" s="43">
        <f t="shared" si="21"/>
        <v>116010.56289088586</v>
      </c>
      <c r="O195" s="43">
        <f t="shared" si="21"/>
        <v>118446.78471159445</v>
      </c>
      <c r="P195" s="43">
        <f t="shared" si="21"/>
        <v>120934.16719053793</v>
      </c>
      <c r="Q195" s="43">
        <f t="shared" si="21"/>
        <v>123473.7847015392</v>
      </c>
      <c r="R195" s="43">
        <f t="shared" si="21"/>
        <v>126066.73418027152</v>
      </c>
      <c r="S195" s="43">
        <f t="shared" si="21"/>
        <v>128714.13559805723</v>
      </c>
      <c r="T195" s="43">
        <f t="shared" si="21"/>
        <v>131417.13244561639</v>
      </c>
      <c r="U195" s="43">
        <f t="shared" si="21"/>
        <v>134176.89222697433</v>
      </c>
      <c r="V195" s="64">
        <f t="shared" si="7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0" t="s">
        <v>31</v>
      </c>
      <c r="B196" s="43">
        <f>TotalNonFuelExpenses</f>
        <v>30000</v>
      </c>
      <c r="C196" s="43">
        <f>NonFuelExpensesCF*(1+EscalationOther/100)^(Year-1)</f>
        <v>30629.999999999996</v>
      </c>
      <c r="D196" s="43">
        <f t="shared" ref="D196:U196" si="22">$B$196*(1+$B$120/100)^(D185-1)</f>
        <v>31273.229999999992</v>
      </c>
      <c r="E196" s="43">
        <f t="shared" si="22"/>
        <v>31929.96782999999</v>
      </c>
      <c r="F196" s="43">
        <f t="shared" si="22"/>
        <v>32600.497154429984</v>
      </c>
      <c r="G196" s="43">
        <f t="shared" si="22"/>
        <v>33285.107594673012</v>
      </c>
      <c r="H196" s="43">
        <f t="shared" si="22"/>
        <v>33984.094854161143</v>
      </c>
      <c r="I196" s="43">
        <f t="shared" si="22"/>
        <v>34697.760846098521</v>
      </c>
      <c r="J196" s="43">
        <f t="shared" si="22"/>
        <v>35426.413823866584</v>
      </c>
      <c r="K196" s="43">
        <f t="shared" si="22"/>
        <v>36170.368514167778</v>
      </c>
      <c r="L196" s="43">
        <f t="shared" si="22"/>
        <v>36929.946252965296</v>
      </c>
      <c r="M196" s="43">
        <f t="shared" si="22"/>
        <v>37705.475124277567</v>
      </c>
      <c r="N196" s="43">
        <f t="shared" si="22"/>
        <v>38497.290101887382</v>
      </c>
      <c r="O196" s="43">
        <f t="shared" si="22"/>
        <v>39305.733194027016</v>
      </c>
      <c r="P196" s="43">
        <f t="shared" si="22"/>
        <v>40131.153591101582</v>
      </c>
      <c r="Q196" s="43">
        <f t="shared" si="22"/>
        <v>40973.907816514708</v>
      </c>
      <c r="R196" s="43">
        <f t="shared" si="22"/>
        <v>41834.359880661512</v>
      </c>
      <c r="S196" s="43">
        <f t="shared" si="22"/>
        <v>42712.881438155404</v>
      </c>
      <c r="T196" s="43">
        <f t="shared" si="22"/>
        <v>43609.851948356656</v>
      </c>
      <c r="U196" s="59">
        <f t="shared" si="22"/>
        <v>44525.658839272146</v>
      </c>
      <c r="V196" s="64">
        <f t="shared" si="7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0" t="s">
        <v>32</v>
      </c>
      <c r="B197" s="43">
        <f>DebtReserve</f>
        <v>63191.037412669408</v>
      </c>
      <c r="C197" s="43">
        <v>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59">
        <f>-B197</f>
        <v>-63191.037412669408</v>
      </c>
      <c r="V197" s="64">
        <f t="shared" si="7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0" t="s">
        <v>33</v>
      </c>
      <c r="B198" s="43">
        <f>TotalCostOfPlant*B140</f>
        <v>43750</v>
      </c>
      <c r="C198" s="43">
        <f>TotalCostOfPlant*B141</f>
        <v>43750</v>
      </c>
      <c r="D198" s="43">
        <f>$B$129*$B142</f>
        <v>43750</v>
      </c>
      <c r="E198" s="43">
        <f>$B$129*$B143</f>
        <v>43750</v>
      </c>
      <c r="F198" s="43">
        <f>$B$129*$B144</f>
        <v>43750</v>
      </c>
      <c r="G198" s="43">
        <f>$B$129*$B145</f>
        <v>43750</v>
      </c>
      <c r="H198" s="43">
        <f>$B$129*$B146</f>
        <v>43750</v>
      </c>
      <c r="I198" s="43">
        <f>$B$129*$B147</f>
        <v>43750</v>
      </c>
      <c r="J198" s="43">
        <f>$B$129*$B148</f>
        <v>43750</v>
      </c>
      <c r="K198" s="43">
        <f>$B$129*$B149</f>
        <v>43750</v>
      </c>
      <c r="L198" s="43">
        <f>$B$129*$B150</f>
        <v>43750</v>
      </c>
      <c r="M198" s="43">
        <f>$B$129*$B151</f>
        <v>43750</v>
      </c>
      <c r="N198" s="43">
        <f>$B$129*$B152</f>
        <v>43750</v>
      </c>
      <c r="O198" s="43">
        <f>$B$129*$B153</f>
        <v>43750</v>
      </c>
      <c r="P198" s="43">
        <f>$B$129*$B154</f>
        <v>43750</v>
      </c>
      <c r="Q198" s="43">
        <f>$B$129*$B155</f>
        <v>43750</v>
      </c>
      <c r="R198" s="43">
        <f>$B$129*$B156</f>
        <v>43750</v>
      </c>
      <c r="S198" s="43">
        <f>$B$129*$B157</f>
        <v>43750</v>
      </c>
      <c r="T198" s="43">
        <f>$B$129*$B158</f>
        <v>43750</v>
      </c>
      <c r="U198" s="59">
        <f>$B$129*$B159</f>
        <v>43750</v>
      </c>
      <c r="V198" s="64">
        <f t="shared" si="7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0" t="s">
        <v>162</v>
      </c>
      <c r="B199" s="43">
        <f>AnnualCapacityPayment</f>
        <v>0</v>
      </c>
      <c r="C199" s="43">
        <f t="shared" ref="C199:U199" si="23">$B$109</f>
        <v>0</v>
      </c>
      <c r="D199" s="43">
        <f t="shared" si="23"/>
        <v>0</v>
      </c>
      <c r="E199" s="43">
        <f t="shared" si="23"/>
        <v>0</v>
      </c>
      <c r="F199" s="43">
        <f t="shared" si="23"/>
        <v>0</v>
      </c>
      <c r="G199" s="43">
        <f t="shared" si="23"/>
        <v>0</v>
      </c>
      <c r="H199" s="43">
        <f t="shared" si="23"/>
        <v>0</v>
      </c>
      <c r="I199" s="43">
        <f t="shared" si="23"/>
        <v>0</v>
      </c>
      <c r="J199" s="43">
        <f t="shared" si="23"/>
        <v>0</v>
      </c>
      <c r="K199" s="43">
        <f t="shared" si="23"/>
        <v>0</v>
      </c>
      <c r="L199" s="43">
        <f t="shared" si="23"/>
        <v>0</v>
      </c>
      <c r="M199" s="43">
        <f t="shared" si="23"/>
        <v>0</v>
      </c>
      <c r="N199" s="43">
        <f t="shared" si="23"/>
        <v>0</v>
      </c>
      <c r="O199" s="43">
        <f t="shared" si="23"/>
        <v>0</v>
      </c>
      <c r="P199" s="43">
        <f t="shared" si="23"/>
        <v>0</v>
      </c>
      <c r="Q199" s="43">
        <f t="shared" si="23"/>
        <v>0</v>
      </c>
      <c r="R199" s="43">
        <f t="shared" si="23"/>
        <v>0</v>
      </c>
      <c r="S199" s="43">
        <f t="shared" si="23"/>
        <v>0</v>
      </c>
      <c r="T199" s="43">
        <f t="shared" si="23"/>
        <v>0</v>
      </c>
      <c r="U199" s="59">
        <f t="shared" si="23"/>
        <v>0</v>
      </c>
      <c r="V199" s="64">
        <f t="shared" si="7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162" t="s">
        <v>163</v>
      </c>
      <c r="B200" s="43">
        <f>TotalIncomeFromHeatSales</f>
        <v>56735.282608695656</v>
      </c>
      <c r="C200" s="43">
        <f>HeatIncome*(1+EscalationHeatSales/100)^(Year-1)</f>
        <v>57926.723543478256</v>
      </c>
      <c r="D200" s="43">
        <f t="shared" ref="D200:U200" si="24">$B200*(1+$B$118/100)^(D185-1)</f>
        <v>59143.184737891293</v>
      </c>
      <c r="E200" s="43">
        <f t="shared" si="24"/>
        <v>60385.191617387005</v>
      </c>
      <c r="F200" s="43">
        <f t="shared" si="24"/>
        <v>61653.280641352125</v>
      </c>
      <c r="G200" s="43">
        <f t="shared" si="24"/>
        <v>62947.999534820512</v>
      </c>
      <c r="H200" s="43">
        <f t="shared" si="24"/>
        <v>64269.907525051734</v>
      </c>
      <c r="I200" s="43">
        <f t="shared" si="24"/>
        <v>65619.575583077807</v>
      </c>
      <c r="J200" s="43">
        <f t="shared" si="24"/>
        <v>66997.586670322431</v>
      </c>
      <c r="K200" s="43">
        <f t="shared" si="24"/>
        <v>68404.535990399192</v>
      </c>
      <c r="L200" s="43">
        <f t="shared" si="24"/>
        <v>69841.03124619757</v>
      </c>
      <c r="M200" s="43">
        <f t="shared" si="24"/>
        <v>71307.692902367722</v>
      </c>
      <c r="N200" s="43">
        <f t="shared" si="24"/>
        <v>72805.154453317416</v>
      </c>
      <c r="O200" s="43">
        <f t="shared" si="24"/>
        <v>74334.062696837078</v>
      </c>
      <c r="P200" s="43">
        <f t="shared" si="24"/>
        <v>75895.078013470658</v>
      </c>
      <c r="Q200" s="43">
        <f t="shared" si="24"/>
        <v>77488.874651753518</v>
      </c>
      <c r="R200" s="43">
        <f t="shared" si="24"/>
        <v>79116.141019440343</v>
      </c>
      <c r="S200" s="43">
        <f t="shared" si="24"/>
        <v>80777.57998084859</v>
      </c>
      <c r="T200" s="43">
        <f t="shared" si="24"/>
        <v>82473.90916044639</v>
      </c>
      <c r="U200" s="59">
        <f t="shared" si="24"/>
        <v>84205.861252815768</v>
      </c>
      <c r="V200" s="64">
        <f t="shared" si="7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162" t="s">
        <v>208</v>
      </c>
      <c r="B201" s="43">
        <f>AnnualIncomeFromChar</f>
        <v>0</v>
      </c>
      <c r="C201" s="43">
        <f>$B201*(1+$B$119/100)^(C185-1)</f>
        <v>0</v>
      </c>
      <c r="D201" s="43">
        <f t="shared" ref="D201:U201" si="25">$B201*(1+$B$119/100)^(D185-1)</f>
        <v>0</v>
      </c>
      <c r="E201" s="43">
        <f t="shared" si="25"/>
        <v>0</v>
      </c>
      <c r="F201" s="43">
        <f t="shared" si="25"/>
        <v>0</v>
      </c>
      <c r="G201" s="43">
        <f t="shared" si="25"/>
        <v>0</v>
      </c>
      <c r="H201" s="43">
        <f t="shared" si="25"/>
        <v>0</v>
      </c>
      <c r="I201" s="43">
        <f t="shared" si="25"/>
        <v>0</v>
      </c>
      <c r="J201" s="43">
        <f t="shared" si="25"/>
        <v>0</v>
      </c>
      <c r="K201" s="43">
        <f t="shared" si="25"/>
        <v>0</v>
      </c>
      <c r="L201" s="43">
        <f t="shared" si="25"/>
        <v>0</v>
      </c>
      <c r="M201" s="43">
        <f t="shared" si="25"/>
        <v>0</v>
      </c>
      <c r="N201" s="43">
        <f t="shared" si="25"/>
        <v>0</v>
      </c>
      <c r="O201" s="43">
        <f t="shared" si="25"/>
        <v>0</v>
      </c>
      <c r="P201" s="43">
        <f t="shared" si="25"/>
        <v>0</v>
      </c>
      <c r="Q201" s="43">
        <f t="shared" si="25"/>
        <v>0</v>
      </c>
      <c r="R201" s="43">
        <f t="shared" si="25"/>
        <v>0</v>
      </c>
      <c r="S201" s="43">
        <f t="shared" si="25"/>
        <v>0</v>
      </c>
      <c r="T201" s="43">
        <f t="shared" si="25"/>
        <v>0</v>
      </c>
      <c r="U201" s="43">
        <f t="shared" si="25"/>
        <v>0</v>
      </c>
      <c r="V201" s="64">
        <f t="shared" si="7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0" t="s">
        <v>34</v>
      </c>
      <c r="B202" s="43">
        <f>AnnualDebtReserveInterest</f>
        <v>1263.820748253388</v>
      </c>
      <c r="C202" s="43">
        <f t="shared" ref="C202:U202" si="26">$B$110</f>
        <v>1263.820748253388</v>
      </c>
      <c r="D202" s="43">
        <f t="shared" si="26"/>
        <v>1263.820748253388</v>
      </c>
      <c r="E202" s="43">
        <f t="shared" si="26"/>
        <v>1263.820748253388</v>
      </c>
      <c r="F202" s="43">
        <f t="shared" si="26"/>
        <v>1263.820748253388</v>
      </c>
      <c r="G202" s="43">
        <f t="shared" si="26"/>
        <v>1263.820748253388</v>
      </c>
      <c r="H202" s="43">
        <f t="shared" si="26"/>
        <v>1263.820748253388</v>
      </c>
      <c r="I202" s="43">
        <f t="shared" si="26"/>
        <v>1263.820748253388</v>
      </c>
      <c r="J202" s="43">
        <f t="shared" si="26"/>
        <v>1263.820748253388</v>
      </c>
      <c r="K202" s="43">
        <f t="shared" si="26"/>
        <v>1263.820748253388</v>
      </c>
      <c r="L202" s="43">
        <f t="shared" si="26"/>
        <v>1263.820748253388</v>
      </c>
      <c r="M202" s="43">
        <f t="shared" si="26"/>
        <v>1263.820748253388</v>
      </c>
      <c r="N202" s="43">
        <f t="shared" si="26"/>
        <v>1263.820748253388</v>
      </c>
      <c r="O202" s="43">
        <f t="shared" si="26"/>
        <v>1263.820748253388</v>
      </c>
      <c r="P202" s="43">
        <f t="shared" si="26"/>
        <v>1263.820748253388</v>
      </c>
      <c r="Q202" s="43">
        <f t="shared" si="26"/>
        <v>1263.820748253388</v>
      </c>
      <c r="R202" s="43">
        <f t="shared" si="26"/>
        <v>1263.820748253388</v>
      </c>
      <c r="S202" s="43">
        <f t="shared" si="26"/>
        <v>1263.820748253388</v>
      </c>
      <c r="T202" s="43">
        <f t="shared" si="26"/>
        <v>1263.820748253388</v>
      </c>
      <c r="U202" s="59">
        <f t="shared" si="26"/>
        <v>1263.820748253388</v>
      </c>
      <c r="V202" s="64">
        <f t="shared" si="7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0" t="s">
        <v>110</v>
      </c>
      <c r="B203" s="43">
        <f>((CombinedTaxRate/100)/(1-CombinedTaxRate/100))*(EquityPrincipalPaid+DebtPrincipalPaid+EquityInterest-Depreciation+DebtReserveCF)</f>
        <v>38694.681948996018</v>
      </c>
      <c r="C203" s="43">
        <f t="shared" ref="C203:U203" si="27">(($B$103/100)/(1-$B$103/100))*(C$188+C$192+C$187-C$198+C$197)</f>
        <v>-3220.7360723160145</v>
      </c>
      <c r="D203" s="43">
        <f t="shared" si="27"/>
        <v>-2375.439185306006</v>
      </c>
      <c r="E203" s="43">
        <f t="shared" si="27"/>
        <v>-1487.8774539454973</v>
      </c>
      <c r="F203" s="43">
        <f t="shared" si="27"/>
        <v>-555.93763601696128</v>
      </c>
      <c r="G203" s="43">
        <f t="shared" si="27"/>
        <v>422.59917280800329</v>
      </c>
      <c r="H203" s="43">
        <f t="shared" si="27"/>
        <v>1450.0628220742144</v>
      </c>
      <c r="I203" s="43">
        <f t="shared" si="27"/>
        <v>2528.8996538037409</v>
      </c>
      <c r="J203" s="43">
        <f t="shared" si="27"/>
        <v>3661.6783271197305</v>
      </c>
      <c r="K203" s="43">
        <f t="shared" si="27"/>
        <v>4851.0959341015268</v>
      </c>
      <c r="L203" s="43">
        <f t="shared" si="27"/>
        <v>6099.9844214324157</v>
      </c>
      <c r="M203" s="43">
        <f t="shared" si="27"/>
        <v>7411.3173331298422</v>
      </c>
      <c r="N203" s="43">
        <f t="shared" si="27"/>
        <v>8788.2168904121463</v>
      </c>
      <c r="O203" s="43">
        <f t="shared" si="27"/>
        <v>10233.961425558567</v>
      </c>
      <c r="P203" s="43">
        <f t="shared" si="27"/>
        <v>11751.993187462307</v>
      </c>
      <c r="Q203" s="43">
        <f t="shared" si="27"/>
        <v>13345.926537461235</v>
      </c>
      <c r="R203" s="43">
        <f t="shared" si="27"/>
        <v>15019.556554960103</v>
      </c>
      <c r="S203" s="43">
        <f t="shared" si="27"/>
        <v>16776.868073333921</v>
      </c>
      <c r="T203" s="43">
        <f t="shared" si="27"/>
        <v>18622.045167626427</v>
      </c>
      <c r="U203" s="43">
        <f t="shared" si="27"/>
        <v>-22160.981558973723</v>
      </c>
      <c r="V203" s="64">
        <f t="shared" si="7"/>
        <v>129857.91554372199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0" t="s">
        <v>109</v>
      </c>
      <c r="B204" s="43">
        <f>AnnualNetElectricityGeneration*ProductionTaxCredit*B163</f>
        <v>33507</v>
      </c>
      <c r="C204" s="43">
        <f>AnnualNetElectricityGeneration*ProductionTaxCredit*((1+EscalationProductionTaxCredit/100)^(Year-1))*$B164</f>
        <v>34210.646999999997</v>
      </c>
      <c r="D204" s="43">
        <f>$B$41*$B$102*((1+$B$117/100)^(D185-1))*$B165</f>
        <v>34929.070586999987</v>
      </c>
      <c r="E204" s="43">
        <f>$B$41*$B$102*((1+$B$117/100)^(E185-1))*$B166</f>
        <v>35662.581069326989</v>
      </c>
      <c r="F204" s="43">
        <f>$B$41*$B$102*((1+$B$117/100)^(F185-1))*$B167</f>
        <v>36411.495271782849</v>
      </c>
      <c r="G204" s="43">
        <f>$B$41*$B$102*((1+$B$117/100)^(G185-1))*$B168</f>
        <v>0</v>
      </c>
      <c r="H204" s="43">
        <f>$B$41*$B$102*((1+$B$117/100)^(H185-1))*$B169</f>
        <v>0</v>
      </c>
      <c r="I204" s="43">
        <f>$B$41*$B$102*((1+$B$117/100)^(I185-1))*$B170</f>
        <v>0</v>
      </c>
      <c r="J204" s="43">
        <f>$B$41*$B$102*((1+$B$117/100)^(J185-1))*$B171</f>
        <v>0</v>
      </c>
      <c r="K204" s="43">
        <f>$B$41*$B$102*((1+$B$117/100)^(K185-1))*$B172</f>
        <v>0</v>
      </c>
      <c r="L204" s="43">
        <f>$B$41*$B$102*((1+$B$117/100)^(L185-1))*$B173</f>
        <v>0</v>
      </c>
      <c r="M204" s="43">
        <f>$B$41*$B$102*((1+$B$117/100)^(M185-1))*$B174</f>
        <v>0</v>
      </c>
      <c r="N204" s="43">
        <f>$B$41*$B$102*((1+$B$117/100)^(N185-1))*$B175</f>
        <v>0</v>
      </c>
      <c r="O204" s="43">
        <f>$B$41*$B$102*((1+$B$117/100)^(O185-1))*$B176</f>
        <v>0</v>
      </c>
      <c r="P204" s="43">
        <f>$B$41*$B$102*((1+$B$117/100)^(P185-1))*$B177</f>
        <v>0</v>
      </c>
      <c r="Q204" s="43">
        <f>$B$41*$B$102*((1+$B$117/100)^(Q185-1))*$B178</f>
        <v>0</v>
      </c>
      <c r="R204" s="43">
        <f>$B$41*$B$102*((1+$B$117/100)^(R185-1))*$B179</f>
        <v>0</v>
      </c>
      <c r="S204" s="43">
        <f>$B$41*$B$102*((1+$B$117/100)^(S185-1))*$B180</f>
        <v>0</v>
      </c>
      <c r="T204" s="43">
        <f>$B$41*$B$102*((1+$B$117/100)^(T185-1))*$B181</f>
        <v>0</v>
      </c>
      <c r="U204" s="59">
        <f>$B$41*$B$102*((1+$B$117/100)^(U185-1))*$B182</f>
        <v>0</v>
      </c>
      <c r="V204" s="64">
        <f t="shared" si="7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0" t="s">
        <v>35</v>
      </c>
      <c r="B205" s="43">
        <f>((CombinedTaxRate/100)/(1-CombinedTaxRate/100))*(EquityPrincipalPaid+DebtPrincipalPaid+EquityInterest-Depreciation+DebtReserveCF-TaxCredit)</f>
        <v>16042.188787290472</v>
      </c>
      <c r="C205" s="43">
        <f>((CombinedTaxRate/100)/(1-CombinedTaxRate/100))*(C$188+C$192+C$187-C$198+C$197-C$204)</f>
        <v>-26348.931590417378</v>
      </c>
      <c r="D205" s="43">
        <f t="shared" ref="D205:U205" si="28">(($B$103/100)/(1-$B$103/100))*(D$188+D$192+D$187-D$198+D$197-D$204)</f>
        <v>-25989.32680928749</v>
      </c>
      <c r="E205" s="43">
        <f t="shared" si="28"/>
        <v>-25597.656718030594</v>
      </c>
      <c r="F205" s="43">
        <f t="shared" si="28"/>
        <v>-25172.02226464784</v>
      </c>
      <c r="G205" s="43">
        <f t="shared" si="28"/>
        <v>422.59917280800329</v>
      </c>
      <c r="H205" s="43">
        <f t="shared" si="28"/>
        <v>1450.0628220742144</v>
      </c>
      <c r="I205" s="43">
        <f t="shared" si="28"/>
        <v>2528.8996538037409</v>
      </c>
      <c r="J205" s="43">
        <f t="shared" si="28"/>
        <v>3661.6783271197305</v>
      </c>
      <c r="K205" s="43">
        <f t="shared" si="28"/>
        <v>4851.0959341015268</v>
      </c>
      <c r="L205" s="43">
        <f t="shared" si="28"/>
        <v>6099.9844214324157</v>
      </c>
      <c r="M205" s="43">
        <f t="shared" si="28"/>
        <v>7411.3173331298422</v>
      </c>
      <c r="N205" s="43">
        <f t="shared" si="28"/>
        <v>8788.2168904121463</v>
      </c>
      <c r="O205" s="43">
        <f t="shared" si="28"/>
        <v>10233.961425558567</v>
      </c>
      <c r="P205" s="43">
        <f t="shared" si="28"/>
        <v>11751.993187462307</v>
      </c>
      <c r="Q205" s="43">
        <f t="shared" si="28"/>
        <v>13345.926537461235</v>
      </c>
      <c r="R205" s="43">
        <f t="shared" si="28"/>
        <v>15019.556554960103</v>
      </c>
      <c r="S205" s="43">
        <f t="shared" si="28"/>
        <v>16776.868073333921</v>
      </c>
      <c r="T205" s="43">
        <f t="shared" si="28"/>
        <v>18622.045167626427</v>
      </c>
      <c r="U205" s="43">
        <f t="shared" si="28"/>
        <v>-22160.981558973723</v>
      </c>
      <c r="V205" s="64">
        <f t="shared" si="7"/>
        <v>11737.475347217634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1" t="s">
        <v>36</v>
      </c>
      <c r="B206" s="60">
        <f>EquityRecovery+RebtRecovery+BiomassFuelCostCF+DualFuelCostCF+NonFuelExpensesCF+Taxes+DebtReserveCF-CapacityIncome-InterstOnDebtReserve-HeatIncome-CharIncome</f>
        <v>388782.77857113141</v>
      </c>
      <c r="C206" s="60">
        <f t="shared" ref="C206:U206" si="29">C186+C190+C194+C195+C196+C205+C197-C199-C202-C200-C201</f>
        <v>288107.12812872545</v>
      </c>
      <c r="D206" s="60">
        <f t="shared" si="29"/>
        <v>293476.27691213402</v>
      </c>
      <c r="E206" s="60">
        <f t="shared" si="29"/>
        <v>298982.69142971747</v>
      </c>
      <c r="F206" s="60">
        <f t="shared" si="29"/>
        <v>304630.47994237958</v>
      </c>
      <c r="G206" s="60">
        <f t="shared" si="29"/>
        <v>335556.92067435966</v>
      </c>
      <c r="H206" s="60">
        <f t="shared" si="29"/>
        <v>342028.17182333517</v>
      </c>
      <c r="I206" s="60">
        <f t="shared" si="29"/>
        <v>348665.11569226789</v>
      </c>
      <c r="J206" s="60">
        <f t="shared" si="29"/>
        <v>355472.7216505683</v>
      </c>
      <c r="K206" s="60">
        <f t="shared" si="29"/>
        <v>362456.13791551918</v>
      </c>
      <c r="L206" s="60">
        <f t="shared" si="29"/>
        <v>369620.69903263653</v>
      </c>
      <c r="M206" s="60">
        <f t="shared" si="29"/>
        <v>376971.93369934586</v>
      </c>
      <c r="N206" s="60">
        <f t="shared" si="29"/>
        <v>384515.57294849533</v>
      </c>
      <c r="O206" s="60">
        <f t="shared" si="29"/>
        <v>392257.55870903819</v>
      </c>
      <c r="P206" s="60">
        <f t="shared" si="29"/>
        <v>400204.05276207172</v>
      </c>
      <c r="Q206" s="60">
        <f t="shared" si="29"/>
        <v>408361.44611131412</v>
      </c>
      <c r="R206" s="60">
        <f t="shared" si="29"/>
        <v>416736.36878804059</v>
      </c>
      <c r="S206" s="60">
        <f t="shared" si="29"/>
        <v>425335.70011148578</v>
      </c>
      <c r="T206" s="60">
        <f t="shared" si="29"/>
        <v>434166.57942675613</v>
      </c>
      <c r="U206" s="60">
        <f t="shared" si="29"/>
        <v>337324.91725510504</v>
      </c>
      <c r="V206" s="55">
        <f t="shared" si="7"/>
        <v>7263653.2515844265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2" t="s">
        <v>37</v>
      </c>
      <c r="B209" s="53">
        <f>CostOfEquity/100</f>
        <v>0.15</v>
      </c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2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2" t="s">
        <v>38</v>
      </c>
      <c r="B210" s="24">
        <f>EnergyRevenueRequired*(1+LACCostOfMoney)^-B185</f>
        <v>338071.98136620125</v>
      </c>
      <c r="C210" s="24">
        <f>C206*(1+$B$209)^-C185</f>
        <v>217850.38043759961</v>
      </c>
      <c r="D210" s="24">
        <f t="shared" ref="D210:U210" si="30">D206*(1+$B$209)^-D185</f>
        <v>192965.41590343328</v>
      </c>
      <c r="E210" s="24">
        <f>E206*(1+$B$209)^-E185</f>
        <v>170944.32420108138</v>
      </c>
      <c r="F210" s="24">
        <f t="shared" si="30"/>
        <v>151455.18749010345</v>
      </c>
      <c r="G210" s="24">
        <f t="shared" si="30"/>
        <v>145070.51680663077</v>
      </c>
      <c r="H210" s="24">
        <f t="shared" si="30"/>
        <v>128581.05848557156</v>
      </c>
      <c r="I210" s="24">
        <f t="shared" si="30"/>
        <v>113979.24479808159</v>
      </c>
      <c r="J210" s="24">
        <f t="shared" si="30"/>
        <v>101047.53327086588</v>
      </c>
      <c r="K210" s="24">
        <f t="shared" si="30"/>
        <v>89593.613932714085</v>
      </c>
      <c r="L210" s="24">
        <f t="shared" si="30"/>
        <v>79447.464232122526</v>
      </c>
      <c r="M210" s="24">
        <f t="shared" si="30"/>
        <v>70458.749828101572</v>
      </c>
      <c r="N210" s="24">
        <f t="shared" si="30"/>
        <v>62494.530384518592</v>
      </c>
      <c r="O210" s="24">
        <f t="shared" si="30"/>
        <v>55437.234357266694</v>
      </c>
      <c r="P210" s="24">
        <f t="shared" si="30"/>
        <v>49182.871041284132</v>
      </c>
      <c r="Q210" s="24">
        <f t="shared" si="30"/>
        <v>43639.451910918884</v>
      </c>
      <c r="R210" s="24">
        <f t="shared" si="30"/>
        <v>38725.596603816652</v>
      </c>
      <c r="S210" s="24">
        <f t="shared" si="30"/>
        <v>34369.301819447661</v>
      </c>
      <c r="T210" s="24">
        <f t="shared" si="30"/>
        <v>30506.853976086742</v>
      </c>
      <c r="U210" s="47">
        <f t="shared" si="30"/>
        <v>20610.646537885947</v>
      </c>
      <c r="V210" s="66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4" t="s">
        <v>39</v>
      </c>
      <c r="B211" s="55">
        <f>SUM(B210:U210)</f>
        <v>2134431.9573837323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66"/>
    </row>
    <row r="212" spans="1:57">
      <c r="A212" s="32" t="s">
        <v>40</v>
      </c>
      <c r="B212" s="36">
        <f>LACCostOfMoney*(1+LACCostOfMoney)^EconomicLife/((1+LACCostOfMoney)^EconomicLife-1)</f>
        <v>0.1597614704057439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66"/>
    </row>
    <row r="213" spans="1:57" ht="12.75" thickBot="1">
      <c r="A213" s="52" t="s">
        <v>65</v>
      </c>
      <c r="B213" s="63">
        <f>TotalPresentWorth*CurrentCapitalRecoveryFactor</f>
        <v>340999.98799263517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64">
        <f>B213*B126</f>
        <v>6819999.7598527037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28" t="s">
        <v>155</v>
      </c>
      <c r="B214" s="129">
        <f>CurrentAnnualRevenueRequirements/AnnualNetElectricityGeneration</f>
        <v>9.1592798278978024E-2</v>
      </c>
      <c r="C214" s="61"/>
      <c r="D214" s="61"/>
      <c r="E214" s="61"/>
      <c r="F214" s="60"/>
      <c r="G214" s="60"/>
      <c r="H214" s="60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55">
        <f>B214*B126*B41</f>
        <v>6819999.7598527037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63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2" t="s">
        <v>76</v>
      </c>
      <c r="B217" s="36">
        <f>(1+LACCostOfMoney)/(1+GeneralInflation/100)-1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2" t="s">
        <v>41</v>
      </c>
      <c r="B218" s="36">
        <f>RealCostOfMoney*(1+RealCostOfMoney)^EconomicLife/((1+RealCostOfMoney)^EconomicLife-1)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2" t="s">
        <v>64</v>
      </c>
      <c r="B219" s="63">
        <f>TotalPresentWorth*ConstantCapitalRecoveryFactor</f>
        <v>297195.41468795674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28" t="s">
        <v>156</v>
      </c>
      <c r="B220" s="129">
        <f>ConstantLevelAnnualRevenue/AnnualNetElectricityGeneration</f>
        <v>7.9826864004285986E-2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2" t="s">
        <v>231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7" t="s">
        <v>112</v>
      </c>
      <c r="C227" s="168"/>
      <c r="D227" s="168"/>
      <c r="E227" s="168"/>
      <c r="F227" s="168"/>
      <c r="G227" s="169"/>
      <c r="I227" s="167" t="s">
        <v>233</v>
      </c>
      <c r="J227" s="168"/>
      <c r="K227" s="168"/>
      <c r="L227" s="168"/>
      <c r="M227" s="168"/>
      <c r="N227" s="169"/>
      <c r="P227" s="167" t="s">
        <v>234</v>
      </c>
      <c r="Q227" s="168"/>
      <c r="R227" s="168"/>
      <c r="S227" s="168"/>
      <c r="T227" s="168"/>
      <c r="U227" s="169"/>
      <c r="W227" s="167" t="s">
        <v>235</v>
      </c>
      <c r="X227" s="168"/>
      <c r="Y227" s="168"/>
      <c r="Z227" s="168"/>
      <c r="AA227" s="168"/>
      <c r="AB227" s="169"/>
      <c r="AD227" s="167" t="s">
        <v>236</v>
      </c>
      <c r="AE227" s="168"/>
      <c r="AF227" s="168"/>
      <c r="AG227" s="168"/>
      <c r="AH227" s="168"/>
      <c r="AI227" s="169"/>
      <c r="AK227" s="167" t="s">
        <v>237</v>
      </c>
      <c r="AL227" s="168"/>
      <c r="AM227" s="168"/>
      <c r="AN227" s="168"/>
      <c r="AO227" s="168"/>
      <c r="AP227" s="169"/>
      <c r="AR227" s="133" t="s">
        <v>252</v>
      </c>
      <c r="AS227" s="134"/>
      <c r="AT227" s="134"/>
      <c r="AU227" s="134"/>
      <c r="AV227" s="90"/>
      <c r="AW227" s="135">
        <f>B80</f>
        <v>0.01</v>
      </c>
      <c r="AY227" s="167" t="s">
        <v>238</v>
      </c>
      <c r="AZ227" s="168"/>
      <c r="BA227" s="168"/>
      <c r="BB227" s="168"/>
      <c r="BC227" s="168"/>
      <c r="BD227" s="169"/>
    </row>
    <row r="228" spans="1:56" ht="36">
      <c r="A228" s="136"/>
      <c r="B228" s="137" t="s">
        <v>239</v>
      </c>
      <c r="C228" s="95" t="s">
        <v>240</v>
      </c>
      <c r="D228" s="95" t="s">
        <v>112</v>
      </c>
      <c r="E228" s="95" t="s">
        <v>241</v>
      </c>
      <c r="F228" s="95" t="s">
        <v>242</v>
      </c>
      <c r="G228" s="96" t="s">
        <v>243</v>
      </c>
      <c r="I228" s="137" t="s">
        <v>239</v>
      </c>
      <c r="J228" s="95" t="s">
        <v>240</v>
      </c>
      <c r="K228" s="95" t="s">
        <v>233</v>
      </c>
      <c r="L228" s="95" t="s">
        <v>241</v>
      </c>
      <c r="M228" s="95" t="s">
        <v>242</v>
      </c>
      <c r="N228" s="96" t="s">
        <v>243</v>
      </c>
      <c r="P228" s="137" t="s">
        <v>239</v>
      </c>
      <c r="Q228" s="95" t="s">
        <v>240</v>
      </c>
      <c r="R228" s="95" t="s">
        <v>234</v>
      </c>
      <c r="S228" s="95" t="s">
        <v>241</v>
      </c>
      <c r="T228" s="95" t="s">
        <v>242</v>
      </c>
      <c r="U228" s="96" t="s">
        <v>243</v>
      </c>
      <c r="W228" s="137" t="s">
        <v>239</v>
      </c>
      <c r="X228" s="95" t="s">
        <v>240</v>
      </c>
      <c r="Y228" s="95" t="s">
        <v>235</v>
      </c>
      <c r="Z228" s="95" t="s">
        <v>241</v>
      </c>
      <c r="AA228" s="95" t="s">
        <v>242</v>
      </c>
      <c r="AB228" s="96" t="s">
        <v>243</v>
      </c>
      <c r="AD228" s="137" t="s">
        <v>239</v>
      </c>
      <c r="AE228" s="95" t="s">
        <v>240</v>
      </c>
      <c r="AF228" s="95" t="s">
        <v>236</v>
      </c>
      <c r="AG228" s="95" t="s">
        <v>241</v>
      </c>
      <c r="AH228" s="95" t="s">
        <v>242</v>
      </c>
      <c r="AI228" s="96" t="s">
        <v>243</v>
      </c>
      <c r="AK228" s="137" t="s">
        <v>239</v>
      </c>
      <c r="AL228" s="95" t="s">
        <v>240</v>
      </c>
      <c r="AM228" s="95" t="s">
        <v>237</v>
      </c>
      <c r="AN228" s="95" t="s">
        <v>241</v>
      </c>
      <c r="AO228" s="95" t="s">
        <v>242</v>
      </c>
      <c r="AP228" s="96" t="s">
        <v>243</v>
      </c>
      <c r="AR228" s="137" t="s">
        <v>239</v>
      </c>
      <c r="AS228" s="95" t="s">
        <v>240</v>
      </c>
      <c r="AT228" s="95" t="s">
        <v>244</v>
      </c>
      <c r="AU228" s="95" t="s">
        <v>241</v>
      </c>
      <c r="AV228" s="95" t="s">
        <v>242</v>
      </c>
      <c r="AW228" s="96" t="s">
        <v>243</v>
      </c>
      <c r="AY228" s="137" t="s">
        <v>239</v>
      </c>
      <c r="AZ228" s="95" t="s">
        <v>240</v>
      </c>
      <c r="BA228" s="95" t="s">
        <v>238</v>
      </c>
      <c r="BB228" s="95" t="s">
        <v>245</v>
      </c>
      <c r="BC228" s="95" t="s">
        <v>246</v>
      </c>
      <c r="BD228" s="96" t="s">
        <v>243</v>
      </c>
    </row>
    <row r="229" spans="1:56">
      <c r="A229" s="136"/>
      <c r="B229" s="137"/>
      <c r="C229" s="95" t="s">
        <v>247</v>
      </c>
      <c r="D229" s="95" t="s">
        <v>158</v>
      </c>
      <c r="E229" s="95" t="s">
        <v>248</v>
      </c>
      <c r="F229" s="95" t="s">
        <v>248</v>
      </c>
      <c r="G229" s="94" t="s">
        <v>247</v>
      </c>
      <c r="I229" s="137"/>
      <c r="J229" s="95" t="s">
        <v>247</v>
      </c>
      <c r="K229" s="95" t="s">
        <v>249</v>
      </c>
      <c r="L229" s="95" t="s">
        <v>248</v>
      </c>
      <c r="M229" s="95" t="s">
        <v>248</v>
      </c>
      <c r="N229" s="94" t="s">
        <v>247</v>
      </c>
      <c r="P229" s="137"/>
      <c r="Q229" s="95" t="s">
        <v>247</v>
      </c>
      <c r="R229" s="95" t="s">
        <v>248</v>
      </c>
      <c r="S229" s="95" t="s">
        <v>248</v>
      </c>
      <c r="T229" s="95" t="s">
        <v>248</v>
      </c>
      <c r="U229" s="94" t="s">
        <v>247</v>
      </c>
      <c r="W229" s="137"/>
      <c r="X229" s="95" t="s">
        <v>247</v>
      </c>
      <c r="Y229" s="95" t="s">
        <v>247</v>
      </c>
      <c r="Z229" s="95" t="s">
        <v>248</v>
      </c>
      <c r="AA229" s="95" t="s">
        <v>248</v>
      </c>
      <c r="AB229" s="94" t="s">
        <v>247</v>
      </c>
      <c r="AD229" s="137"/>
      <c r="AE229" s="95" t="s">
        <v>247</v>
      </c>
      <c r="AF229" s="95" t="s">
        <v>247</v>
      </c>
      <c r="AG229" s="95" t="s">
        <v>248</v>
      </c>
      <c r="AH229" s="95" t="s">
        <v>248</v>
      </c>
      <c r="AI229" s="94" t="s">
        <v>247</v>
      </c>
      <c r="AK229" s="137"/>
      <c r="AL229" s="95" t="s">
        <v>247</v>
      </c>
      <c r="AM229" s="95" t="s">
        <v>247</v>
      </c>
      <c r="AN229" s="95" t="s">
        <v>248</v>
      </c>
      <c r="AO229" s="95" t="s">
        <v>248</v>
      </c>
      <c r="AP229" s="94" t="s">
        <v>247</v>
      </c>
      <c r="AR229" s="137"/>
      <c r="AS229" s="95" t="s">
        <v>247</v>
      </c>
      <c r="AT229" s="95" t="s">
        <v>247</v>
      </c>
      <c r="AU229" s="95" t="s">
        <v>248</v>
      </c>
      <c r="AV229" s="95" t="s">
        <v>248</v>
      </c>
      <c r="AW229" s="94" t="s">
        <v>247</v>
      </c>
      <c r="AY229" s="137"/>
      <c r="AZ229" s="95" t="s">
        <v>247</v>
      </c>
      <c r="BA229" s="95" t="s">
        <v>247</v>
      </c>
      <c r="BB229" s="95" t="s">
        <v>248</v>
      </c>
      <c r="BC229" s="95" t="s">
        <v>248</v>
      </c>
      <c r="BD229" s="94" t="s">
        <v>247</v>
      </c>
    </row>
    <row r="230" spans="1:56" ht="24">
      <c r="A230" s="136"/>
      <c r="B230" s="138" t="s">
        <v>250</v>
      </c>
      <c r="C230" s="139"/>
      <c r="D230" s="139"/>
      <c r="E230" s="140">
        <f>$B$214</f>
        <v>9.1592798278978024E-2</v>
      </c>
      <c r="F230" s="140">
        <f>$B$220</f>
        <v>7.9826864004285986E-2</v>
      </c>
      <c r="G230" s="141"/>
      <c r="I230" s="138" t="s">
        <v>250</v>
      </c>
      <c r="J230" s="139"/>
      <c r="K230" s="139"/>
      <c r="L230" s="140">
        <f>$B$214</f>
        <v>9.1592798278978024E-2</v>
      </c>
      <c r="M230" s="140">
        <f>$B$220</f>
        <v>7.9826864004285986E-2</v>
      </c>
      <c r="N230" s="141"/>
      <c r="P230" s="138" t="s">
        <v>250</v>
      </c>
      <c r="Q230" s="139"/>
      <c r="R230" s="139"/>
      <c r="S230" s="140">
        <f>$B$214</f>
        <v>9.1592798278978024E-2</v>
      </c>
      <c r="T230" s="140">
        <f>$B$220</f>
        <v>7.9826864004285986E-2</v>
      </c>
      <c r="U230" s="141"/>
      <c r="W230" s="138" t="s">
        <v>250</v>
      </c>
      <c r="X230" s="139"/>
      <c r="Y230" s="139"/>
      <c r="Z230" s="140">
        <f>$B$214</f>
        <v>9.1592798278978024E-2</v>
      </c>
      <c r="AA230" s="140">
        <f>$B$220</f>
        <v>7.9826864004285986E-2</v>
      </c>
      <c r="AB230" s="141"/>
      <c r="AD230" s="138" t="s">
        <v>250</v>
      </c>
      <c r="AE230" s="139"/>
      <c r="AF230" s="139"/>
      <c r="AG230" s="140">
        <f>$B$214</f>
        <v>9.1592798278978024E-2</v>
      </c>
      <c r="AH230" s="140">
        <f>$B$220</f>
        <v>7.9826864004285986E-2</v>
      </c>
      <c r="AI230" s="141"/>
      <c r="AK230" s="138" t="s">
        <v>250</v>
      </c>
      <c r="AL230" s="139"/>
      <c r="AM230" s="139"/>
      <c r="AN230" s="140">
        <f>$B$214</f>
        <v>9.1592798278978024E-2</v>
      </c>
      <c r="AO230" s="140">
        <f>$B$220</f>
        <v>7.9826864004285986E-2</v>
      </c>
      <c r="AP230" s="141"/>
      <c r="AR230" s="138" t="s">
        <v>250</v>
      </c>
      <c r="AS230" s="139"/>
      <c r="AT230" s="139"/>
      <c r="AU230" s="140">
        <f>$B$214</f>
        <v>9.1592798278978024E-2</v>
      </c>
      <c r="AV230" s="140">
        <f>$B$220</f>
        <v>7.9826864004285986E-2</v>
      </c>
      <c r="AW230" s="141"/>
      <c r="AY230" s="138" t="s">
        <v>250</v>
      </c>
      <c r="AZ230" s="139"/>
      <c r="BA230" s="139"/>
      <c r="BB230" s="140">
        <f>$B$214</f>
        <v>9.1592798278978024E-2</v>
      </c>
      <c r="BC230" s="140">
        <f>$B$220</f>
        <v>7.9826864004285986E-2</v>
      </c>
      <c r="BD230" s="141"/>
    </row>
    <row r="231" spans="1:56">
      <c r="B231" s="142">
        <f t="shared" ref="B231:B238" si="31">B232-1</f>
        <v>-10</v>
      </c>
      <c r="C231" s="143">
        <f>IF(ISERROR((D231-D241)/D241*100),"error",(D231-D241)/D241*100)</f>
        <v>-100</v>
      </c>
      <c r="D231" s="144">
        <v>0</v>
      </c>
      <c r="E231" s="145">
        <f t="dataTable" ref="E231:F251" dt2D="0" dtr="0" r1="B33"/>
        <v>6.7146856037249403E-2</v>
      </c>
      <c r="F231" s="145">
        <v>5.8521227060611705E-2</v>
      </c>
      <c r="G231" s="146">
        <f>(F231-F241)/F241*100</f>
        <v>-26.68980826120184</v>
      </c>
      <c r="I231" s="142">
        <f t="shared" ref="I231:I238" si="32">I232-1</f>
        <v>-10</v>
      </c>
      <c r="J231" s="143">
        <f>IF(ISERROR((K231-K$241)/K$241*100),"error",(K231-K$241)/K$241*100)</f>
        <v>-100</v>
      </c>
      <c r="K231" s="147">
        <v>0</v>
      </c>
      <c r="L231" s="145">
        <f t="dataTable" ref="L231:M251" dt2D="0" dtr="0" r1="B87" ca="1"/>
        <v>4.0285788510028633E-2</v>
      </c>
      <c r="M231" s="145">
        <v>3.5110709806030455E-2</v>
      </c>
      <c r="N231" s="146">
        <f>(M231-M241)/M241*100</f>
        <v>-56.016423488532233</v>
      </c>
      <c r="P231" s="142">
        <f t="shared" ref="P231:P238" si="33">P232-1</f>
        <v>-10</v>
      </c>
      <c r="Q231" s="143">
        <f>IF(ISERROR((R231-R$241)/R$241*100),"error",(R231-R$241)/R$241*100)</f>
        <v>-100</v>
      </c>
      <c r="R231" s="148">
        <v>0</v>
      </c>
      <c r="S231" s="145">
        <f t="dataTable" ref="S231:T251" dt2D="0" dtr="0" r1="B80" ca="1"/>
        <v>0.10871843405525729</v>
      </c>
      <c r="T231" s="145">
        <v>9.475255492963626E-2</v>
      </c>
      <c r="U231" s="146">
        <f>(T231-T241)/T241*100</f>
        <v>18.697578956062834</v>
      </c>
      <c r="W231" s="142">
        <f t="shared" ref="W231:W238" si="34">W232-1</f>
        <v>-10</v>
      </c>
      <c r="X231" s="143">
        <f>IF(ISERROR((Y231-Y$241)/Y$241*100),"error",(Y231-Y$241)/Y$241*100)</f>
        <v>-100</v>
      </c>
      <c r="Y231" s="21">
        <v>0</v>
      </c>
      <c r="Z231" s="145">
        <f t="dataTable" ref="Z231:AA251" dt2D="0" dtr="0" r1="B123" ca="1"/>
        <v>0.12213483465043426</v>
      </c>
      <c r="AA231" s="145">
        <v>0.10644549592349191</v>
      </c>
      <c r="AB231" s="146">
        <f>(AA231-AA241)/AA241*100</f>
        <v>33.345456133384801</v>
      </c>
      <c r="AD231" s="142">
        <f t="shared" ref="AD231:AD238" si="35">AD232-1</f>
        <v>-10</v>
      </c>
      <c r="AE231" s="143">
        <f>IF(ISERROR((AF231-AF$241)/AF$241*100),"error",(AF231-AF$241)/AF$241*100)</f>
        <v>-80</v>
      </c>
      <c r="AF231" s="149">
        <v>1</v>
      </c>
      <c r="AG231" s="145">
        <f t="dataTable" ref="AG231:AH251" dt2D="0" dtr="0" r1="B125" ca="1"/>
        <v>8.6378913254578832E-2</v>
      </c>
      <c r="AH231" s="145">
        <v>7.5282750290137951E-2</v>
      </c>
      <c r="AI231" s="146">
        <f>(AH231-AH241)/AH241*100</f>
        <v>-5.692461768138676</v>
      </c>
      <c r="AK231" s="142">
        <f t="shared" ref="AK231:AK238" si="36">AK232-1</f>
        <v>-10</v>
      </c>
      <c r="AL231" s="143">
        <f>IF(ISERROR((AM231-AM$241)/AM$241*100),"error",(AM231-AM$241)/AM$241*100)</f>
        <v>-93.333333333333329</v>
      </c>
      <c r="AM231" s="149">
        <v>1</v>
      </c>
      <c r="AN231" s="145">
        <f t="dataTable" ref="AN231:AO251" dt2D="0" dtr="0" r1="B127" ca="1"/>
        <v>9.2949954949882119E-2</v>
      </c>
      <c r="AO231" s="145">
        <v>7.4704482042009121E-2</v>
      </c>
      <c r="AP231" s="146">
        <f>(AO231-AO241)/AO241*100</f>
        <v>-6.4168648313703507</v>
      </c>
      <c r="AR231" s="142">
        <f t="shared" ref="AR231:AR238" si="37">AR232-1</f>
        <v>-10</v>
      </c>
      <c r="AS231" s="143">
        <f>IF(ISERROR((AT231-AT$241)/AT$241*100),"error",(AT231-AT$241)/AT$241*100)</f>
        <v>-78.260869565217391</v>
      </c>
      <c r="AT231" s="149">
        <v>5</v>
      </c>
      <c r="AU231" s="145">
        <f t="dataTable" ref="AU231:AV251" dt2D="0" dtr="0" r1="B43" ca="1"/>
        <v>0.2865881299404533</v>
      </c>
      <c r="AV231" s="145">
        <v>0.24977325842057971</v>
      </c>
      <c r="AW231" s="146">
        <f>(AV231-AV241)/AV241*100</f>
        <v>212.89373763595313</v>
      </c>
      <c r="AY231" s="142">
        <f t="shared" ref="AY231:AY238" si="38">AY232-1</f>
        <v>-10</v>
      </c>
      <c r="AZ231" s="143">
        <f>IF(ISERROR((BA231-BA$241)/BA$241*100),"error",(BA231-BA$241)/BA$241*100)</f>
        <v>-52.941176470588239</v>
      </c>
      <c r="BA231" s="149">
        <v>40</v>
      </c>
      <c r="BB231" s="145">
        <f t="dataTable" ref="BB231:BC251" dt2D="0" dtr="0" r1="B39" ca="1"/>
        <v>0.1292819747678435</v>
      </c>
      <c r="BC231" s="145">
        <v>0.11267452039803895</v>
      </c>
      <c r="BD231" s="146">
        <f>(BC231-BC241)/BC241*100</f>
        <v>41.14862434278934</v>
      </c>
    </row>
    <row r="232" spans="1:56">
      <c r="B232" s="142">
        <f t="shared" si="31"/>
        <v>-9</v>
      </c>
      <c r="C232" s="143">
        <f>IF(ISERROR((D232-D241)/D241*100),"error",(D232-D241)/D241*100)</f>
        <v>-90</v>
      </c>
      <c r="D232" s="143">
        <f>D241+B232*(D241-D231)/10</f>
        <v>87500</v>
      </c>
      <c r="E232" s="145">
        <v>6.9591450261422258E-2</v>
      </c>
      <c r="F232" s="145">
        <v>6.0651790754979118E-2</v>
      </c>
      <c r="G232" s="146">
        <f>(F232-F241)/F241*100</f>
        <v>-24.020827435081678</v>
      </c>
      <c r="I232" s="142">
        <f t="shared" si="32"/>
        <v>-9</v>
      </c>
      <c r="J232" s="143">
        <f t="shared" ref="J232:J251" si="39">IF(ISERROR((K232-K$241)/K$241*100),"error",(K232-K$241)/K$241*100)</f>
        <v>-90.000000000000014</v>
      </c>
      <c r="K232" s="150">
        <f>K241+I232*(K241-K231)/10</f>
        <v>2.2049999999999983</v>
      </c>
      <c r="L232" s="145">
        <v>4.5416489486923568E-2</v>
      </c>
      <c r="M232" s="145">
        <v>3.9582325225856002E-2</v>
      </c>
      <c r="N232" s="146">
        <f>(M232-M241)/M241*100</f>
        <v>-50.414781139679008</v>
      </c>
      <c r="P232" s="142">
        <f t="shared" si="33"/>
        <v>-9</v>
      </c>
      <c r="Q232" s="143">
        <f t="shared" ref="Q232:Q251" si="40">IF(ISERROR((R232-R$241)/R$241*100),"error",(R232-R$241)/R$241*100)</f>
        <v>-89.999999999999986</v>
      </c>
      <c r="R232" s="151">
        <f>R241+P232*(R241-R231)/10</f>
        <v>1.0000000000000009E-3</v>
      </c>
      <c r="S232" s="145">
        <v>0.10700587047762936</v>
      </c>
      <c r="T232" s="145">
        <v>9.3259985837101211E-2</v>
      </c>
      <c r="U232" s="146">
        <f>(T232-T241)/T241*100</f>
        <v>16.827821060456525</v>
      </c>
      <c r="W232" s="142">
        <f t="shared" si="34"/>
        <v>-9</v>
      </c>
      <c r="X232" s="143">
        <f t="shared" ref="X232:X251" si="41">IF(ISERROR((Y232-Y$241)/Y$241*100),"error",(Y232-Y$241)/Y$241*100)</f>
        <v>-90</v>
      </c>
      <c r="Y232" s="143">
        <f>Y241+W232*(Y241-Y231)/10</f>
        <v>9</v>
      </c>
      <c r="Z232" s="145">
        <v>0.11908063101328863</v>
      </c>
      <c r="AA232" s="145">
        <v>0.1037836327315713</v>
      </c>
      <c r="AB232" s="146">
        <f>(AA232-AA241)/AA241*100</f>
        <v>30.010910520046302</v>
      </c>
      <c r="AD232" s="142">
        <f t="shared" si="35"/>
        <v>-9</v>
      </c>
      <c r="AE232" s="143">
        <f t="shared" ref="AE232:AE251" si="42">IF(ISERROR((AF232-AF$241)/AF$241*100),"error",(AF232-AF$241)/AF$241*100)</f>
        <v>-72</v>
      </c>
      <c r="AF232" s="152">
        <f>AF241+AD232*(AF241-AF231)/10</f>
        <v>1.4</v>
      </c>
      <c r="AG232" s="145">
        <v>8.683623428639653E-2</v>
      </c>
      <c r="AH232" s="145">
        <v>7.5681324244631823E-2</v>
      </c>
      <c r="AI232" s="146">
        <f>(AH232-AH241)/AH241*100</f>
        <v>-5.1931637442648189</v>
      </c>
      <c r="AK232" s="142">
        <f t="shared" si="36"/>
        <v>-9</v>
      </c>
      <c r="AL232" s="143">
        <f t="shared" ref="AL232:AL251" si="43">IF(ISERROR((AM232-AM$241)/AM$241*100),"error",(AM232-AM$241)/AM$241*100)</f>
        <v>-84</v>
      </c>
      <c r="AM232" s="152">
        <f>AM241+AK232*(AM241-AM231)/10</f>
        <v>2.4000000000000004</v>
      </c>
      <c r="AN232" s="145">
        <v>9.2593462437158908E-2</v>
      </c>
      <c r="AO232" s="145">
        <v>7.5127928925322621E-2</v>
      </c>
      <c r="AP232" s="146">
        <f>(AO232-AO241)/AO241*100</f>
        <v>-5.886408213043512</v>
      </c>
      <c r="AR232" s="142">
        <f t="shared" si="37"/>
        <v>-9</v>
      </c>
      <c r="AS232" s="143">
        <f t="shared" ref="AS232:AS251" si="44">IF(ISERROR((AT232-AT$241)/AT$241*100),"error",(AT232-AT$241)/AT$241*100)</f>
        <v>-70.434782608695642</v>
      </c>
      <c r="AT232" s="153">
        <f>AT241+AR232*(AT241-AT231)/10</f>
        <v>6.8000000000000007</v>
      </c>
      <c r="AU232" s="145">
        <v>0.22063382658436601</v>
      </c>
      <c r="AV232" s="145">
        <v>0.19229138972095092</v>
      </c>
      <c r="AW232" s="146">
        <f>(AV232-AV241)/AV241*100</f>
        <v>140.8855616708513</v>
      </c>
      <c r="AY232" s="142">
        <f t="shared" si="38"/>
        <v>-9</v>
      </c>
      <c r="AZ232" s="143">
        <f t="shared" ref="AZ232:AZ251" si="45">IF(ISERROR((BA232-BA$241)/BA$241*100),"error",(BA232-BA$241)/BA$241*100)</f>
        <v>-47.647058823529406</v>
      </c>
      <c r="BA232" s="152">
        <f>BA241+AY232*(BA241-BA231)/10</f>
        <v>44.5</v>
      </c>
      <c r="BB232" s="145">
        <v>0.12208291858457705</v>
      </c>
      <c r="BC232" s="145">
        <v>0.10640024895204118</v>
      </c>
      <c r="BD232" s="146">
        <f>(BC232-BC241)/BC241*100</f>
        <v>33.288774749222824</v>
      </c>
    </row>
    <row r="233" spans="1:56">
      <c r="B233" s="142">
        <f t="shared" si="31"/>
        <v>-8</v>
      </c>
      <c r="C233" s="143">
        <f>IF(ISERROR((D233-D241)/D241*100),"error",(D233-D241)/D241*100)</f>
        <v>-80</v>
      </c>
      <c r="D233" s="143">
        <f>D241+B233*(D241-D231)/10</f>
        <v>175000</v>
      </c>
      <c r="E233" s="145">
        <v>7.2036044485595127E-2</v>
      </c>
      <c r="F233" s="145">
        <v>6.2782354449346559E-2</v>
      </c>
      <c r="G233" s="146">
        <f>(F233-F241)/F241*100</f>
        <v>-21.351846608961477</v>
      </c>
      <c r="I233" s="142">
        <f t="shared" si="32"/>
        <v>-8</v>
      </c>
      <c r="J233" s="143">
        <f t="shared" si="39"/>
        <v>-80</v>
      </c>
      <c r="K233" s="150">
        <f>K241+I233*(K241-K231)/10</f>
        <v>4.41</v>
      </c>
      <c r="L233" s="145">
        <v>5.0547190463818503E-2</v>
      </c>
      <c r="M233" s="145">
        <v>4.405394064568155E-2</v>
      </c>
      <c r="N233" s="146">
        <f>(M233-M241)/M241*100</f>
        <v>-44.813138790825796</v>
      </c>
      <c r="P233" s="142">
        <f t="shared" si="33"/>
        <v>-8</v>
      </c>
      <c r="Q233" s="143">
        <f t="shared" si="40"/>
        <v>-80</v>
      </c>
      <c r="R233" s="151">
        <f>R241+P233*(R241-R231)/10</f>
        <v>2E-3</v>
      </c>
      <c r="S233" s="145">
        <v>0.10529330690000141</v>
      </c>
      <c r="T233" s="145">
        <v>9.1767416744566177E-2</v>
      </c>
      <c r="U233" s="146">
        <f>(T233-T241)/T241*100</f>
        <v>14.958063164850232</v>
      </c>
      <c r="W233" s="142">
        <f t="shared" si="34"/>
        <v>-8</v>
      </c>
      <c r="X233" s="143">
        <f t="shared" si="41"/>
        <v>-80</v>
      </c>
      <c r="Y233" s="143">
        <f>Y241+W233*(Y241-Y231)/10</f>
        <v>18</v>
      </c>
      <c r="Z233" s="145">
        <v>0.11602642737614299</v>
      </c>
      <c r="AA233" s="145">
        <v>0.10112176953965071</v>
      </c>
      <c r="AB233" s="146">
        <f>(AA233-AA241)/AA241*100</f>
        <v>26.676364906707828</v>
      </c>
      <c r="AD233" s="142">
        <f t="shared" si="35"/>
        <v>-8</v>
      </c>
      <c r="AE233" s="143">
        <f t="shared" si="42"/>
        <v>-64</v>
      </c>
      <c r="AF233" s="152">
        <f>AF241+AD233*(AF241-AF231)/10</f>
        <v>1.7999999999999998</v>
      </c>
      <c r="AG233" s="145">
        <v>8.7308124134228851E-2</v>
      </c>
      <c r="AH233" s="145">
        <v>7.6092595517217892E-2</v>
      </c>
      <c r="AI233" s="146">
        <f>(AH233-AH241)/AH241*100</f>
        <v>-4.6779596488565511</v>
      </c>
      <c r="AK233" s="142">
        <f t="shared" si="36"/>
        <v>-8</v>
      </c>
      <c r="AL233" s="143">
        <f t="shared" si="43"/>
        <v>-74.666666666666657</v>
      </c>
      <c r="AM233" s="152">
        <f>AM241+AK233*(AM241-AM231)/10</f>
        <v>3.8000000000000007</v>
      </c>
      <c r="AN233" s="145">
        <v>9.2279293361537187E-2</v>
      </c>
      <c r="AO233" s="145">
        <v>7.5572482694638024E-2</v>
      </c>
      <c r="AP233" s="146">
        <f>(AO233-AO241)/AO241*100</f>
        <v>-5.3295107639698083</v>
      </c>
      <c r="AR233" s="142">
        <f t="shared" si="37"/>
        <v>-8</v>
      </c>
      <c r="AS233" s="143">
        <f t="shared" si="44"/>
        <v>-62.608695652173921</v>
      </c>
      <c r="AT233" s="153">
        <f>AT241+AR233*(AT241-AT231)/10</f>
        <v>8.6</v>
      </c>
      <c r="AU233" s="145">
        <v>0.18228830137733859</v>
      </c>
      <c r="AV233" s="145">
        <v>0.15887169861651562</v>
      </c>
      <c r="AW233" s="146">
        <f>(AV233-AV241)/AV241*100</f>
        <v>99.020343086489831</v>
      </c>
      <c r="AY233" s="142">
        <f t="shared" si="38"/>
        <v>-8</v>
      </c>
      <c r="AZ233" s="143">
        <f t="shared" si="45"/>
        <v>-42.352941176470587</v>
      </c>
      <c r="BA233" s="152">
        <f>BA241+AY233*(BA241-BA231)/10</f>
        <v>49</v>
      </c>
      <c r="BB233" s="145">
        <v>0.11620613802680851</v>
      </c>
      <c r="BC233" s="145">
        <v>0.10127839471041034</v>
      </c>
      <c r="BD233" s="146">
        <f>(BC233-BC241)/BC241*100</f>
        <v>26.872570999372584</v>
      </c>
    </row>
    <row r="234" spans="1:56">
      <c r="B234" s="142">
        <f t="shared" si="31"/>
        <v>-7</v>
      </c>
      <c r="C234" s="143">
        <f>IF(ISERROR((D234-D241)/D241*100),"error",(D234-D241)/D241*100)</f>
        <v>-70</v>
      </c>
      <c r="D234" s="143">
        <f>D241+B234*(D241-D231)/10</f>
        <v>262500</v>
      </c>
      <c r="E234" s="145">
        <v>7.4480638709767996E-2</v>
      </c>
      <c r="F234" s="145">
        <v>6.4912918143713999E-2</v>
      </c>
      <c r="G234" s="146">
        <f>(F234-F241)/F241*100</f>
        <v>-18.682865782841276</v>
      </c>
      <c r="I234" s="142">
        <f t="shared" si="32"/>
        <v>-7</v>
      </c>
      <c r="J234" s="143">
        <f t="shared" si="39"/>
        <v>-70</v>
      </c>
      <c r="K234" s="150">
        <f>K241+I234*(K241-K231)/10</f>
        <v>6.615000000000002</v>
      </c>
      <c r="L234" s="145">
        <v>5.5677891440713445E-2</v>
      </c>
      <c r="M234" s="145">
        <v>4.8525556065507104E-2</v>
      </c>
      <c r="N234" s="146">
        <f>(M234-M241)/M241*100</f>
        <v>-39.211496441972571</v>
      </c>
      <c r="P234" s="142">
        <f t="shared" si="33"/>
        <v>-7</v>
      </c>
      <c r="Q234" s="143">
        <f t="shared" si="40"/>
        <v>-70</v>
      </c>
      <c r="R234" s="151">
        <f>R241+P234*(R241-R231)/10</f>
        <v>2.9999999999999992E-3</v>
      </c>
      <c r="S234" s="145">
        <v>0.10358074332237349</v>
      </c>
      <c r="T234" s="145">
        <v>9.0274847652031157E-2</v>
      </c>
      <c r="U234" s="146">
        <f>(T234-T241)/T241*100</f>
        <v>13.088305269243957</v>
      </c>
      <c r="W234" s="142">
        <f t="shared" si="34"/>
        <v>-7</v>
      </c>
      <c r="X234" s="143">
        <f t="shared" si="41"/>
        <v>-70</v>
      </c>
      <c r="Y234" s="143">
        <f>Y241+W234*(Y241-Y231)/10</f>
        <v>27</v>
      </c>
      <c r="Z234" s="145">
        <v>0.11297222373899737</v>
      </c>
      <c r="AA234" s="145">
        <v>9.8459906347730122E-2</v>
      </c>
      <c r="AB234" s="146">
        <f>(AA234-AA241)/AA241*100</f>
        <v>23.341819293369348</v>
      </c>
      <c r="AD234" s="142">
        <f t="shared" si="35"/>
        <v>-7</v>
      </c>
      <c r="AE234" s="143">
        <f t="shared" si="42"/>
        <v>-55.999999999999993</v>
      </c>
      <c r="AF234" s="152">
        <f>AF241+AD234*(AF241-AF231)/10</f>
        <v>2.2000000000000002</v>
      </c>
      <c r="AG234" s="145">
        <v>8.7794486549057624E-2</v>
      </c>
      <c r="AH234" s="145">
        <v>7.6516480222946368E-2</v>
      </c>
      <c r="AI234" s="146">
        <f>(AH234-AH241)/AH241*100</f>
        <v>-4.1469545655230551</v>
      </c>
      <c r="AK234" s="142">
        <f t="shared" si="36"/>
        <v>-7</v>
      </c>
      <c r="AL234" s="143">
        <f t="shared" si="43"/>
        <v>-65.333333333333343</v>
      </c>
      <c r="AM234" s="152">
        <f>AM241+AK234*(AM241-AM231)/10</f>
        <v>5.1999999999999993</v>
      </c>
      <c r="AN234" s="145">
        <v>9.2011954406091695E-2</v>
      </c>
      <c r="AO234" s="145">
        <v>7.6038091191301699E-2</v>
      </c>
      <c r="AP234" s="146">
        <f>(AO234-AO241)/AO241*100</f>
        <v>-4.7462378238745089</v>
      </c>
      <c r="AR234" s="142">
        <f t="shared" si="37"/>
        <v>-7</v>
      </c>
      <c r="AS234" s="143">
        <f t="shared" si="44"/>
        <v>-54.782608695652172</v>
      </c>
      <c r="AT234" s="153">
        <f>AT241+AR234*(AT241-AT231)/10</f>
        <v>10.4</v>
      </c>
      <c r="AU234" s="145">
        <v>0.15721622720351297</v>
      </c>
      <c r="AV234" s="145">
        <v>0.13702036212515406</v>
      </c>
      <c r="AW234" s="146">
        <f>(AV234-AV241)/AV241*100</f>
        <v>71.646930935176528</v>
      </c>
      <c r="AY234" s="142">
        <f t="shared" si="38"/>
        <v>-7</v>
      </c>
      <c r="AZ234" s="143">
        <f t="shared" si="45"/>
        <v>-37.058823529411768</v>
      </c>
      <c r="BA234" s="152">
        <f>BA241+AY234*(BA241-BA231)/10</f>
        <v>53.5</v>
      </c>
      <c r="BB234" s="145">
        <v>0.11131797475913191</v>
      </c>
      <c r="BC234" s="145">
        <v>9.7018160808493153E-2</v>
      </c>
      <c r="BD234" s="146">
        <f>(BC234-BC241)/BC241*100</f>
        <v>21.535728628001909</v>
      </c>
    </row>
    <row r="235" spans="1:56">
      <c r="B235" s="142">
        <f t="shared" si="31"/>
        <v>-6</v>
      </c>
      <c r="C235" s="143">
        <f>IF(ISERROR((D235-D241)/D241*100),"error",(D235-D241)/D241*100)</f>
        <v>-60</v>
      </c>
      <c r="D235" s="143">
        <f>D241+B235*(D241-D231)/10</f>
        <v>350000</v>
      </c>
      <c r="E235" s="145">
        <v>7.6925232933940824E-2</v>
      </c>
      <c r="F235" s="145">
        <v>6.7043481838081398E-2</v>
      </c>
      <c r="G235" s="146">
        <f>(F235-F241)/F241*100</f>
        <v>-16.013884956721132</v>
      </c>
      <c r="I235" s="142">
        <f t="shared" si="32"/>
        <v>-6</v>
      </c>
      <c r="J235" s="143">
        <f t="shared" si="39"/>
        <v>-60</v>
      </c>
      <c r="K235" s="150">
        <f>K241+I235*(K241-K231)/10</f>
        <v>8.82</v>
      </c>
      <c r="L235" s="145">
        <v>6.0808592417608387E-2</v>
      </c>
      <c r="M235" s="145">
        <v>5.2997171485332659E-2</v>
      </c>
      <c r="N235" s="146">
        <f>(M235-M241)/M241*100</f>
        <v>-33.609854093119345</v>
      </c>
      <c r="P235" s="142">
        <f t="shared" si="33"/>
        <v>-6</v>
      </c>
      <c r="Q235" s="143">
        <f t="shared" si="40"/>
        <v>-60</v>
      </c>
      <c r="R235" s="151">
        <f>R241+P235*(R241-R231)/10</f>
        <v>4.0000000000000001E-3</v>
      </c>
      <c r="S235" s="145">
        <v>0.10186817974474559</v>
      </c>
      <c r="T235" s="145">
        <v>8.878227855949615E-2</v>
      </c>
      <c r="U235" s="146">
        <f>(T235-T241)/T241*100</f>
        <v>11.218547373637701</v>
      </c>
      <c r="W235" s="142">
        <f t="shared" si="34"/>
        <v>-6</v>
      </c>
      <c r="X235" s="143">
        <f t="shared" si="41"/>
        <v>-60</v>
      </c>
      <c r="Y235" s="143">
        <f>Y241+W235*(Y241-Y231)/10</f>
        <v>36</v>
      </c>
      <c r="Z235" s="145">
        <v>0.10991802010185174</v>
      </c>
      <c r="AA235" s="145">
        <v>9.5798043155809517E-2</v>
      </c>
      <c r="AB235" s="146">
        <f>(AA235-AA241)/AA241*100</f>
        <v>20.007273680030853</v>
      </c>
      <c r="AD235" s="142">
        <f t="shared" si="35"/>
        <v>-6</v>
      </c>
      <c r="AE235" s="143">
        <f t="shared" si="42"/>
        <v>-48</v>
      </c>
      <c r="AF235" s="152">
        <f>AF241+AD235*(AF241-AF231)/10</f>
        <v>2.6</v>
      </c>
      <c r="AG235" s="145">
        <v>8.8295208310514392E-2</v>
      </c>
      <c r="AH235" s="145">
        <v>7.6952879685642669E-2</v>
      </c>
      <c r="AI235" s="146">
        <f>(AH235-AH241)/AH241*100</f>
        <v>-3.6002721070052424</v>
      </c>
      <c r="AK235" s="142">
        <f t="shared" si="36"/>
        <v>-6</v>
      </c>
      <c r="AL235" s="143">
        <f t="shared" si="43"/>
        <v>-56.000000000000007</v>
      </c>
      <c r="AM235" s="152">
        <f>AM241+AK235*(AM241-AM231)/10</f>
        <v>6.6</v>
      </c>
      <c r="AN235" s="145">
        <v>9.1794746414993286E-2</v>
      </c>
      <c r="AO235" s="145">
        <v>7.6524389572748347E-2</v>
      </c>
      <c r="AP235" s="146">
        <f>(AO235-AO241)/AO241*100</f>
        <v>-4.1370464350952405</v>
      </c>
      <c r="AR235" s="142">
        <f t="shared" si="37"/>
        <v>-6</v>
      </c>
      <c r="AS235" s="143">
        <f t="shared" si="44"/>
        <v>-46.956521739130437</v>
      </c>
      <c r="AT235" s="153">
        <f>AT241+AR235*(AT241-AT231)/10</f>
        <v>12.2</v>
      </c>
      <c r="AU235" s="145">
        <v>0.13954246999901296</v>
      </c>
      <c r="AV235" s="145">
        <v>0.12161696099189923</v>
      </c>
      <c r="AW235" s="146">
        <f>(AV235-AV241)/AV241*100</f>
        <v>52.350919090808191</v>
      </c>
      <c r="AY235" s="142">
        <f t="shared" si="38"/>
        <v>-6</v>
      </c>
      <c r="AZ235" s="143">
        <f t="shared" si="45"/>
        <v>-31.764705882352938</v>
      </c>
      <c r="BA235" s="152">
        <f>BA241+AY235*(BA241-BA231)/10</f>
        <v>58</v>
      </c>
      <c r="BB235" s="145">
        <v>0.10718831958471547</v>
      </c>
      <c r="BC235" s="145">
        <v>9.3418997684459645E-2</v>
      </c>
      <c r="BD235" s="146">
        <f>(BC235-BC241)/BC241*100</f>
        <v>17.027016969430093</v>
      </c>
    </row>
    <row r="236" spans="1:56">
      <c r="B236" s="142">
        <f t="shared" si="31"/>
        <v>-5</v>
      </c>
      <c r="C236" s="143">
        <f>IF(ISERROR((D236-D241)/D241*100),"error",(D236-D241)/D241*100)</f>
        <v>-50</v>
      </c>
      <c r="D236" s="143">
        <f>D241+B236*(D241-D231)/10</f>
        <v>437500</v>
      </c>
      <c r="E236" s="145">
        <v>7.9369827158113734E-2</v>
      </c>
      <c r="F236" s="145">
        <v>6.9174045532448852E-2</v>
      </c>
      <c r="G236" s="146">
        <f>(F236-F241)/F241*100</f>
        <v>-13.344904130600913</v>
      </c>
      <c r="I236" s="142">
        <f t="shared" si="32"/>
        <v>-5</v>
      </c>
      <c r="J236" s="143">
        <f t="shared" si="39"/>
        <v>-50</v>
      </c>
      <c r="K236" s="150">
        <f>K241+I236*(K241-K231)/10</f>
        <v>11.025</v>
      </c>
      <c r="L236" s="145">
        <v>6.5939293394503301E-2</v>
      </c>
      <c r="M236" s="145">
        <v>5.7468786905158199E-2</v>
      </c>
      <c r="N236" s="146">
        <f>(M236-M241)/M241*100</f>
        <v>-28.008211744266138</v>
      </c>
      <c r="P236" s="142">
        <f t="shared" si="33"/>
        <v>-5</v>
      </c>
      <c r="Q236" s="143">
        <f t="shared" si="40"/>
        <v>-50</v>
      </c>
      <c r="R236" s="151">
        <f>R241+P236*(R241-R231)/10</f>
        <v>5.0000000000000001E-3</v>
      </c>
      <c r="S236" s="145">
        <v>0.10015561616711767</v>
      </c>
      <c r="T236" s="145">
        <v>8.728970946696113E-2</v>
      </c>
      <c r="U236" s="146">
        <f>(T236-T241)/T241*100</f>
        <v>9.348789478031426</v>
      </c>
      <c r="W236" s="142">
        <f t="shared" si="34"/>
        <v>-5</v>
      </c>
      <c r="X236" s="143">
        <f t="shared" si="41"/>
        <v>-50</v>
      </c>
      <c r="Y236" s="143">
        <f>Y241+W236*(Y241-Y231)/10</f>
        <v>45</v>
      </c>
      <c r="Z236" s="145">
        <v>0.10686381646470616</v>
      </c>
      <c r="AA236" s="145">
        <v>9.3136179963888954E-2</v>
      </c>
      <c r="AB236" s="146">
        <f>(AA236-AA241)/AA241*100</f>
        <v>16.672728066692407</v>
      </c>
      <c r="AD236" s="142">
        <f t="shared" si="35"/>
        <v>-5</v>
      </c>
      <c r="AE236" s="143">
        <f t="shared" si="42"/>
        <v>-40</v>
      </c>
      <c r="AF236" s="152">
        <f>AF241+AD236*(AF241-AF231)/10</f>
        <v>3</v>
      </c>
      <c r="AG236" s="145">
        <v>8.8810159950537981E-2</v>
      </c>
      <c r="AH236" s="145">
        <v>7.7401681068604469E-2</v>
      </c>
      <c r="AI236" s="146">
        <f>(AH236-AH241)/AH241*100</f>
        <v>-3.038053625094562</v>
      </c>
      <c r="AK236" s="142">
        <f t="shared" si="36"/>
        <v>-5</v>
      </c>
      <c r="AL236" s="143">
        <f t="shared" si="43"/>
        <v>-46.666666666666664</v>
      </c>
      <c r="AM236" s="152">
        <f>AM241+AK236*(AM241-AM231)/10</f>
        <v>8</v>
      </c>
      <c r="AN236" s="145">
        <v>9.1629787814776736E-2</v>
      </c>
      <c r="AO236" s="145">
        <v>7.7030733915608884E-2</v>
      </c>
      <c r="AP236" s="146">
        <f>(AO236-AO241)/AO241*100</f>
        <v>-3.5027432475951628</v>
      </c>
      <c r="AR236" s="142">
        <f t="shared" si="37"/>
        <v>-5</v>
      </c>
      <c r="AS236" s="143">
        <f t="shared" si="44"/>
        <v>-39.130434782608695</v>
      </c>
      <c r="AT236" s="153">
        <f>AT241+AR236*(AT241-AT231)/10</f>
        <v>14</v>
      </c>
      <c r="AU236" s="145">
        <v>0.12641339321852715</v>
      </c>
      <c r="AV236" s="145">
        <v>0.11017443443576699</v>
      </c>
      <c r="AW236" s="146">
        <f>(AV236-AV241)/AV241*100</f>
        <v>38.016738863563042</v>
      </c>
      <c r="AY236" s="142">
        <f t="shared" si="38"/>
        <v>-5</v>
      </c>
      <c r="AZ236" s="143">
        <f t="shared" si="45"/>
        <v>-26.47058823529412</v>
      </c>
      <c r="BA236" s="152">
        <f>BA241+AY236*(BA241-BA231)/10</f>
        <v>62.5</v>
      </c>
      <c r="BB236" s="145">
        <v>0.10365333475541495</v>
      </c>
      <c r="BC236" s="145">
        <v>9.0338114050286925E-2</v>
      </c>
      <c r="BD236" s="146">
        <f>(BC236-BC241)/BC241*100</f>
        <v>13.167559789692577</v>
      </c>
    </row>
    <row r="237" spans="1:56">
      <c r="B237" s="142">
        <f t="shared" si="31"/>
        <v>-4</v>
      </c>
      <c r="C237" s="143">
        <f>IF(ISERROR((D237-D241)/D241*100),"error",(D237-D241)/D241*100)</f>
        <v>-40</v>
      </c>
      <c r="D237" s="143">
        <f>D241+B237*(D241-D231)/10</f>
        <v>525000</v>
      </c>
      <c r="E237" s="145">
        <v>8.1814421382286534E-2</v>
      </c>
      <c r="F237" s="145">
        <v>7.1304609226816251E-2</v>
      </c>
      <c r="G237" s="146">
        <f>(F237-F241)/F241*100</f>
        <v>-10.675923304480763</v>
      </c>
      <c r="I237" s="142">
        <f t="shared" si="32"/>
        <v>-4</v>
      </c>
      <c r="J237" s="143">
        <f t="shared" si="39"/>
        <v>-40</v>
      </c>
      <c r="K237" s="150">
        <f>K241+I237*(K241-K231)/10</f>
        <v>13.23</v>
      </c>
      <c r="L237" s="145">
        <v>7.1069994371398257E-2</v>
      </c>
      <c r="M237" s="145">
        <v>6.1940402324983761E-2</v>
      </c>
      <c r="N237" s="146">
        <f>(M237-M241)/M241*100</f>
        <v>-22.406569395412905</v>
      </c>
      <c r="P237" s="142">
        <f t="shared" si="33"/>
        <v>-4</v>
      </c>
      <c r="Q237" s="143">
        <f t="shared" si="40"/>
        <v>-40</v>
      </c>
      <c r="R237" s="151">
        <f>R241+P237*(R241-R231)/10</f>
        <v>6.0000000000000001E-3</v>
      </c>
      <c r="S237" s="145">
        <v>9.8443052589489724E-2</v>
      </c>
      <c r="T237" s="145">
        <v>8.5797140374426081E-2</v>
      </c>
      <c r="U237" s="146">
        <f>(T237-T241)/T241*100</f>
        <v>7.4790315824251161</v>
      </c>
      <c r="W237" s="142">
        <f t="shared" si="34"/>
        <v>-4</v>
      </c>
      <c r="X237" s="143">
        <f t="shared" si="41"/>
        <v>-40</v>
      </c>
      <c r="Y237" s="143">
        <f>Y241+W237*(Y241-Y231)/10</f>
        <v>54</v>
      </c>
      <c r="Z237" s="145">
        <v>0.10380961282756052</v>
      </c>
      <c r="AA237" s="145">
        <v>9.0474316771968349E-2</v>
      </c>
      <c r="AB237" s="146">
        <f>(AA237-AA241)/AA241*100</f>
        <v>13.338182453353914</v>
      </c>
      <c r="AD237" s="142">
        <f t="shared" si="35"/>
        <v>-4</v>
      </c>
      <c r="AE237" s="143">
        <f t="shared" si="42"/>
        <v>-32</v>
      </c>
      <c r="AF237" s="152">
        <f>AF241+AD237*(AF241-AF231)/10</f>
        <v>3.4</v>
      </c>
      <c r="AG237" s="145">
        <v>8.9339196526114911E-2</v>
      </c>
      <c r="AH237" s="145">
        <v>7.786275804807663E-2</v>
      </c>
      <c r="AI237" s="146">
        <f>(AH237-AH241)/AH241*100</f>
        <v>-2.4604573669634582</v>
      </c>
      <c r="AK237" s="142">
        <f t="shared" si="36"/>
        <v>-4</v>
      </c>
      <c r="AL237" s="143">
        <f t="shared" si="43"/>
        <v>-37.333333333333329</v>
      </c>
      <c r="AM237" s="152">
        <f>AM241+AK237*(AM241-AM231)/10</f>
        <v>9.4</v>
      </c>
      <c r="AN237" s="145">
        <v>9.1518092872494905E-2</v>
      </c>
      <c r="AO237" s="145">
        <v>7.7556244618764383E-2</v>
      </c>
      <c r="AP237" s="146">
        <f>(AO237-AO241)/AO241*100</f>
        <v>-2.8444301474747777</v>
      </c>
      <c r="AR237" s="142">
        <f t="shared" si="37"/>
        <v>-4</v>
      </c>
      <c r="AS237" s="143">
        <f t="shared" si="44"/>
        <v>-31.304347826086953</v>
      </c>
      <c r="AT237" s="153">
        <f>AT241+AR237*(AT241-AT231)/10</f>
        <v>15.8</v>
      </c>
      <c r="AU237" s="145">
        <v>0.11627575165384828</v>
      </c>
      <c r="AV237" s="145">
        <v>0.10133906582913328</v>
      </c>
      <c r="AW237" s="146">
        <f>(AV237-AV241)/AV241*100</f>
        <v>26.948574384297853</v>
      </c>
      <c r="AY237" s="142">
        <f t="shared" si="38"/>
        <v>-4</v>
      </c>
      <c r="AZ237" s="143">
        <f t="shared" si="45"/>
        <v>-21.176470588235293</v>
      </c>
      <c r="BA237" s="152">
        <f>BA241+AY237*(BA241-BA231)/10</f>
        <v>67</v>
      </c>
      <c r="BB237" s="145">
        <v>0.10059319863452799</v>
      </c>
      <c r="BC237" s="145">
        <v>8.767108045652551E-2</v>
      </c>
      <c r="BD237" s="146">
        <f>(BC237-BC241)/BC241*100</f>
        <v>9.826537156487019</v>
      </c>
    </row>
    <row r="238" spans="1:56">
      <c r="B238" s="142">
        <f t="shared" si="31"/>
        <v>-3</v>
      </c>
      <c r="C238" s="143">
        <f>IF(ISERROR((D238-D241)/D241*100),"error",(D238-D241)/D241*100)</f>
        <v>-30</v>
      </c>
      <c r="D238" s="143">
        <f>D241+B238*(D241-D231)/10</f>
        <v>612500</v>
      </c>
      <c r="E238" s="145">
        <v>8.4259015606459445E-2</v>
      </c>
      <c r="F238" s="145">
        <v>7.343517292118372E-2</v>
      </c>
      <c r="G238" s="146">
        <f>(F238-F241)/F241*100</f>
        <v>-8.0069424783605303</v>
      </c>
      <c r="I238" s="142">
        <f t="shared" si="32"/>
        <v>-3</v>
      </c>
      <c r="J238" s="143">
        <f t="shared" si="39"/>
        <v>-30</v>
      </c>
      <c r="K238" s="150">
        <f>K241+I238*(K241-K231)/10</f>
        <v>15.435</v>
      </c>
      <c r="L238" s="145">
        <v>7.6200695348293199E-2</v>
      </c>
      <c r="M238" s="145">
        <v>6.6412017744809315E-2</v>
      </c>
      <c r="N238" s="146">
        <f>(M238-M241)/M241*100</f>
        <v>-16.80492704655968</v>
      </c>
      <c r="P238" s="142">
        <f t="shared" si="33"/>
        <v>-3</v>
      </c>
      <c r="Q238" s="143">
        <f t="shared" si="40"/>
        <v>-30</v>
      </c>
      <c r="R238" s="151">
        <f>R241+P238*(R241-R231)/10</f>
        <v>7.0000000000000001E-3</v>
      </c>
      <c r="S238" s="145">
        <v>9.6730489011861792E-2</v>
      </c>
      <c r="T238" s="145">
        <v>8.4304571281891061E-2</v>
      </c>
      <c r="U238" s="146">
        <f>(T238-T241)/T241*100</f>
        <v>5.6092736868188418</v>
      </c>
      <c r="W238" s="142">
        <f t="shared" si="34"/>
        <v>-3</v>
      </c>
      <c r="X238" s="143">
        <f t="shared" si="41"/>
        <v>-30</v>
      </c>
      <c r="Y238" s="143">
        <f>Y241+W238*(Y241-Y231)/10</f>
        <v>63</v>
      </c>
      <c r="Z238" s="145">
        <v>0.1007554091904149</v>
      </c>
      <c r="AA238" s="145">
        <v>8.7812453580047758E-2</v>
      </c>
      <c r="AB238" s="146">
        <f>(AA238-AA241)/AA241*100</f>
        <v>10.003636840015433</v>
      </c>
      <c r="AD238" s="142">
        <f t="shared" si="35"/>
        <v>-3</v>
      </c>
      <c r="AE238" s="143">
        <f t="shared" si="42"/>
        <v>-24.000000000000004</v>
      </c>
      <c r="AF238" s="152">
        <f>AF241+AD238*(AF241-AF231)/10</f>
        <v>3.8</v>
      </c>
      <c r="AG238" s="145">
        <v>8.9882158434300446E-2</v>
      </c>
      <c r="AH238" s="145">
        <v>7.8335971523575187E-2</v>
      </c>
      <c r="AI238" s="146">
        <f>(AH238-AH241)/AH241*100</f>
        <v>-1.8676575853346193</v>
      </c>
      <c r="AK238" s="142">
        <f t="shared" si="36"/>
        <v>-3</v>
      </c>
      <c r="AL238" s="143">
        <f t="shared" si="43"/>
        <v>-27.999999999999996</v>
      </c>
      <c r="AM238" s="152">
        <f>AM241+AK238*(AM241-AM231)/10</f>
        <v>10.8</v>
      </c>
      <c r="AN238" s="145">
        <v>9.1459689989612167E-2</v>
      </c>
      <c r="AO238" s="145">
        <v>7.8099855316182812E-2</v>
      </c>
      <c r="AP238" s="146">
        <f>(AO238-AO241)/AO241*100</f>
        <v>-2.163442983317557</v>
      </c>
      <c r="AR238" s="142">
        <f t="shared" si="37"/>
        <v>-3</v>
      </c>
      <c r="AS238" s="143">
        <f t="shared" si="44"/>
        <v>-23.478260869565212</v>
      </c>
      <c r="AT238" s="153">
        <f>AT241+AR238*(AT241-AT231)/10</f>
        <v>17.600000000000001</v>
      </c>
      <c r="AU238" s="145">
        <v>0.10821171859103554</v>
      </c>
      <c r="AV238" s="145">
        <v>9.4310931710220092E-2</v>
      </c>
      <c r="AW238" s="146">
        <f>(AV238-AV241)/AV241*100</f>
        <v>18.144352639427801</v>
      </c>
      <c r="AY238" s="142">
        <f t="shared" si="38"/>
        <v>-3</v>
      </c>
      <c r="AZ238" s="143">
        <f t="shared" si="45"/>
        <v>-15.882352941176469</v>
      </c>
      <c r="BA238" s="152">
        <f>BA241+AY238*(BA241-BA231)/10</f>
        <v>71.5</v>
      </c>
      <c r="BB238" s="145">
        <v>9.7918254472913482E-2</v>
      </c>
      <c r="BC238" s="145">
        <v>8.5339757385055698E-2</v>
      </c>
      <c r="BD238" s="146">
        <f>(BC238-BC241)/BC241*100</f>
        <v>6.9060628267618274</v>
      </c>
    </row>
    <row r="239" spans="1:56">
      <c r="B239" s="142">
        <f>B240-1</f>
        <v>-2</v>
      </c>
      <c r="C239" s="143">
        <f>IF(ISERROR((D239-D241)/D241*100),"error",(D239-D241)/D241*100)</f>
        <v>-20</v>
      </c>
      <c r="D239" s="143">
        <f>D241+B239*(D241-D231)/10</f>
        <v>700000</v>
      </c>
      <c r="E239" s="145">
        <v>8.6703609830632286E-2</v>
      </c>
      <c r="F239" s="145">
        <v>7.5565736615551118E-2</v>
      </c>
      <c r="G239" s="146">
        <f>(F239-F241)/F241*100</f>
        <v>-5.3379616522403817</v>
      </c>
      <c r="I239" s="142">
        <f>I240-1</f>
        <v>-2</v>
      </c>
      <c r="J239" s="143">
        <f t="shared" si="39"/>
        <v>-20</v>
      </c>
      <c r="K239" s="150">
        <f>K241+I239*(K241-K231)/10</f>
        <v>17.64</v>
      </c>
      <c r="L239" s="145">
        <v>8.1331396325188141E-2</v>
      </c>
      <c r="M239" s="145">
        <v>7.0883633164634877E-2</v>
      </c>
      <c r="N239" s="146">
        <f>(M239-M241)/M241*100</f>
        <v>-11.203284697706449</v>
      </c>
      <c r="P239" s="142">
        <f>P240-1</f>
        <v>-2</v>
      </c>
      <c r="Q239" s="143">
        <f t="shared" si="40"/>
        <v>-20</v>
      </c>
      <c r="R239" s="151">
        <f>R241+P239*(R241-R231)/10</f>
        <v>8.0000000000000002E-3</v>
      </c>
      <c r="S239" s="145">
        <v>9.5017925434233833E-2</v>
      </c>
      <c r="T239" s="145">
        <v>8.2812002189356013E-2</v>
      </c>
      <c r="U239" s="146">
        <f>(T239-T241)/T241*100</f>
        <v>3.7395157912125319</v>
      </c>
      <c r="W239" s="142">
        <f>W240-1</f>
        <v>-2</v>
      </c>
      <c r="X239" s="143">
        <f t="shared" si="41"/>
        <v>-20</v>
      </c>
      <c r="Y239" s="143">
        <f>Y241+W239*(Y241-Y231)/10</f>
        <v>72</v>
      </c>
      <c r="Z239" s="145">
        <v>9.7701205553269277E-2</v>
      </c>
      <c r="AA239" s="145">
        <v>8.5150590388127181E-2</v>
      </c>
      <c r="AB239" s="146">
        <f>(AA239-AA241)/AA241*100</f>
        <v>6.669091226676974</v>
      </c>
      <c r="AD239" s="142">
        <f>AD240-1</f>
        <v>-2</v>
      </c>
      <c r="AE239" s="143">
        <f t="shared" si="42"/>
        <v>-15.999999999999998</v>
      </c>
      <c r="AF239" s="152">
        <f>AF241+AD239*(AF241-AF231)/10</f>
        <v>4.2</v>
      </c>
      <c r="AG239" s="145">
        <v>9.0438872262666586E-2</v>
      </c>
      <c r="AH239" s="145">
        <v>7.8821170359087658E-2</v>
      </c>
      <c r="AI239" s="146">
        <f>(AH239-AH241)/AH241*100</f>
        <v>-1.2598436099711128</v>
      </c>
      <c r="AK239" s="142">
        <f>AK240-1</f>
        <v>-2</v>
      </c>
      <c r="AL239" s="143">
        <f t="shared" si="43"/>
        <v>-18.666666666666671</v>
      </c>
      <c r="AM239" s="152">
        <f>AM241+AK239*(AM241-AM231)/10</f>
        <v>12.2</v>
      </c>
      <c r="AN239" s="145">
        <v>9.1453764768906209E-2</v>
      </c>
      <c r="AO239" s="145">
        <v>7.8660363253007501E-2</v>
      </c>
      <c r="AP239" s="146">
        <f>(AO239-AO241)/AO241*100</f>
        <v>-1.461288459503876</v>
      </c>
      <c r="AR239" s="142">
        <f>AR240-1</f>
        <v>-2</v>
      </c>
      <c r="AS239" s="143">
        <f t="shared" si="44"/>
        <v>-15.652173913043486</v>
      </c>
      <c r="AT239" s="153">
        <f>AT241+AR239*(AT241-AT231)/10</f>
        <v>19.399999999999999</v>
      </c>
      <c r="AU239" s="145">
        <v>0.10164410403472419</v>
      </c>
      <c r="AV239" s="145">
        <v>8.858698742780631E-2</v>
      </c>
      <c r="AW239" s="146">
        <f>(AV239-AV241)/AV241*100</f>
        <v>10.973904001853292</v>
      </c>
      <c r="AY239" s="142">
        <f>AY240-1</f>
        <v>-2</v>
      </c>
      <c r="AZ239" s="143">
        <f t="shared" si="45"/>
        <v>-10.588235294117647</v>
      </c>
      <c r="BA239" s="152">
        <f>BA241+AY239*(BA241-BA231)/10</f>
        <v>76</v>
      </c>
      <c r="BB239" s="145">
        <v>9.5560080014648094E-2</v>
      </c>
      <c r="BC239" s="145">
        <v>8.3284512045733672E-2</v>
      </c>
      <c r="BD239" s="146">
        <f>(BC239-BC241)/BC241*100</f>
        <v>4.3314341413462536</v>
      </c>
    </row>
    <row r="240" spans="1:56">
      <c r="B240" s="142">
        <v>-1</v>
      </c>
      <c r="C240" s="143">
        <f>IF(ISERROR((D240-D241)/D241*100),"error",(D240-D241)/D241*100)</f>
        <v>-10</v>
      </c>
      <c r="D240" s="143">
        <f>D241+B240*(D241-D231)/10</f>
        <v>787500</v>
      </c>
      <c r="E240" s="145">
        <v>8.9148204054805169E-2</v>
      </c>
      <c r="F240" s="145">
        <v>7.7696300309918559E-2</v>
      </c>
      <c r="G240" s="146">
        <f>(F240-F241)/F241*100</f>
        <v>-2.6689808261201824</v>
      </c>
      <c r="I240" s="142">
        <v>-1</v>
      </c>
      <c r="J240" s="143">
        <f t="shared" si="39"/>
        <v>-10.000000000000007</v>
      </c>
      <c r="K240" s="150">
        <f>K241+I240*(K241-K231)/10</f>
        <v>19.844999999999999</v>
      </c>
      <c r="L240" s="145">
        <v>8.6462097302083082E-2</v>
      </c>
      <c r="M240" s="145">
        <v>7.5355248584460424E-2</v>
      </c>
      <c r="N240" s="146">
        <f>(M240-M241)/M241*100</f>
        <v>-5.6016423488532325</v>
      </c>
      <c r="P240" s="142">
        <v>-1</v>
      </c>
      <c r="Q240" s="143">
        <f t="shared" si="40"/>
        <v>-9.9999999999999911</v>
      </c>
      <c r="R240" s="151">
        <f>R241+P240*(R241-R231)/10</f>
        <v>9.0000000000000011E-3</v>
      </c>
      <c r="S240" s="145">
        <v>9.3305361856605956E-2</v>
      </c>
      <c r="T240" s="145">
        <v>8.131943309682102E-2</v>
      </c>
      <c r="U240" s="146">
        <f>(T240-T241)/T241*100</f>
        <v>1.8697578956062924</v>
      </c>
      <c r="W240" s="142">
        <v>-1</v>
      </c>
      <c r="X240" s="143">
        <f t="shared" si="41"/>
        <v>-10</v>
      </c>
      <c r="Y240" s="143">
        <f>Y241+W240*(Y241-Y231)/10</f>
        <v>81</v>
      </c>
      <c r="Z240" s="145">
        <v>9.4647001916123658E-2</v>
      </c>
      <c r="AA240" s="145">
        <v>8.248872719620659E-2</v>
      </c>
      <c r="AB240" s="146">
        <f>(AA240-AA241)/AA241*100</f>
        <v>3.3345456133384959</v>
      </c>
      <c r="AD240" s="142">
        <v>-1</v>
      </c>
      <c r="AE240" s="143">
        <f t="shared" si="42"/>
        <v>-8.0000000000000071</v>
      </c>
      <c r="AF240" s="152">
        <f>AF241+AD240*(AF241-AF231)/10</f>
        <v>4.5999999999999996</v>
      </c>
      <c r="AG240" s="145">
        <v>9.1009151668350718E-2</v>
      </c>
      <c r="AH240" s="145">
        <v>7.9318192149199745E-2</v>
      </c>
      <c r="AI240" s="146">
        <f>(AH240-AH241)/AH241*100</f>
        <v>-0.63721888794094306</v>
      </c>
      <c r="AK240" s="142">
        <v>-1</v>
      </c>
      <c r="AL240" s="143">
        <f t="shared" si="43"/>
        <v>-9.3333333333333357</v>
      </c>
      <c r="AM240" s="152">
        <f>AM241+AK240*(AM241-AM231)/10</f>
        <v>13.6</v>
      </c>
      <c r="AN240" s="145">
        <v>9.1498813893170647E-2</v>
      </c>
      <c r="AO240" s="145">
        <v>7.923647772007654E-2</v>
      </c>
      <c r="AP240" s="146">
        <f>(AO240-AO241)/AO241*100</f>
        <v>-0.73958346175010392</v>
      </c>
      <c r="AR240" s="142">
        <v>-1</v>
      </c>
      <c r="AS240" s="143">
        <f t="shared" si="44"/>
        <v>-7.8260869565217428</v>
      </c>
      <c r="AT240" s="153">
        <f>AT241+AR240*(AT241-AT231)/10</f>
        <v>21.2</v>
      </c>
      <c r="AU240" s="145">
        <v>9.6191744780427899E-2</v>
      </c>
      <c r="AV240" s="145">
        <v>8.3835033683915539E-2</v>
      </c>
      <c r="AW240" s="146">
        <f>(AV240-AV241)/AV241*100</f>
        <v>5.021078717829063</v>
      </c>
      <c r="AY240" s="142">
        <v>-1</v>
      </c>
      <c r="AZ240" s="143">
        <f t="shared" si="45"/>
        <v>-5.2941176470588234</v>
      </c>
      <c r="BA240" s="152">
        <f>BA241+AY240*(BA241-BA231)/10</f>
        <v>80.5</v>
      </c>
      <c r="BB240" s="145">
        <v>9.3465552390226012E-2</v>
      </c>
      <c r="BC240" s="145">
        <v>8.145904568844764E-2</v>
      </c>
      <c r="BD240" s="146">
        <f>(BC240-BC241)/BC241*100</f>
        <v>2.0446521412566336</v>
      </c>
    </row>
    <row r="241" spans="2:56">
      <c r="B241" s="142" t="s">
        <v>251</v>
      </c>
      <c r="C241" s="143">
        <f>IF(ISERROR((D241-D241)/D241*100),"error",(D241-D241)/D241*100)</f>
        <v>0</v>
      </c>
      <c r="D241" s="144">
        <v>875000</v>
      </c>
      <c r="E241" s="145">
        <v>9.1592798278978024E-2</v>
      </c>
      <c r="F241" s="145">
        <v>7.9826864004285986E-2</v>
      </c>
      <c r="G241" s="146">
        <f>(F241-F241)/F241*100</f>
        <v>0</v>
      </c>
      <c r="I241" s="142" t="s">
        <v>251</v>
      </c>
      <c r="J241" s="143">
        <f t="shared" si="39"/>
        <v>0</v>
      </c>
      <c r="K241" s="147">
        <v>22.05</v>
      </c>
      <c r="L241" s="145">
        <v>9.1592798278978024E-2</v>
      </c>
      <c r="M241" s="145">
        <v>7.9826864004285986E-2</v>
      </c>
      <c r="N241" s="146">
        <f>(M241-M241)/M241*100</f>
        <v>0</v>
      </c>
      <c r="P241" s="142" t="s">
        <v>251</v>
      </c>
      <c r="Q241" s="143">
        <f t="shared" si="40"/>
        <v>0</v>
      </c>
      <c r="R241" s="148">
        <v>0.01</v>
      </c>
      <c r="S241" s="145">
        <v>9.1592798278978024E-2</v>
      </c>
      <c r="T241" s="145">
        <v>7.9826864004285986E-2</v>
      </c>
      <c r="U241" s="146">
        <f>(T241-T241)/T241*100</f>
        <v>0</v>
      </c>
      <c r="W241" s="142" t="s">
        <v>251</v>
      </c>
      <c r="X241" s="143">
        <f t="shared" si="41"/>
        <v>0</v>
      </c>
      <c r="Y241" s="144">
        <v>90</v>
      </c>
      <c r="Z241" s="145">
        <v>9.1592798278978024E-2</v>
      </c>
      <c r="AA241" s="145">
        <v>7.9826864004285986E-2</v>
      </c>
      <c r="AB241" s="146">
        <f>(AA241-AA241)/AA241*100</f>
        <v>0</v>
      </c>
      <c r="AD241" s="142" t="s">
        <v>251</v>
      </c>
      <c r="AE241" s="143">
        <f t="shared" si="42"/>
        <v>0</v>
      </c>
      <c r="AF241" s="149">
        <v>5</v>
      </c>
      <c r="AG241" s="145">
        <v>9.1592798278978024E-2</v>
      </c>
      <c r="AH241" s="145">
        <v>7.9826864004285986E-2</v>
      </c>
      <c r="AI241" s="146">
        <f>(AH241-AH241)/AH241*100</f>
        <v>0</v>
      </c>
      <c r="AK241" s="142" t="s">
        <v>251</v>
      </c>
      <c r="AL241" s="143">
        <f t="shared" si="43"/>
        <v>0</v>
      </c>
      <c r="AM241" s="149">
        <v>15</v>
      </c>
      <c r="AN241" s="145">
        <v>9.1592798278978024E-2</v>
      </c>
      <c r="AO241" s="145">
        <v>7.9826864004285986E-2</v>
      </c>
      <c r="AP241" s="146">
        <f>(AO241-AO241)/AO241*100</f>
        <v>0</v>
      </c>
      <c r="AR241" s="142" t="s">
        <v>251</v>
      </c>
      <c r="AS241" s="143">
        <f t="shared" si="44"/>
        <v>0</v>
      </c>
      <c r="AT241" s="149">
        <v>23</v>
      </c>
      <c r="AU241" s="145">
        <v>9.1592798278978024E-2</v>
      </c>
      <c r="AV241" s="145">
        <v>7.9826864004285986E-2</v>
      </c>
      <c r="AW241" s="146">
        <f>(AV241-AV241)/AV241*100</f>
        <v>0</v>
      </c>
      <c r="AY241" s="142" t="s">
        <v>251</v>
      </c>
      <c r="AZ241" s="143">
        <f t="shared" si="45"/>
        <v>0</v>
      </c>
      <c r="BA241" s="149">
        <v>85</v>
      </c>
      <c r="BB241" s="145">
        <v>9.1592798278978024E-2</v>
      </c>
      <c r="BC241" s="145">
        <v>7.9826864004285986E-2</v>
      </c>
      <c r="BD241" s="146">
        <f>(BC241-BC241)/BC241*100</f>
        <v>0</v>
      </c>
    </row>
    <row r="242" spans="2:56">
      <c r="B242" s="142">
        <v>1</v>
      </c>
      <c r="C242" s="143">
        <f>IF(ISERROR((D242-D241)/D241*100),"error",(D242-D241)/D241*100)</f>
        <v>12.857142857142856</v>
      </c>
      <c r="D242" s="143">
        <f>D241+B242*(D251-D241)/10</f>
        <v>987500</v>
      </c>
      <c r="E242" s="145">
        <v>9.4735847995771685E-2</v>
      </c>
      <c r="F242" s="145">
        <v>8.2566160182758377E-2</v>
      </c>
      <c r="G242" s="146">
        <f>(F242-F241)/F241*100</f>
        <v>3.431546776440217</v>
      </c>
      <c r="I242" s="142">
        <v>1</v>
      </c>
      <c r="J242" s="143">
        <f t="shared" si="39"/>
        <v>35.351473922902485</v>
      </c>
      <c r="K242" s="150">
        <f>K241+I242*(K251-K241)/10</f>
        <v>29.844999999999999</v>
      </c>
      <c r="L242" s="145">
        <v>0.10973058245806923</v>
      </c>
      <c r="M242" s="145">
        <v>9.5634683595007181E-2</v>
      </c>
      <c r="N242" s="146">
        <f>(M242-M241)/M241*100</f>
        <v>19.802631342091125</v>
      </c>
      <c r="P242" s="142">
        <v>1</v>
      </c>
      <c r="Q242" s="143">
        <f t="shared" si="40"/>
        <v>40</v>
      </c>
      <c r="R242" s="151">
        <f>R241+P242*(R251-R241)/10</f>
        <v>1.4E-2</v>
      </c>
      <c r="S242" s="145">
        <v>8.4742543968466325E-2</v>
      </c>
      <c r="T242" s="145">
        <v>7.385658763414589E-2</v>
      </c>
      <c r="U242" s="146">
        <f>(T242-T241)/T241*100</f>
        <v>-7.4790315824251161</v>
      </c>
      <c r="W242" s="142">
        <v>1</v>
      </c>
      <c r="X242" s="143">
        <f t="shared" si="41"/>
        <v>1.1111111111111112</v>
      </c>
      <c r="Y242" s="143">
        <f>Y241+W242*(Y251-Y241)/10</f>
        <v>91</v>
      </c>
      <c r="Z242" s="145">
        <v>9.1253442319295178E-2</v>
      </c>
      <c r="AA242" s="145">
        <v>7.9531101427405923E-2</v>
      </c>
      <c r="AB242" s="146">
        <f>(AA242-AA241)/AA241*100</f>
        <v>-0.37050506814871592</v>
      </c>
      <c r="AD242" s="142">
        <v>1</v>
      </c>
      <c r="AE242" s="143">
        <f t="shared" si="42"/>
        <v>20</v>
      </c>
      <c r="AF242" s="152">
        <f>AF241+AD242*(AF251-AF241)/10</f>
        <v>6</v>
      </c>
      <c r="AG242" s="145">
        <v>9.3108996733859792E-2</v>
      </c>
      <c r="AH242" s="145">
        <v>8.1148292873537323E-2</v>
      </c>
      <c r="AI242" s="146">
        <f>(AH242-AH241)/AH241*100</f>
        <v>1.6553686352759494</v>
      </c>
      <c r="AK242" s="142">
        <v>1</v>
      </c>
      <c r="AL242" s="143">
        <f t="shared" si="43"/>
        <v>23.333333333333332</v>
      </c>
      <c r="AM242" s="152">
        <f>AM241+AK242*(AM251-AM241)/10</f>
        <v>18.5</v>
      </c>
      <c r="AN242" s="145">
        <v>9.2025277400621094E-2</v>
      </c>
      <c r="AO242" s="145">
        <v>8.1356536440790994E-2</v>
      </c>
      <c r="AP242" s="146">
        <f>(AO242-AO241)/AO241*100</f>
        <v>1.9162376670877099</v>
      </c>
      <c r="AR242" s="142">
        <v>1</v>
      </c>
      <c r="AS242" s="143">
        <f t="shared" si="44"/>
        <v>11.739130434782606</v>
      </c>
      <c r="AT242" s="153">
        <f>AT241+AR242*(AT251-AT241)/10</f>
        <v>25.7</v>
      </c>
      <c r="AU242" s="145">
        <v>8.5902273035938878E-2</v>
      </c>
      <c r="AV242" s="145">
        <v>7.4867338875405837E-2</v>
      </c>
      <c r="AW242" s="146">
        <f>(AV242-AV241)/AV241*100</f>
        <v>-6.2128522656406329</v>
      </c>
      <c r="AY242" s="142">
        <v>1</v>
      </c>
      <c r="AZ242" s="143">
        <f t="shared" si="45"/>
        <v>1.7647058823529411</v>
      </c>
      <c r="BA242" s="152">
        <f>BA241+AY242*(BA251-BA241)/10</f>
        <v>86.5</v>
      </c>
      <c r="BB242" s="145">
        <v>9.1011847581654468E-2</v>
      </c>
      <c r="BC242" s="145">
        <v>7.9320541747734868E-2</v>
      </c>
      <c r="BD242" s="146">
        <f>(BC242-BC241)/BC241*100</f>
        <v>-0.63427551973472518</v>
      </c>
    </row>
    <row r="243" spans="2:56">
      <c r="B243" s="142">
        <f>B242+1</f>
        <v>2</v>
      </c>
      <c r="C243" s="143">
        <f>IF(ISERROR((D243-D241)/D241*100),"error",(D243-D241)/D241*100)</f>
        <v>25.714285714285712</v>
      </c>
      <c r="D243" s="143">
        <f>D241+B243*(D251-D241)/10</f>
        <v>1100000</v>
      </c>
      <c r="E243" s="145">
        <v>9.7878897712565402E-2</v>
      </c>
      <c r="F243" s="145">
        <v>8.5305456361230825E-2</v>
      </c>
      <c r="G243" s="146">
        <f>(F243-F241)/F241*100</f>
        <v>6.8630935528805042</v>
      </c>
      <c r="I243" s="142">
        <f>I242+1</f>
        <v>2</v>
      </c>
      <c r="J243" s="143">
        <f t="shared" si="39"/>
        <v>70.702947845804985</v>
      </c>
      <c r="K243" s="150">
        <f>K241+I243*(K251-K241)/10</f>
        <v>37.64</v>
      </c>
      <c r="L243" s="145">
        <v>0.12786836663716036</v>
      </c>
      <c r="M243" s="145">
        <v>0.11144250318572832</v>
      </c>
      <c r="N243" s="146">
        <f>(M243-M241)/M241*100</f>
        <v>39.605262684182179</v>
      </c>
      <c r="P243" s="142">
        <f>P242+1</f>
        <v>2</v>
      </c>
      <c r="Q243" s="143">
        <f t="shared" si="40"/>
        <v>80.000000000000014</v>
      </c>
      <c r="R243" s="151">
        <f>R241+P243*(R251-R241)/10</f>
        <v>1.8000000000000002E-2</v>
      </c>
      <c r="S243" s="145">
        <v>7.7892289657954611E-2</v>
      </c>
      <c r="T243" s="145">
        <v>6.788631126400578E-2</v>
      </c>
      <c r="U243" s="146">
        <f>(T243-T241)/T241*100</f>
        <v>-14.95806316485025</v>
      </c>
      <c r="W243" s="142">
        <f>W242+1</f>
        <v>2</v>
      </c>
      <c r="X243" s="143">
        <f t="shared" si="41"/>
        <v>2.2222222222222223</v>
      </c>
      <c r="Y243" s="143">
        <f>Y241+W243*(Y251-Y241)/10</f>
        <v>92</v>
      </c>
      <c r="Z243" s="145">
        <v>9.0914086359612331E-2</v>
      </c>
      <c r="AA243" s="145">
        <v>7.9235338850525847E-2</v>
      </c>
      <c r="AB243" s="146">
        <f>(AA243-AA241)/AA241*100</f>
        <v>-0.74101013629744916</v>
      </c>
      <c r="AD243" s="142">
        <f>AD242+1</f>
        <v>2</v>
      </c>
      <c r="AE243" s="143">
        <f t="shared" si="42"/>
        <v>40</v>
      </c>
      <c r="AF243" s="152">
        <f>AF241+AD243*(AF251-AF241)/10</f>
        <v>7</v>
      </c>
      <c r="AG243" s="145">
        <v>9.4703870292522849E-2</v>
      </c>
      <c r="AH243" s="145">
        <v>8.2538290308528342E-2</v>
      </c>
      <c r="AI243" s="146">
        <f>(AH243-AH241)/AH241*100</f>
        <v>3.396633875153579</v>
      </c>
      <c r="AK243" s="142">
        <f>AK242+1</f>
        <v>2</v>
      </c>
      <c r="AL243" s="143">
        <f t="shared" si="43"/>
        <v>46.666666666666664</v>
      </c>
      <c r="AM243" s="152">
        <f>AM241+AK243*(AM251-AM241)/10</f>
        <v>22</v>
      </c>
      <c r="AN243" s="145">
        <v>9.270464382279979E-2</v>
      </c>
      <c r="AO243" s="145">
        <v>8.2947267516450152E-2</v>
      </c>
      <c r="AP243" s="146">
        <f>(AO243-AO241)/AO241*100</f>
        <v>3.9089641702530473</v>
      </c>
      <c r="AR243" s="142">
        <f>AR242+1</f>
        <v>2</v>
      </c>
      <c r="AS243" s="143">
        <f t="shared" si="44"/>
        <v>23.478260869565212</v>
      </c>
      <c r="AT243" s="153">
        <f>AT241+AR243*(AT251-AT241)/10</f>
        <v>28.4</v>
      </c>
      <c r="AU243" s="145">
        <v>8.1293749071505758E-2</v>
      </c>
      <c r="AV243" s="145">
        <v>7.0850822045678941E-2</v>
      </c>
      <c r="AW243" s="146">
        <f>(AV243-AV241)/AV241*100</f>
        <v>-11.244387551194686</v>
      </c>
      <c r="AY243" s="142">
        <f>AY242+1</f>
        <v>2</v>
      </c>
      <c r="AZ243" s="143">
        <f t="shared" si="45"/>
        <v>3.5294117647058822</v>
      </c>
      <c r="BA243" s="152">
        <f>BA241+AY243*(BA251-BA241)/10</f>
        <v>88</v>
      </c>
      <c r="BB243" s="145">
        <v>9.0450702021739687E-2</v>
      </c>
      <c r="BC243" s="145">
        <v>7.8831480477202565E-2</v>
      </c>
      <c r="BD243" s="146">
        <f>(BC243-BC241)/BC241*100</f>
        <v>-1.2469280103875531</v>
      </c>
    </row>
    <row r="244" spans="2:56">
      <c r="B244" s="142">
        <f t="shared" ref="B244:B251" si="46">B243+1</f>
        <v>3</v>
      </c>
      <c r="C244" s="143">
        <f>IF(ISERROR((D244-D241)/D241*100),"error",(D244-D241)/D241*100)</f>
        <v>38.571428571428577</v>
      </c>
      <c r="D244" s="143">
        <f>D241+B244*(D251-D241)/10</f>
        <v>1212500</v>
      </c>
      <c r="E244" s="145">
        <v>0.10102194742935906</v>
      </c>
      <c r="F244" s="145">
        <v>8.8044752539703203E-2</v>
      </c>
      <c r="G244" s="146">
        <f>(F244-F241)/F241*100</f>
        <v>10.294640329320703</v>
      </c>
      <c r="I244" s="142">
        <f t="shared" ref="I244:I251" si="47">I243+1</f>
        <v>3</v>
      </c>
      <c r="J244" s="143">
        <f t="shared" si="39"/>
        <v>106.0544217687075</v>
      </c>
      <c r="K244" s="150">
        <f>K241+I244*(K251-K241)/10</f>
        <v>45.435000000000002</v>
      </c>
      <c r="L244" s="145">
        <v>0.14600615081625157</v>
      </c>
      <c r="M244" s="145">
        <v>0.12725032277644954</v>
      </c>
      <c r="N244" s="146">
        <f>(M244-M241)/M241*100</f>
        <v>59.407894026273347</v>
      </c>
      <c r="P244" s="142">
        <f t="shared" ref="P244:P251" si="48">P243+1</f>
        <v>3</v>
      </c>
      <c r="Q244" s="143">
        <f t="shared" si="40"/>
        <v>119.99999999999997</v>
      </c>
      <c r="R244" s="151">
        <f>R241+P244*(R251-R241)/10</f>
        <v>2.1999999999999999E-2</v>
      </c>
      <c r="S244" s="145">
        <v>7.1042035347442897E-2</v>
      </c>
      <c r="T244" s="145">
        <v>6.1916034893865671E-2</v>
      </c>
      <c r="U244" s="146">
        <f>(T244-T241)/T241*100</f>
        <v>-22.437094747275381</v>
      </c>
      <c r="W244" s="142">
        <f t="shared" ref="W244:W251" si="49">W243+1</f>
        <v>3</v>
      </c>
      <c r="X244" s="143">
        <f t="shared" si="41"/>
        <v>3.3333333333333335</v>
      </c>
      <c r="Y244" s="143">
        <f>Y241+W244*(Y251-Y241)/10</f>
        <v>93</v>
      </c>
      <c r="Z244" s="145">
        <v>9.0574730399929484E-2</v>
      </c>
      <c r="AA244" s="145">
        <v>7.8939576273645784E-2</v>
      </c>
      <c r="AB244" s="146">
        <f>(AA244-AA241)/AA241*100</f>
        <v>-1.1115152044461651</v>
      </c>
      <c r="AD244" s="142">
        <f t="shared" ref="AD244:AD251" si="50">AD243+1</f>
        <v>3</v>
      </c>
      <c r="AE244" s="143">
        <f t="shared" si="42"/>
        <v>60</v>
      </c>
      <c r="AF244" s="152">
        <f>AF241+AD244*(AF251-AF241)/10</f>
        <v>8</v>
      </c>
      <c r="AG244" s="145">
        <v>9.6373578206010696E-2</v>
      </c>
      <c r="AH244" s="145">
        <v>8.39935089397017E-2</v>
      </c>
      <c r="AI244" s="146">
        <f>(AH244-AH241)/AH241*100</f>
        <v>5.2196024325745816</v>
      </c>
      <c r="AK244" s="142">
        <f t="shared" ref="AK244:AK251" si="51">AK243+1</f>
        <v>3</v>
      </c>
      <c r="AL244" s="143">
        <f t="shared" si="43"/>
        <v>70</v>
      </c>
      <c r="AM244" s="152">
        <f>AM241+AK244*(AM251-AM241)/10</f>
        <v>25.5</v>
      </c>
      <c r="AN244" s="145">
        <v>9.3586385090907803E-2</v>
      </c>
      <c r="AO244" s="145">
        <v>8.4581884421099263E-2</v>
      </c>
      <c r="AP244" s="146">
        <f>(AO244-AO241)/AO241*100</f>
        <v>5.9566669392874747</v>
      </c>
      <c r="AR244" s="142">
        <f t="shared" ref="AR244:AR251" si="52">AR243+1</f>
        <v>3</v>
      </c>
      <c r="AS244" s="143">
        <f t="shared" si="44"/>
        <v>35.217391304347835</v>
      </c>
      <c r="AT244" s="153">
        <f>AT241+AR244*(AT251-AT241)/10</f>
        <v>31.1</v>
      </c>
      <c r="AU244" s="145">
        <v>7.7485418978710502E-2</v>
      </c>
      <c r="AV244" s="145">
        <v>6.7531706851981774E-2</v>
      </c>
      <c r="AW244" s="146">
        <f>(AV244-AV241)/AV241*100</f>
        <v>-15.402280054048061</v>
      </c>
      <c r="AY244" s="142">
        <f t="shared" ref="AY244:AY251" si="53">AY243+1</f>
        <v>3</v>
      </c>
      <c r="AZ244" s="143">
        <f t="shared" si="45"/>
        <v>5.2941176470588234</v>
      </c>
      <c r="BA244" s="152">
        <f>BA241+AY244*(BA251-BA241)/10</f>
        <v>89.5</v>
      </c>
      <c r="BB244" s="145">
        <v>8.990836581020191E-2</v>
      </c>
      <c r="BC244" s="145">
        <v>7.8358812321883631E-2</v>
      </c>
      <c r="BD244" s="146">
        <f>(BC244-BC241)/BC241*100</f>
        <v>-1.8390446633648714</v>
      </c>
    </row>
    <row r="245" spans="2:56">
      <c r="B245" s="142">
        <f t="shared" si="46"/>
        <v>4</v>
      </c>
      <c r="C245" s="143">
        <f>IF(ISERROR((D245-D241)/D241*100),"error",(D245-D241)/D241*100)</f>
        <v>51.428571428571423</v>
      </c>
      <c r="D245" s="143">
        <f>D241+B245*(D251-D241)/10</f>
        <v>1325000</v>
      </c>
      <c r="E245" s="145">
        <v>0.10416499714615271</v>
      </c>
      <c r="F245" s="145">
        <v>9.0784048718175595E-2</v>
      </c>
      <c r="G245" s="146">
        <f>(F245-F241)/F241*100</f>
        <v>13.726187105760919</v>
      </c>
      <c r="I245" s="142">
        <f t="shared" si="47"/>
        <v>4</v>
      </c>
      <c r="J245" s="143">
        <f t="shared" si="39"/>
        <v>141.40589569161</v>
      </c>
      <c r="K245" s="150">
        <f>K241+I245*(K251-K241)/10</f>
        <v>53.230000000000004</v>
      </c>
      <c r="L245" s="145">
        <v>0.16414393499534274</v>
      </c>
      <c r="M245" s="145">
        <v>0.14305814236717068</v>
      </c>
      <c r="N245" s="146">
        <f>(M245-M241)/M241*100</f>
        <v>79.210525368364387</v>
      </c>
      <c r="P245" s="142">
        <f t="shared" si="48"/>
        <v>4</v>
      </c>
      <c r="Q245" s="143">
        <f t="shared" si="40"/>
        <v>160</v>
      </c>
      <c r="R245" s="151">
        <f>R241+P245*(R251-R241)/10</f>
        <v>2.6000000000000002E-2</v>
      </c>
      <c r="S245" s="145">
        <v>6.4191781036931211E-2</v>
      </c>
      <c r="T245" s="145">
        <v>5.5945758523725568E-2</v>
      </c>
      <c r="U245" s="146">
        <f>(T245-T241)/T241*100</f>
        <v>-29.916126329700511</v>
      </c>
      <c r="W245" s="142">
        <f t="shared" si="49"/>
        <v>4</v>
      </c>
      <c r="X245" s="143">
        <f t="shared" si="41"/>
        <v>4.4444444444444446</v>
      </c>
      <c r="Y245" s="143">
        <f>Y241+W245*(Y251-Y241)/10</f>
        <v>94</v>
      </c>
      <c r="Z245" s="145">
        <v>9.0235374440246652E-2</v>
      </c>
      <c r="AA245" s="145">
        <v>7.8643813696765735E-2</v>
      </c>
      <c r="AB245" s="146">
        <f>(AA245-AA241)/AA241*100</f>
        <v>-1.4820202725948637</v>
      </c>
      <c r="AD245" s="142">
        <f t="shared" si="50"/>
        <v>4</v>
      </c>
      <c r="AE245" s="143">
        <f t="shared" si="42"/>
        <v>80</v>
      </c>
      <c r="AF245" s="152">
        <f>AF241+AD245*(AF251-AF241)/10</f>
        <v>9</v>
      </c>
      <c r="AG245" s="145">
        <v>9.811405918180581E-2</v>
      </c>
      <c r="AH245" s="145">
        <v>8.5510409184780589E-2</v>
      </c>
      <c r="AI245" s="146">
        <f>(AH245-AH241)/AH241*100</f>
        <v>7.1198402334700859</v>
      </c>
      <c r="AK245" s="142">
        <f t="shared" si="51"/>
        <v>4</v>
      </c>
      <c r="AL245" s="143">
        <f t="shared" si="43"/>
        <v>93.333333333333329</v>
      </c>
      <c r="AM245" s="152">
        <f>AM241+AK245*(AM251-AM241)/10</f>
        <v>29</v>
      </c>
      <c r="AN245" s="145">
        <v>9.4629803225829159E-2</v>
      </c>
      <c r="AO245" s="145">
        <v>8.6246509274246458E-2</v>
      </c>
      <c r="AP245" s="146">
        <f>(AO245-AO241)/AO241*100</f>
        <v>8.0419609990138099</v>
      </c>
      <c r="AR245" s="142">
        <f t="shared" si="52"/>
        <v>4</v>
      </c>
      <c r="AS245" s="143">
        <f t="shared" si="44"/>
        <v>46.956521739130423</v>
      </c>
      <c r="AT245" s="153">
        <f>AT241+AR245*(AT251-AT241)/10</f>
        <v>33.799999999999997</v>
      </c>
      <c r="AU245" s="145">
        <v>7.428552032085893E-2</v>
      </c>
      <c r="AV245" s="145">
        <v>6.4742864499881217E-2</v>
      </c>
      <c r="AW245" s="146">
        <f>(AV245-AV241)/AV241*100</f>
        <v>-18.895893873013591</v>
      </c>
      <c r="AY245" s="142">
        <f t="shared" si="53"/>
        <v>4</v>
      </c>
      <c r="AZ245" s="143">
        <f t="shared" si="45"/>
        <v>7.0588235294117645</v>
      </c>
      <c r="BA245" s="152">
        <f>BA241+AY245*(BA251-BA241)/10</f>
        <v>91</v>
      </c>
      <c r="BB245" s="145">
        <v>8.9383908814429175E-2</v>
      </c>
      <c r="BC245" s="145">
        <v>7.7901726633223575E-2</v>
      </c>
      <c r="BD245" s="146">
        <f>(BC245-BC241)/BC241*100</f>
        <v>-2.4116409871231417</v>
      </c>
    </row>
    <row r="246" spans="2:56">
      <c r="B246" s="142">
        <f t="shared" si="46"/>
        <v>5</v>
      </c>
      <c r="C246" s="143">
        <f>IF(ISERROR((D246-D241)/D241*100),"error",(D246-D241)/D241*100)</f>
        <v>64.285714285714292</v>
      </c>
      <c r="D246" s="143">
        <f>D241+B246*(D251-D241)/10</f>
        <v>1437500</v>
      </c>
      <c r="E246" s="145">
        <v>0.10730804686294641</v>
      </c>
      <c r="F246" s="145">
        <v>9.3523344896648042E-2</v>
      </c>
      <c r="G246" s="146">
        <f>(F246-F241)/F241*100</f>
        <v>17.157733882201207</v>
      </c>
      <c r="I246" s="142">
        <f t="shared" si="47"/>
        <v>5</v>
      </c>
      <c r="J246" s="143">
        <f t="shared" si="39"/>
        <v>176.7573696145125</v>
      </c>
      <c r="K246" s="150">
        <f>K241+I246*(K251-K241)/10</f>
        <v>61.025000000000006</v>
      </c>
      <c r="L246" s="145">
        <v>0.18228171917443398</v>
      </c>
      <c r="M246" s="145">
        <v>0.1588659619578919</v>
      </c>
      <c r="N246" s="146">
        <f>(M246-M241)/M241*100</f>
        <v>99.013156710455547</v>
      </c>
      <c r="P246" s="142">
        <f t="shared" si="48"/>
        <v>5</v>
      </c>
      <c r="Q246" s="143">
        <f t="shared" si="40"/>
        <v>199.99999999999994</v>
      </c>
      <c r="R246" s="151">
        <f>R241+P246*(R251-R241)/10</f>
        <v>0.03</v>
      </c>
      <c r="S246" s="145">
        <v>5.7341526726419519E-2</v>
      </c>
      <c r="T246" s="145">
        <v>4.9975482153585486E-2</v>
      </c>
      <c r="U246" s="146">
        <f>(T246-T241)/T241*100</f>
        <v>-37.395157912125612</v>
      </c>
      <c r="W246" s="142">
        <f t="shared" si="49"/>
        <v>5</v>
      </c>
      <c r="X246" s="143">
        <f t="shared" si="41"/>
        <v>5.5555555555555554</v>
      </c>
      <c r="Y246" s="143">
        <f>Y241+W246*(Y251-Y241)/10</f>
        <v>95</v>
      </c>
      <c r="Z246" s="145">
        <v>8.9896018480563805E-2</v>
      </c>
      <c r="AA246" s="145">
        <v>7.8348051119885673E-2</v>
      </c>
      <c r="AB246" s="146">
        <f>(AA246-AA241)/AA241*100</f>
        <v>-1.8525253407435796</v>
      </c>
      <c r="AD246" s="142">
        <f t="shared" si="50"/>
        <v>5</v>
      </c>
      <c r="AE246" s="143">
        <f t="shared" si="42"/>
        <v>100</v>
      </c>
      <c r="AF246" s="152">
        <f>AF241+AD246*(AF251-AF241)/10</f>
        <v>10</v>
      </c>
      <c r="AG246" s="145">
        <v>9.9921113624917957E-2</v>
      </c>
      <c r="AH246" s="145">
        <v>8.7085330925235405E-2</v>
      </c>
      <c r="AI246" s="146">
        <f>(AH246-AH241)/AH241*100</f>
        <v>9.0927622066673006</v>
      </c>
      <c r="AK246" s="142">
        <f t="shared" si="51"/>
        <v>5</v>
      </c>
      <c r="AL246" s="143">
        <f t="shared" si="43"/>
        <v>116.66666666666667</v>
      </c>
      <c r="AM246" s="152">
        <f>AM241+AK246*(AM251-AM241)/10</f>
        <v>32.5</v>
      </c>
      <c r="AN246" s="145">
        <v>9.580020930200113E-2</v>
      </c>
      <c r="AO246" s="145">
        <v>8.7930427135550229E-2</v>
      </c>
      <c r="AP246" s="146">
        <f>(AO246-AO241)/AO241*100</f>
        <v>10.151423624544684</v>
      </c>
      <c r="AR246" s="142">
        <f t="shared" si="52"/>
        <v>5</v>
      </c>
      <c r="AS246" s="143">
        <f t="shared" si="44"/>
        <v>58.695652173913047</v>
      </c>
      <c r="AT246" s="153">
        <f>AT241+AR246*(AT251-AT241)/10</f>
        <v>36.5</v>
      </c>
      <c r="AU246" s="145">
        <v>7.1559031327456585E-2</v>
      </c>
      <c r="AV246" s="145">
        <v>6.2366618002611972E-2</v>
      </c>
      <c r="AW246" s="146">
        <f>(AV246-AV241)/AV241*100</f>
        <v>-21.872644277666421</v>
      </c>
      <c r="AY246" s="142">
        <f t="shared" si="53"/>
        <v>5</v>
      </c>
      <c r="AZ246" s="143">
        <f t="shared" si="45"/>
        <v>8.8235294117647065</v>
      </c>
      <c r="BA246" s="152">
        <f>BA241+AY246*(BA251-BA241)/10</f>
        <v>92.5</v>
      </c>
      <c r="BB246" s="145">
        <v>8.8876461234735457E-2</v>
      </c>
      <c r="BC246" s="145">
        <v>7.7459465345276757E-2</v>
      </c>
      <c r="BD246" s="146">
        <f>(BC246-BC241)/BC241*100</f>
        <v>-2.9656666193001406</v>
      </c>
    </row>
    <row r="247" spans="2:56">
      <c r="B247" s="142">
        <f t="shared" si="46"/>
        <v>6</v>
      </c>
      <c r="C247" s="143">
        <f>IF(ISERROR((D247-D241)/D241*100),"error",(D247-D241)/D241*100)</f>
        <v>77.142857142857153</v>
      </c>
      <c r="D247" s="143">
        <f>D241+B247*(D251-D241)/10</f>
        <v>1550000</v>
      </c>
      <c r="E247" s="145">
        <v>0.11045109657974012</v>
      </c>
      <c r="F247" s="145">
        <v>9.6262641075120448E-2</v>
      </c>
      <c r="G247" s="146">
        <f>(F247-F241)/F241*100</f>
        <v>20.589280658641442</v>
      </c>
      <c r="I247" s="142">
        <f t="shared" si="47"/>
        <v>6</v>
      </c>
      <c r="J247" s="143">
        <f t="shared" si="39"/>
        <v>212.108843537415</v>
      </c>
      <c r="K247" s="150">
        <f>K241+I247*(K251-K241)/10</f>
        <v>68.820000000000007</v>
      </c>
      <c r="L247" s="145">
        <v>0.2004195033535251</v>
      </c>
      <c r="M247" s="145">
        <v>0.17467378154861302</v>
      </c>
      <c r="N247" s="146">
        <f>(M247-M241)/M241*100</f>
        <v>118.81578805254658</v>
      </c>
      <c r="P247" s="142">
        <f t="shared" si="48"/>
        <v>6</v>
      </c>
      <c r="Q247" s="143">
        <f t="shared" si="40"/>
        <v>240</v>
      </c>
      <c r="R247" s="151">
        <f>R241+P247*(R251-R241)/10</f>
        <v>3.4000000000000002E-2</v>
      </c>
      <c r="S247" s="145">
        <v>5.0491272415907805E-2</v>
      </c>
      <c r="T247" s="145">
        <v>4.400520578344537E-2</v>
      </c>
      <c r="U247" s="146">
        <f>(T247-T241)/T241*100</f>
        <v>-44.874189494550748</v>
      </c>
      <c r="W247" s="142">
        <f t="shared" si="49"/>
        <v>6</v>
      </c>
      <c r="X247" s="143">
        <f t="shared" si="41"/>
        <v>6.666666666666667</v>
      </c>
      <c r="Y247" s="143">
        <f>Y241+W247*(Y251-Y241)/10</f>
        <v>96</v>
      </c>
      <c r="Z247" s="145">
        <v>8.9556662520880945E-2</v>
      </c>
      <c r="AA247" s="145">
        <v>7.805228854300561E-2</v>
      </c>
      <c r="AB247" s="146">
        <f>(AA247-AA241)/AA241*100</f>
        <v>-2.2230304088922956</v>
      </c>
      <c r="AD247" s="142">
        <f t="shared" si="50"/>
        <v>6</v>
      </c>
      <c r="AE247" s="143">
        <f t="shared" si="42"/>
        <v>120</v>
      </c>
      <c r="AF247" s="152">
        <f>AF241+AD247*(AF251-AF241)/10</f>
        <v>11</v>
      </c>
      <c r="AG247" s="145">
        <v>0.10179047866162159</v>
      </c>
      <c r="AH247" s="145">
        <v>8.8714558892534642E-2</v>
      </c>
      <c r="AI247" s="146">
        <f>(AH247-AH241)/AH241*100</f>
        <v>11.133714193972931</v>
      </c>
      <c r="AK247" s="142">
        <f t="shared" si="51"/>
        <v>6</v>
      </c>
      <c r="AL247" s="143">
        <f t="shared" si="43"/>
        <v>140</v>
      </c>
      <c r="AM247" s="152">
        <f>AM241+AK247*(AM251-AM241)/10</f>
        <v>36</v>
      </c>
      <c r="AN247" s="145">
        <v>9.7069261004116544E-2</v>
      </c>
      <c r="AO247" s="145">
        <v>8.9625608823312594E-2</v>
      </c>
      <c r="AP247" s="146">
        <f>(AO247-AO241)/AO241*100</f>
        <v>12.274996570703948</v>
      </c>
      <c r="AR247" s="142">
        <f t="shared" si="52"/>
        <v>6</v>
      </c>
      <c r="AS247" s="143">
        <f t="shared" si="44"/>
        <v>70.43478260869567</v>
      </c>
      <c r="AT247" s="153">
        <f>AT241+AR247*(AT251-AT241)/10</f>
        <v>39.200000000000003</v>
      </c>
      <c r="AU247" s="145">
        <v>6.9208130103553575E-2</v>
      </c>
      <c r="AV247" s="145">
        <v>6.0317711584048202E-2</v>
      </c>
      <c r="AW247" s="146">
        <f>(AV247-AV241)/AV241*100</f>
        <v>-24.439332126576232</v>
      </c>
      <c r="AY247" s="142">
        <f t="shared" si="53"/>
        <v>6</v>
      </c>
      <c r="AZ247" s="143">
        <f t="shared" si="45"/>
        <v>10.588235294117647</v>
      </c>
      <c r="BA247" s="152">
        <f>BA241+AY247*(BA251-BA241)/10</f>
        <v>94</v>
      </c>
      <c r="BB247" s="145">
        <v>8.8385208790563954E-2</v>
      </c>
      <c r="BC247" s="145">
        <v>7.7031318779285748E-2</v>
      </c>
      <c r="BD247" s="146">
        <f>(BC247-BC241)/BC241*100</f>
        <v>-3.5020105823650312</v>
      </c>
    </row>
    <row r="248" spans="2:56">
      <c r="B248" s="142">
        <f t="shared" si="46"/>
        <v>7</v>
      </c>
      <c r="C248" s="143">
        <f>IF(ISERROR((D248-D241)/D241*100),"error",(D248-D241)/D241*100)</f>
        <v>90</v>
      </c>
      <c r="D248" s="143">
        <f>D241+B248*(D251-D241)/10</f>
        <v>1662500</v>
      </c>
      <c r="E248" s="145">
        <v>0.11359414629653378</v>
      </c>
      <c r="F248" s="145">
        <v>9.9001937253592853E-2</v>
      </c>
      <c r="G248" s="146">
        <f>(F248-F241)/F241*100</f>
        <v>24.020827435081678</v>
      </c>
      <c r="I248" s="142">
        <f t="shared" si="47"/>
        <v>7</v>
      </c>
      <c r="J248" s="143">
        <f t="shared" si="39"/>
        <v>247.46031746031741</v>
      </c>
      <c r="K248" s="150">
        <f>K241+I248*(K251-K241)/10</f>
        <v>76.614999999999995</v>
      </c>
      <c r="L248" s="145">
        <v>0.21855728753261619</v>
      </c>
      <c r="M248" s="145">
        <v>0.19048160113933413</v>
      </c>
      <c r="N248" s="146">
        <f>(M248-M241)/M241*100</f>
        <v>138.61841939463758</v>
      </c>
      <c r="P248" s="142">
        <f t="shared" si="48"/>
        <v>7</v>
      </c>
      <c r="Q248" s="143">
        <f t="shared" si="40"/>
        <v>280</v>
      </c>
      <c r="R248" s="151">
        <f>R241+P248*(R251-R241)/10</f>
        <v>3.8000000000000006E-2</v>
      </c>
      <c r="S248" s="145">
        <v>4.3641018105396084E-2</v>
      </c>
      <c r="T248" s="145">
        <v>3.8034929413305253E-2</v>
      </c>
      <c r="U248" s="146">
        <f>(T248-T241)/T241*100</f>
        <v>-52.353221076975899</v>
      </c>
      <c r="W248" s="142">
        <f t="shared" si="49"/>
        <v>7</v>
      </c>
      <c r="X248" s="143">
        <f t="shared" si="41"/>
        <v>7.7777777777777777</v>
      </c>
      <c r="Y248" s="143">
        <f>Y241+W248*(Y251-Y241)/10</f>
        <v>97</v>
      </c>
      <c r="Z248" s="145">
        <v>8.9217306561198098E-2</v>
      </c>
      <c r="AA248" s="145">
        <v>7.775652596612552E-2</v>
      </c>
      <c r="AB248" s="146">
        <f>(AA248-AA241)/AA241*100</f>
        <v>-2.5935354770410464</v>
      </c>
      <c r="AD248" s="142">
        <f t="shared" si="50"/>
        <v>7</v>
      </c>
      <c r="AE248" s="143">
        <f t="shared" si="42"/>
        <v>140</v>
      </c>
      <c r="AF248" s="152">
        <f>AF241+AD248*(AF251-AF241)/10</f>
        <v>12</v>
      </c>
      <c r="AG248" s="145">
        <v>0.10371789456751324</v>
      </c>
      <c r="AH248" s="145">
        <v>9.0394380562909604E-2</v>
      </c>
      <c r="AI248" s="146">
        <f>(AH248-AH241)/AH241*100</f>
        <v>13.238045475588567</v>
      </c>
      <c r="AK248" s="142">
        <f t="shared" si="51"/>
        <v>7</v>
      </c>
      <c r="AL248" s="143">
        <f t="shared" si="43"/>
        <v>163.33333333333334</v>
      </c>
      <c r="AM248" s="152">
        <f>AM241+AK248*(AM251-AM241)/10</f>
        <v>39.5</v>
      </c>
      <c r="AN248" s="145">
        <v>9.8414387090309113E-2</v>
      </c>
      <c r="AO248" s="145">
        <v>9.1326154110156293E-2</v>
      </c>
      <c r="AP248" s="146">
        <f>(AO248-AO241)/AO241*100</f>
        <v>14.405288557061317</v>
      </c>
      <c r="AR248" s="142">
        <f t="shared" si="52"/>
        <v>7</v>
      </c>
      <c r="AS248" s="143">
        <f t="shared" si="44"/>
        <v>82.173913043478251</v>
      </c>
      <c r="AT248" s="153">
        <f>AT241+AR248*(AT251-AT241)/10</f>
        <v>41.9</v>
      </c>
      <c r="AU248" s="145">
        <v>6.7160208989652373E-2</v>
      </c>
      <c r="AV248" s="145">
        <v>5.8532864703915062E-2</v>
      </c>
      <c r="AW248" s="146">
        <f>(AV248-AV241)/AV241*100</f>
        <v>-26.675229656056171</v>
      </c>
      <c r="AY248" s="142">
        <f t="shared" si="53"/>
        <v>7</v>
      </c>
      <c r="AZ248" s="143">
        <f t="shared" si="45"/>
        <v>12.352941176470589</v>
      </c>
      <c r="BA248" s="152">
        <f>BA241+AY248*(BA251-BA241)/10</f>
        <v>95.5</v>
      </c>
      <c r="BB248" s="145">
        <v>8.7909388360345453E-2</v>
      </c>
      <c r="BC248" s="145">
        <v>7.6616621843639987E-2</v>
      </c>
      <c r="BD248" s="146">
        <f>(BC248-BC241)/BC241*100</f>
        <v>-4.021506043972412</v>
      </c>
    </row>
    <row r="249" spans="2:56">
      <c r="B249" s="142">
        <f t="shared" si="46"/>
        <v>8</v>
      </c>
      <c r="C249" s="143">
        <f>IF(ISERROR((D249-D241)/D241*100),"error",(D249-D241)/D241*100)</f>
        <v>102.85714285714285</v>
      </c>
      <c r="D249" s="143">
        <f>D241+B249*(D251-D241)/10</f>
        <v>1775000</v>
      </c>
      <c r="E249" s="145">
        <v>0.11673719601332741</v>
      </c>
      <c r="F249" s="145">
        <v>0.1017412334320652</v>
      </c>
      <c r="G249" s="146">
        <f>(F249-F241)/F241*100</f>
        <v>27.452374211521839</v>
      </c>
      <c r="I249" s="142">
        <f t="shared" si="47"/>
        <v>8</v>
      </c>
      <c r="J249" s="143">
        <f t="shared" si="39"/>
        <v>282.81179138321994</v>
      </c>
      <c r="K249" s="150">
        <f>K241+I249*(K251-K241)/10</f>
        <v>84.41</v>
      </c>
      <c r="L249" s="145">
        <v>0.23669507171170748</v>
      </c>
      <c r="M249" s="145">
        <v>0.20628942073005538</v>
      </c>
      <c r="N249" s="146">
        <f>(M249-M241)/M241*100</f>
        <v>158.42105073672877</v>
      </c>
      <c r="P249" s="142">
        <f t="shared" si="48"/>
        <v>8</v>
      </c>
      <c r="Q249" s="143">
        <f t="shared" si="40"/>
        <v>320</v>
      </c>
      <c r="R249" s="151">
        <f>R241+P249*(R251-R241)/10</f>
        <v>4.2000000000000003E-2</v>
      </c>
      <c r="S249" s="145">
        <v>3.6790763794884405E-2</v>
      </c>
      <c r="T249" s="145">
        <v>3.2064653043165171E-2</v>
      </c>
      <c r="U249" s="146">
        <f>(T249-T241)/T241*100</f>
        <v>-59.832252659400986</v>
      </c>
      <c r="W249" s="142">
        <f t="shared" si="49"/>
        <v>8</v>
      </c>
      <c r="X249" s="143">
        <f t="shared" si="41"/>
        <v>8.8888888888888893</v>
      </c>
      <c r="Y249" s="143">
        <f>Y241+W249*(Y251-Y241)/10</f>
        <v>98</v>
      </c>
      <c r="Z249" s="145">
        <v>8.8877950601515238E-2</v>
      </c>
      <c r="AA249" s="145">
        <v>7.7460763389245443E-2</v>
      </c>
      <c r="AB249" s="146">
        <f>(AA249-AA241)/AA241*100</f>
        <v>-2.9640405451897793</v>
      </c>
      <c r="AD249" s="142">
        <f t="shared" si="50"/>
        <v>8</v>
      </c>
      <c r="AE249" s="143">
        <f t="shared" si="42"/>
        <v>160</v>
      </c>
      <c r="AF249" s="152">
        <f>AF241+AD249*(AF251-AF241)/10</f>
        <v>13</v>
      </c>
      <c r="AG249" s="145">
        <v>0.1056991618334845</v>
      </c>
      <c r="AH249" s="145">
        <v>9.2121135892680242E-2</v>
      </c>
      <c r="AI249" s="146">
        <f>(AH249-AH241)/AH241*100</f>
        <v>15.401171074106287</v>
      </c>
      <c r="AK249" s="142">
        <f t="shared" si="51"/>
        <v>8</v>
      </c>
      <c r="AL249" s="143">
        <f t="shared" si="43"/>
        <v>186.66666666666666</v>
      </c>
      <c r="AM249" s="152">
        <f>AM241+AK249*(AM251-AM241)/10</f>
        <v>43</v>
      </c>
      <c r="AN249" s="145">
        <v>9.9817879343587615E-2</v>
      </c>
      <c r="AO249" s="145">
        <v>9.3027783905351574E-2</v>
      </c>
      <c r="AP249" s="146">
        <f>(AO249-AO241)/AO241*100</f>
        <v>16.536939119087553</v>
      </c>
      <c r="AR249" s="142">
        <f t="shared" si="52"/>
        <v>8</v>
      </c>
      <c r="AS249" s="143">
        <f t="shared" si="44"/>
        <v>93.913043478260875</v>
      </c>
      <c r="AT249" s="153">
        <f>AT241+AR249*(AT251-AT241)/10</f>
        <v>44.6</v>
      </c>
      <c r="AU249" s="145">
        <v>6.536024245008E-2</v>
      </c>
      <c r="AV249" s="145">
        <v>5.6964120360838394E-2</v>
      </c>
      <c r="AW249" s="146">
        <f>(AV249-AV241)/AV241*100</f>
        <v>-28.640413134881591</v>
      </c>
      <c r="AY249" s="142">
        <f t="shared" si="53"/>
        <v>8</v>
      </c>
      <c r="AZ249" s="143">
        <f t="shared" si="45"/>
        <v>14.117647058823529</v>
      </c>
      <c r="BA249" s="152">
        <f>BA241+AY249*(BA251-BA241)/10</f>
        <v>97</v>
      </c>
      <c r="BB249" s="145">
        <v>8.7448284025906931E-2</v>
      </c>
      <c r="BC249" s="145">
        <v>7.6214750586416261E-2</v>
      </c>
      <c r="BD249" s="146">
        <f>(BC249-BC241)/BC241*100</f>
        <v>-4.524934635633171</v>
      </c>
    </row>
    <row r="250" spans="2:56">
      <c r="B250" s="142">
        <f t="shared" si="46"/>
        <v>9</v>
      </c>
      <c r="C250" s="143">
        <f>IF(ISERROR((D250-D241)/D241*100),"error",(D250-D241)/D241*100)</f>
        <v>115.71428571428572</v>
      </c>
      <c r="D250" s="143">
        <f>D241+B250*(D251-D241)/10</f>
        <v>1887500</v>
      </c>
      <c r="E250" s="145">
        <v>0.11988024573012113</v>
      </c>
      <c r="F250" s="145">
        <v>0.10448052961053765</v>
      </c>
      <c r="G250" s="146">
        <f>(F250-F241)/F241*100</f>
        <v>30.883920987962128</v>
      </c>
      <c r="I250" s="142">
        <f t="shared" si="47"/>
        <v>9</v>
      </c>
      <c r="J250" s="143">
        <f t="shared" si="39"/>
        <v>318.16326530612241</v>
      </c>
      <c r="K250" s="150">
        <f>K241+I250*(K251-K241)/10</f>
        <v>92.204999999999998</v>
      </c>
      <c r="L250" s="145">
        <v>0.25483285589079868</v>
      </c>
      <c r="M250" s="145">
        <v>0.2220972403207766</v>
      </c>
      <c r="N250" s="146">
        <f>(M250-M241)/M241*100</f>
        <v>178.22368207881996</v>
      </c>
      <c r="P250" s="142">
        <f t="shared" si="48"/>
        <v>9</v>
      </c>
      <c r="Q250" s="143">
        <f t="shared" si="40"/>
        <v>359.99999999999994</v>
      </c>
      <c r="R250" s="151">
        <f>R241+P250*(R251-R241)/10</f>
        <v>4.5999999999999999E-2</v>
      </c>
      <c r="S250" s="145">
        <v>2.9940509484372709E-2</v>
      </c>
      <c r="T250" s="145">
        <v>2.6094376673025072E-2</v>
      </c>
      <c r="U250" s="146">
        <f>(T250-T241)/T241*100</f>
        <v>-67.311284241826115</v>
      </c>
      <c r="W250" s="142">
        <f t="shared" si="49"/>
        <v>9</v>
      </c>
      <c r="X250" s="143">
        <f t="shared" si="41"/>
        <v>10</v>
      </c>
      <c r="Y250" s="143">
        <f>Y241+W250*(Y251-Y241)/10</f>
        <v>99</v>
      </c>
      <c r="Z250" s="145">
        <v>8.8538594641832419E-2</v>
      </c>
      <c r="AA250" s="145">
        <v>7.7165000812365409E-2</v>
      </c>
      <c r="AB250" s="146">
        <f>(AA250-AA241)/AA241*100</f>
        <v>-3.3345456133384603</v>
      </c>
      <c r="AD250" s="142">
        <f t="shared" si="50"/>
        <v>9</v>
      </c>
      <c r="AE250" s="143">
        <f t="shared" si="42"/>
        <v>180</v>
      </c>
      <c r="AF250" s="152">
        <f>AF241+AD250*(AF251-AF241)/10</f>
        <v>14</v>
      </c>
      <c r="AG250" s="145">
        <v>0.10773018863608648</v>
      </c>
      <c r="AH250" s="145">
        <v>9.3891258690616194E-2</v>
      </c>
      <c r="AI250" s="146">
        <f>(AH250-AH241)/AH241*100</f>
        <v>17.618623582125281</v>
      </c>
      <c r="AK250" s="142">
        <f t="shared" si="51"/>
        <v>9</v>
      </c>
      <c r="AL250" s="143">
        <f t="shared" si="43"/>
        <v>210</v>
      </c>
      <c r="AM250" s="152">
        <f>AM241+AK250*(AM251-AM241)/10</f>
        <v>46.5</v>
      </c>
      <c r="AN250" s="145">
        <v>0.10126595552810876</v>
      </c>
      <c r="AO250" s="145">
        <v>9.4727425670094262E-2</v>
      </c>
      <c r="AP250" s="146">
        <f>(AO250-AO241)/AO241*100</f>
        <v>18.666099253264225</v>
      </c>
      <c r="AR250" s="142">
        <f t="shared" si="52"/>
        <v>9</v>
      </c>
      <c r="AS250" s="143">
        <f t="shared" si="44"/>
        <v>105.65217391304347</v>
      </c>
      <c r="AT250" s="153">
        <f>AT241+AR250*(AT251-AT241)/10</f>
        <v>47.3</v>
      </c>
      <c r="AU250" s="145">
        <v>6.3765768919253771E-2</v>
      </c>
      <c r="AV250" s="145">
        <v>5.5574471566442817E-2</v>
      </c>
      <c r="AW250" s="146">
        <f>(AV250-AV241)/AV241*100</f>
        <v>-30.381241628809363</v>
      </c>
      <c r="AY250" s="142">
        <f t="shared" si="53"/>
        <v>9</v>
      </c>
      <c r="AZ250" s="143">
        <f t="shared" si="45"/>
        <v>15.882352941176469</v>
      </c>
      <c r="BA250" s="152">
        <f>BA241+AY250*(BA251-BA241)/10</f>
        <v>98.5</v>
      </c>
      <c r="BB250" s="145">
        <v>8.7001223478304052E-2</v>
      </c>
      <c r="BC250" s="145">
        <v>7.5825119062915072E-2</v>
      </c>
      <c r="BD250" s="146">
        <f>(BC250-BC241)/BC241*100</f>
        <v>-5.013030376786511</v>
      </c>
    </row>
    <row r="251" spans="2:56" ht="12.75" thickBot="1">
      <c r="B251" s="154">
        <f t="shared" si="46"/>
        <v>10</v>
      </c>
      <c r="C251" s="155">
        <f>IF(ISERROR((D251-D241)/D241*100),"error",(D251-D241)/D241*100)</f>
        <v>128.57142857142858</v>
      </c>
      <c r="D251" s="156">
        <v>2000000</v>
      </c>
      <c r="E251" s="157">
        <v>0.12302329544691483</v>
      </c>
      <c r="F251" s="157">
        <v>0.10721982578901007</v>
      </c>
      <c r="G251" s="158">
        <f>(F251-F241)/F241*100</f>
        <v>34.315467764402378</v>
      </c>
      <c r="I251" s="154">
        <f t="shared" si="47"/>
        <v>10</v>
      </c>
      <c r="J251" s="155">
        <f t="shared" si="39"/>
        <v>353.51473922902494</v>
      </c>
      <c r="K251" s="159">
        <v>100</v>
      </c>
      <c r="L251" s="157">
        <v>0.27297064006988975</v>
      </c>
      <c r="M251" s="157">
        <v>0.23790505991149766</v>
      </c>
      <c r="N251" s="158">
        <f>(M251-M241)/M241*100</f>
        <v>198.0263134209109</v>
      </c>
      <c r="P251" s="154">
        <f t="shared" si="48"/>
        <v>10</v>
      </c>
      <c r="Q251" s="155">
        <f t="shared" si="40"/>
        <v>400</v>
      </c>
      <c r="R251" s="160">
        <v>0.05</v>
      </c>
      <c r="S251" s="157">
        <v>2.3090255173860996E-2</v>
      </c>
      <c r="T251" s="157">
        <v>2.0124100302884956E-2</v>
      </c>
      <c r="U251" s="158">
        <f>(T251-T241)/T241*100</f>
        <v>-74.790315824251252</v>
      </c>
      <c r="W251" s="154">
        <f t="shared" si="49"/>
        <v>10</v>
      </c>
      <c r="X251" s="155">
        <f t="shared" si="41"/>
        <v>11.111111111111111</v>
      </c>
      <c r="Y251" s="156">
        <v>100</v>
      </c>
      <c r="Z251" s="157">
        <v>8.8199238682149558E-2</v>
      </c>
      <c r="AA251" s="157">
        <v>7.6869238235485332E-2</v>
      </c>
      <c r="AB251" s="158">
        <f>(AA251-AA241)/AA241*100</f>
        <v>-3.7050506814871937</v>
      </c>
      <c r="AD251" s="154">
        <f t="shared" si="50"/>
        <v>10</v>
      </c>
      <c r="AE251" s="155">
        <f t="shared" si="42"/>
        <v>200</v>
      </c>
      <c r="AF251" s="161">
        <v>15</v>
      </c>
      <c r="AG251" s="157">
        <v>0.10980702891466262</v>
      </c>
      <c r="AH251" s="157">
        <v>9.5701309803713067E-2</v>
      </c>
      <c r="AI251" s="158">
        <f>(AH251-AH241)/AH241*100</f>
        <v>19.886094734442739</v>
      </c>
      <c r="AK251" s="154">
        <f t="shared" si="51"/>
        <v>10</v>
      </c>
      <c r="AL251" s="155">
        <f t="shared" si="43"/>
        <v>233.33333333333334</v>
      </c>
      <c r="AM251" s="161">
        <v>50</v>
      </c>
      <c r="AN251" s="157">
        <v>0.10274792572387127</v>
      </c>
      <c r="AO251" s="157">
        <v>9.6422894334204284E-2</v>
      </c>
      <c r="AP251" s="158">
        <f>(AO251-AO241)/AO241*100</f>
        <v>20.790031697884615</v>
      </c>
      <c r="AR251" s="154">
        <f t="shared" si="52"/>
        <v>10</v>
      </c>
      <c r="AS251" s="155">
        <f t="shared" si="44"/>
        <v>117.39130434782609</v>
      </c>
      <c r="AT251" s="161">
        <v>50</v>
      </c>
      <c r="AU251" s="157">
        <v>6.2343498529756722E-2</v>
      </c>
      <c r="AV251" s="157">
        <v>5.4334904841841926E-2</v>
      </c>
      <c r="AW251" s="158">
        <f>(AV251-AV241)/AV241*100</f>
        <v>-31.934060645392968</v>
      </c>
      <c r="AY251" s="154">
        <f t="shared" si="53"/>
        <v>10</v>
      </c>
      <c r="AZ251" s="155">
        <f t="shared" si="45"/>
        <v>17.647058823529413</v>
      </c>
      <c r="BA251" s="161">
        <v>100</v>
      </c>
      <c r="BB251" s="157">
        <v>8.6567574747129283E-2</v>
      </c>
      <c r="BC251" s="157">
        <v>7.5447176485118922E-2</v>
      </c>
      <c r="BD251" s="158">
        <f>(BC251-BC241)/BC241*100</f>
        <v>-5.486483245705247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6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193</vt:i4>
      </vt:variant>
    </vt:vector>
  </HeadingPairs>
  <TitlesOfParts>
    <vt:vector size="196" baseType="lpstr">
      <vt:lpstr>Gasifier_EconomicExample</vt:lpstr>
      <vt:lpstr>SensitivityDiagram_COE</vt:lpstr>
      <vt:lpstr>SensitivityDiagram_Relative</vt:lpstr>
      <vt:lpstr>AggregateFractionOfHeatRecovered</vt:lpstr>
      <vt:lpstr>AggregateSalesPriceForHeat</vt:lpstr>
      <vt:lpstr>AnnualBiomassConsumptionDryMass</vt:lpstr>
      <vt:lpstr>AnnualBiomassConsumptionWetMass</vt:lpstr>
      <vt:lpstr>AnnualCapacityPayment</vt:lpstr>
      <vt:lpstr>AnnualCharProduction</vt:lpstr>
      <vt:lpstr>AnnualCleanGasConsumption</vt:lpstr>
      <vt:lpstr>AnnualDebtPayment</vt:lpstr>
      <vt:lpstr>AnnualDebtReserveInterest</vt:lpstr>
      <vt:lpstr>AnnualDualFuelConsumption</vt:lpstr>
      <vt:lpstr>AnnualEquityRecovery</vt:lpstr>
      <vt:lpstr>AnnualHeatSales</vt:lpstr>
      <vt:lpstr>AnnualHours</vt:lpstr>
      <vt:lpstr>AnnualIncomeFromChar</vt:lpstr>
      <vt:lpstr>AnnualNetElectricityGeneration</vt:lpstr>
      <vt:lpstr>AshContent</vt:lpstr>
      <vt:lpstr>BiomassFeedRate</vt:lpstr>
      <vt:lpstr>BiomassFuelCost</vt:lpstr>
      <vt:lpstr>BiomassFuelCostCF</vt:lpstr>
      <vt:lpstr>BiomassFuelCostKwh</vt:lpstr>
      <vt:lpstr>BtuPerCubicFoot</vt:lpstr>
      <vt:lpstr>BtuPerPound</vt:lpstr>
      <vt:lpstr>CapacityFactor</vt:lpstr>
      <vt:lpstr>CapacityIncome</vt:lpstr>
      <vt:lpstr>CapitalRecoveryFactorDebt</vt:lpstr>
      <vt:lpstr>CapitalRecoveryFactorEquity</vt:lpstr>
      <vt:lpstr>CarbonConcentration</vt:lpstr>
      <vt:lpstr>CarbonDioxide</vt:lpstr>
      <vt:lpstr>CH4_HHV</vt:lpstr>
      <vt:lpstr>CH4_HHV_KJL</vt:lpstr>
      <vt:lpstr>CH4_LHV</vt:lpstr>
      <vt:lpstr>CH4_LHV_KJL</vt:lpstr>
      <vt:lpstr>CH4Density</vt:lpstr>
      <vt:lpstr>CharIncome</vt:lpstr>
      <vt:lpstr>CharProductionRate</vt:lpstr>
      <vt:lpstr>CleanGasComposition</vt:lpstr>
      <vt:lpstr>CleanGasDensity</vt:lpstr>
      <vt:lpstr>CleanGasFlowRateMass</vt:lpstr>
      <vt:lpstr>CleanGasFlowRateVolume</vt:lpstr>
      <vt:lpstr>CleanGasHigherHeatingValue</vt:lpstr>
      <vt:lpstr>CleanGasLowerHeatingValue</vt:lpstr>
      <vt:lpstr>CleanGasMolecularMass</vt:lpstr>
      <vt:lpstr>CleanGasPowerInput</vt:lpstr>
      <vt:lpstr>CO</vt:lpstr>
      <vt:lpstr>CO_HHV</vt:lpstr>
      <vt:lpstr>CO_HHV_KJL</vt:lpstr>
      <vt:lpstr>CO_LHV</vt:lpstr>
      <vt:lpstr>CO_LHV_KJL</vt:lpstr>
      <vt:lpstr>CODensity</vt:lpstr>
      <vt:lpstr>CombinedTaxRate</vt:lpstr>
      <vt:lpstr>ConstantCapitalRecoveryFactor</vt:lpstr>
      <vt:lpstr>ConstantLACPerKwh</vt:lpstr>
      <vt:lpstr>ConstantLevelAnnualRevenue</vt:lpstr>
      <vt:lpstr>CostOfEquity</vt:lpstr>
      <vt:lpstr>CostOfMoney</vt:lpstr>
      <vt:lpstr>CubicFootPerPonds</vt:lpstr>
      <vt:lpstr>CubicMeterPerKg</vt:lpstr>
      <vt:lpstr>CurrentAnnualRevenueRequirements</vt:lpstr>
      <vt:lpstr>CurrentCapitalRecoveryFactor</vt:lpstr>
      <vt:lpstr>CurrentLACPerKwh</vt:lpstr>
      <vt:lpstr>DebtInterest</vt:lpstr>
      <vt:lpstr>DebtPrincipalPaid</vt:lpstr>
      <vt:lpstr>DebtRatio</vt:lpstr>
      <vt:lpstr>DebtReserve</vt:lpstr>
      <vt:lpstr>DebtReserveCF</vt:lpstr>
      <vt:lpstr>DentPrincipalRemaining</vt:lpstr>
      <vt:lpstr>Depreciation</vt:lpstr>
      <vt:lpstr>DollarPerKwh</vt:lpstr>
      <vt:lpstr>DollarPerMetricTons</vt:lpstr>
      <vt:lpstr>DollarPerMillionBtu</vt:lpstr>
      <vt:lpstr>DollarPerUSTons</vt:lpstr>
      <vt:lpstr>DualFuelCost</vt:lpstr>
      <vt:lpstr>DualFuelCostCF</vt:lpstr>
      <vt:lpstr>DualFuelFlowRate</vt:lpstr>
      <vt:lpstr>DualFuelKwh</vt:lpstr>
      <vt:lpstr>DualFuelPowerInput</vt:lpstr>
      <vt:lpstr>EconomicLife</vt:lpstr>
      <vt:lpstr>ElectricityCapacityPayment</vt:lpstr>
      <vt:lpstr>EmissionControlSystemCapitalCost</vt:lpstr>
      <vt:lpstr>EmissionControlSystemCapitalCostPerKwe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EscalationBiomassFuel</vt:lpstr>
      <vt:lpstr>EscalationCharSales</vt:lpstr>
      <vt:lpstr>EscalationDualFuel</vt:lpstr>
      <vt:lpstr>EscalationHeatSales</vt:lpstr>
      <vt:lpstr>EscalationOther</vt:lpstr>
      <vt:lpstr>EscalationProductionTaxCredit</vt:lpstr>
      <vt:lpstr>FederalTaxRate</vt:lpstr>
      <vt:lpstr>FractionOfInputEnergy</vt:lpstr>
      <vt:lpstr>GasCleaningSystemCapitalCost</vt:lpstr>
      <vt:lpstr>GasCleaningSystemCapitalCostPerKwe</vt:lpstr>
      <vt:lpstr>GasifierSystemCapitalCost</vt:lpstr>
      <vt:lpstr>GasifierSystemCapitalCostPerKwe</vt:lpstr>
      <vt:lpstr>GasolineDensity</vt:lpstr>
      <vt:lpstr>GasolineHigherHeatingValueKjPerL</vt:lpstr>
      <vt:lpstr>GasolineHigherHeatingValueMjPerKg</vt:lpstr>
      <vt:lpstr>GasolineLowerHeatingValueKjPerL</vt:lpstr>
      <vt:lpstr>GasolineLowerHeatingValueMjPerKg</vt:lpstr>
      <vt:lpstr>GeneralInflation</vt:lpstr>
      <vt:lpstr>GrossElectricalCapacity</vt:lpstr>
      <vt:lpstr>H2_HHV</vt:lpstr>
      <vt:lpstr>H2_HHV_KJL</vt:lpstr>
      <vt:lpstr>H2_LHV</vt:lpstr>
      <vt:lpstr>H2_LHV_KJL</vt:lpstr>
      <vt:lpstr>H2Density</vt:lpstr>
      <vt:lpstr>HeatIncome</vt:lpstr>
      <vt:lpstr>HeatIncomePerUnitNEE</vt:lpstr>
      <vt:lpstr>HeatRecoverySystemCapitalCost</vt:lpstr>
      <vt:lpstr>HeatRecoverySystemCapitalCostPerKwe</vt:lpstr>
      <vt:lpstr>HeavyDieselDensity</vt:lpstr>
      <vt:lpstr>HeavyDieselHHV</vt:lpstr>
      <vt:lpstr>HeavyDieselHHVkJL</vt:lpstr>
      <vt:lpstr>HeavyDieselLowerHeatingValueKjPerL</vt:lpstr>
      <vt:lpstr>HeavyDieselLowerHeatingValueMjPerKg</vt:lpstr>
      <vt:lpstr>HHVEfficiencyOfGasificationSystem</vt:lpstr>
      <vt:lpstr>HigherHeatingValue</vt:lpstr>
      <vt:lpstr>Hydrocarbons</vt:lpstr>
      <vt:lpstr>HydrogenGas</vt:lpstr>
      <vt:lpstr>Insurance</vt:lpstr>
      <vt:lpstr>InsurancePropertyTaxKwh</vt:lpstr>
      <vt:lpstr>InterestRateOnDebt</vt:lpstr>
      <vt:lpstr>InterestRateOnDebtReserve</vt:lpstr>
      <vt:lpstr>InterstOnDebtReserve</vt:lpstr>
      <vt:lpstr>KjPerCubicMeter</vt:lpstr>
      <vt:lpstr>KjPerKg</vt:lpstr>
      <vt:lpstr>LaborCost</vt:lpstr>
      <vt:lpstr>LaborCostKwh</vt:lpstr>
      <vt:lpstr>LAC</vt:lpstr>
      <vt:lpstr>LACCostOfMoney</vt:lpstr>
      <vt:lpstr>LightDieselDensity</vt:lpstr>
      <vt:lpstr>LightDieselHigherHeatingValueKjPerL</vt:lpstr>
      <vt:lpstr>LightDieselHigherHeatingValueMjPerKg</vt:lpstr>
      <vt:lpstr>LightDieselLowerHeatingValueKjPerL</vt:lpstr>
      <vt:lpstr>LightDieselLowerHeatingValueMjPerKg</vt:lpstr>
      <vt:lpstr>MaintenanceCost</vt:lpstr>
      <vt:lpstr>MaintenanceCostKwh</vt:lpstr>
      <vt:lpstr>Management</vt:lpstr>
      <vt:lpstr>ManagementKwh</vt:lpstr>
      <vt:lpstr>MetricTonsPerHour</vt:lpstr>
      <vt:lpstr>MoistureContent</vt:lpstr>
      <vt:lpstr>NaturalGasDensity</vt:lpstr>
      <vt:lpstr>NaturalGasHigherHeatingValueKjPerL</vt:lpstr>
      <vt:lpstr>NaturalGasHigherHeatingValueMjPerKg</vt:lpstr>
      <vt:lpstr>NaturalGasLowerHeatingValueKjPerL</vt:lpstr>
      <vt:lpstr>NaturalGasLowerHeatingValueMjPerKg</vt:lpstr>
      <vt:lpstr>NetElectricalCapacity</vt:lpstr>
      <vt:lpstr>NetHHVEfficiencyofPowerGeneration</vt:lpstr>
      <vt:lpstr>NitrogenGas</vt:lpstr>
      <vt:lpstr>NonFuelExpensesCF</vt:lpstr>
      <vt:lpstr>OtherOperatingExpenses</vt:lpstr>
      <vt:lpstr>OtherOperatingExpensesKwh</vt:lpstr>
      <vt:lpstr>OverallCHPefficiencyGross</vt:lpstr>
      <vt:lpstr>OverallCHPefficiencyNet</vt:lpstr>
      <vt:lpstr>OverallNetSystemEfficiency</vt:lpstr>
      <vt:lpstr>Oxygen</vt:lpstr>
      <vt:lpstr>ParasiticLoad</vt:lpstr>
      <vt:lpstr>PowerGenerationCapitalCost</vt:lpstr>
      <vt:lpstr>PowerGenerationCapitalCostPerKwe</vt:lpstr>
      <vt:lpstr>PresentWorth</vt:lpstr>
      <vt:lpstr>Gasifier_EconomicExample!Print_Area</vt:lpstr>
      <vt:lpstr>ProductionTaxCredit</vt:lpstr>
      <vt:lpstr>RealCostOfMoney</vt:lpstr>
      <vt:lpstr>RebtRecovery</vt:lpstr>
      <vt:lpstr>RecoveredHeat</vt:lpstr>
      <vt:lpstr>SalesPriceForChar</vt:lpstr>
      <vt:lpstr>StateTaxRate</vt:lpstr>
      <vt:lpstr>TaxCredit</vt:lpstr>
      <vt:lpstr>Taxes</vt:lpstr>
      <vt:lpstr>TaxWithoutCredit</vt:lpstr>
      <vt:lpstr>TotalCostOfPlant</vt:lpstr>
      <vt:lpstr>TotalDebtCost</vt:lpstr>
      <vt:lpstr>TotalEquityCost</vt:lpstr>
      <vt:lpstr>TotalExpensesIncludingFuel</vt:lpstr>
      <vt:lpstr>TotalExpensesIncludingFuelKwh</vt:lpstr>
      <vt:lpstr>TotalFacilityCapitalCost</vt:lpstr>
      <vt:lpstr>TotalFacilityCapitalCostPerKwe</vt:lpstr>
      <vt:lpstr>TotalFuelPowerInput</vt:lpstr>
      <vt:lpstr>TotalHeatProductionRate</vt:lpstr>
      <vt:lpstr>TotalIncomeFromHeatSales</vt:lpstr>
      <vt:lpstr>TotalNonFuelExpenses</vt:lpstr>
      <vt:lpstr>TotalNonFuelExpensesKwh</vt:lpstr>
      <vt:lpstr>TotalPresentWorth</vt:lpstr>
      <vt:lpstr>USTonsPerHour</vt:lpstr>
      <vt:lpstr>Utilities</vt:lpstr>
      <vt:lpstr>UtilitiesKwh</vt:lpstr>
      <vt:lpstr>WasteTreatment</vt:lpstr>
      <vt:lpstr>WasteTreatmentKwh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2020-03-25T00:00:09Z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