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kaiya\Documents\GitHub\technoeconomic-assessment\docs\"/>
    </mc:Choice>
  </mc:AlternateContent>
  <xr:revisionPtr revIDLastSave="0" documentId="13_ncr:1_{6517A86D-EB1E-4567-96A7-4EE204FE7259}" xr6:coauthVersionLast="47" xr6:coauthVersionMax="47" xr10:uidLastSave="{00000000-0000-0000-0000-000000000000}"/>
  <bookViews>
    <workbookView xWindow="14880" yWindow="4875" windowWidth="14610" windowHeight="11295" xr2:uid="{00000000-000D-0000-FFFF-FFFF00000000}"/>
  </bookViews>
  <sheets>
    <sheet name="CHP_EconomicExample" sheetId="1" r:id="rId1"/>
    <sheet name="SensitivityDiagram_COE" sheetId="3" r:id="rId2"/>
    <sheet name="SensitivityDiagram_Relative" sheetId="4" r:id="rId3"/>
  </sheets>
  <definedNames>
    <definedName name="AggregateFractionOfHeatRecovered">CHP_EconomicExample!$B$44</definedName>
    <definedName name="AggregateSalesPriceForHeat">CHP_EconomicExample!$B$47</definedName>
    <definedName name="AnnualAshDisposal">CHP_EconomicExample!$B$40</definedName>
    <definedName name="AnnualFuelConsumption">CHP_EconomicExample!$B$37</definedName>
    <definedName name="AnnualHeatSales">CHP_EconomicExample!$B$46</definedName>
    <definedName name="AnnualHours">CHP_EconomicExample!$B$30</definedName>
    <definedName name="AnnualNetGeneration">CHP_EconomicExample!$B$36</definedName>
    <definedName name="CapacityFactor">CHP_EconomicExample!$B$29</definedName>
    <definedName name="CapitalCost">CHP_EconomicExample!$B$23</definedName>
    <definedName name="CapitalCostPerNEC">CHP_EconomicExample!$B$38</definedName>
    <definedName name="EscalationHeatSales">CHP_EconomicExample!$B$81</definedName>
    <definedName name="FuelAshConcentration">CHP_EconomicExample!$B$39</definedName>
    <definedName name="FuelConsumptionRate">CHP_EconomicExample!$B$33</definedName>
    <definedName name="FuelHeatingValue">CHP_EconomicExample!$B$32</definedName>
    <definedName name="FuelPower">CHP_EconomicExample!$B$34</definedName>
    <definedName name="GrossElectricalCapacity">CHP_EconomicExample!$B$26</definedName>
    <definedName name="GrossStationElectricalEfficiency">CHP_EconomicExample!$B$35</definedName>
    <definedName name="HeatIncomePerUnitNEE">CHP_EconomicExample!$B$49</definedName>
    <definedName name="IncomeHeatSales">CHP_EconomicExample!$B$161</definedName>
    <definedName name="NetElectricalCapacity">CHP_EconomicExample!$B$27</definedName>
    <definedName name="NetStationElectricalEfficiency">CHP_EconomicExample!$B$31</definedName>
    <definedName name="OverallCHPefficiencyGross">CHP_EconomicExample!$B$50</definedName>
    <definedName name="OverallCHPefficiencyNet">CHP_EconomicExample!$B$51</definedName>
    <definedName name="ParasiticLoad">CHP_EconomicExample!$B$28</definedName>
    <definedName name="_xlnm.Print_Area" localSheetId="0">CHP_EconomicExample!$A$202:$K$229</definedName>
    <definedName name="RecoveredHeat">CHP_EconomicExample!$B$45</definedName>
    <definedName name="TotalHeatProductionRate">CHP_EconomicExample!$B$43</definedName>
    <definedName name="TotalIncomeFromHeatSales">CHP_EconomicExample!$B$48</definedName>
  </definedNames>
  <calcPr calcId="191029" iterate="1" iterateCount="1000" iterateDelta="10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" l="1"/>
  <c r="B33" i="1" s="1"/>
  <c r="B34" i="1" s="1"/>
  <c r="B38" i="1" l="1"/>
  <c r="B30" i="1"/>
  <c r="B36" i="1" s="1"/>
  <c r="B28" i="1"/>
  <c r="B169" i="1"/>
  <c r="B172" i="1" s="1"/>
  <c r="B86" i="1"/>
  <c r="B90" i="1" s="1"/>
  <c r="B91" i="1"/>
  <c r="B94" i="1"/>
  <c r="B95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AW213" i="1"/>
  <c r="AW212" i="1"/>
  <c r="AW211" i="1"/>
  <c r="AW210" i="1"/>
  <c r="AW209" i="1"/>
  <c r="AW208" i="1"/>
  <c r="AW207" i="1"/>
  <c r="AW206" i="1"/>
  <c r="AW205" i="1"/>
  <c r="AW204" i="1"/>
  <c r="AW203" i="1"/>
  <c r="AW202" i="1"/>
  <c r="AW201" i="1"/>
  <c r="AW200" i="1"/>
  <c r="AW199" i="1"/>
  <c r="AW198" i="1"/>
  <c r="AW197" i="1"/>
  <c r="AW196" i="1"/>
  <c r="AW195" i="1"/>
  <c r="AW194" i="1"/>
  <c r="AW193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AY205" i="1"/>
  <c r="AY206" i="1"/>
  <c r="AY207" i="1" s="1"/>
  <c r="BA205" i="1"/>
  <c r="AZ205" i="1" s="1"/>
  <c r="BA204" i="1"/>
  <c r="AR205" i="1"/>
  <c r="AR206" i="1" s="1"/>
  <c r="AT205" i="1"/>
  <c r="AS205" i="1" s="1"/>
  <c r="AT204" i="1"/>
  <c r="AS204" i="1" s="1"/>
  <c r="AK205" i="1"/>
  <c r="AM204" i="1"/>
  <c r="AD205" i="1"/>
  <c r="AF204" i="1"/>
  <c r="W205" i="1"/>
  <c r="W206" i="1"/>
  <c r="W207" i="1" s="1"/>
  <c r="Y205" i="1"/>
  <c r="Y204" i="1"/>
  <c r="P205" i="1"/>
  <c r="P206" i="1" s="1"/>
  <c r="R205" i="1"/>
  <c r="Q205" i="1" s="1"/>
  <c r="R204" i="1"/>
  <c r="I205" i="1"/>
  <c r="K205" i="1" s="1"/>
  <c r="J205" i="1" s="1"/>
  <c r="I206" i="1"/>
  <c r="I207" i="1" s="1"/>
  <c r="K204" i="1"/>
  <c r="BA202" i="1"/>
  <c r="AY201" i="1"/>
  <c r="AT202" i="1"/>
  <c r="AS202" i="1" s="1"/>
  <c r="AR201" i="1"/>
  <c r="AR200" i="1"/>
  <c r="AT201" i="1"/>
  <c r="AS201" i="1" s="1"/>
  <c r="AM202" i="1"/>
  <c r="AL202" i="1" s="1"/>
  <c r="AK201" i="1"/>
  <c r="AM201" i="1" s="1"/>
  <c r="AL201" i="1" s="1"/>
  <c r="AF202" i="1"/>
  <c r="AE202" i="1" s="1"/>
  <c r="AD201" i="1"/>
  <c r="AF201" i="1" s="1"/>
  <c r="AE201" i="1" s="1"/>
  <c r="AD200" i="1"/>
  <c r="AF200" i="1" s="1"/>
  <c r="AE200" i="1" s="1"/>
  <c r="Y202" i="1"/>
  <c r="W201" i="1"/>
  <c r="Y201" i="1" s="1"/>
  <c r="X201" i="1" s="1"/>
  <c r="W200" i="1"/>
  <c r="Y200" i="1"/>
  <c r="R202" i="1"/>
  <c r="Q202" i="1" s="1"/>
  <c r="P201" i="1"/>
  <c r="R201" i="1" s="1"/>
  <c r="Q201" i="1" s="1"/>
  <c r="K202" i="1"/>
  <c r="J202" i="1" s="1"/>
  <c r="I201" i="1"/>
  <c r="K201" i="1" s="1"/>
  <c r="J201" i="1" s="1"/>
  <c r="B205" i="1"/>
  <c r="B206" i="1"/>
  <c r="B207" i="1" s="1"/>
  <c r="B208" i="1" s="1"/>
  <c r="B209" i="1" s="1"/>
  <c r="B210" i="1" s="1"/>
  <c r="D205" i="1"/>
  <c r="C205" i="1" s="1"/>
  <c r="D204" i="1"/>
  <c r="C204" i="1" s="1"/>
  <c r="D202" i="1"/>
  <c r="C202" i="1" s="1"/>
  <c r="B201" i="1"/>
  <c r="D201" i="1" s="1"/>
  <c r="C201" i="1" s="1"/>
  <c r="B200" i="1"/>
  <c r="D200" i="1" s="1"/>
  <c r="C200" i="1" s="1"/>
  <c r="C213" i="1"/>
  <c r="C203" i="1"/>
  <c r="C193" i="1"/>
  <c r="AZ213" i="1"/>
  <c r="AZ204" i="1"/>
  <c r="AZ203" i="1"/>
  <c r="AZ202" i="1"/>
  <c r="AZ193" i="1"/>
  <c r="AS213" i="1"/>
  <c r="AS203" i="1"/>
  <c r="AS193" i="1"/>
  <c r="AL213" i="1"/>
  <c r="AL204" i="1"/>
  <c r="AL203" i="1"/>
  <c r="AL193" i="1"/>
  <c r="AE213" i="1"/>
  <c r="AE204" i="1"/>
  <c r="AE203" i="1"/>
  <c r="AE193" i="1"/>
  <c r="X213" i="1"/>
  <c r="X205" i="1"/>
  <c r="X204" i="1"/>
  <c r="X203" i="1"/>
  <c r="X202" i="1"/>
  <c r="X200" i="1"/>
  <c r="X193" i="1"/>
  <c r="J213" i="1"/>
  <c r="J204" i="1"/>
  <c r="J203" i="1"/>
  <c r="J193" i="1"/>
  <c r="Q203" i="1"/>
  <c r="Q204" i="1"/>
  <c r="Q213" i="1"/>
  <c r="Q193" i="1"/>
  <c r="B69" i="1"/>
  <c r="B62" i="1"/>
  <c r="B157" i="1" s="1"/>
  <c r="B74" i="1"/>
  <c r="C160" i="1" s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G160" i="1"/>
  <c r="B122" i="1"/>
  <c r="J160" i="1"/>
  <c r="O160" i="1"/>
  <c r="R160" i="1"/>
  <c r="AW189" i="1"/>
  <c r="D12" i="1"/>
  <c r="E122" i="1"/>
  <c r="F122" i="1"/>
  <c r="D122" i="1"/>
  <c r="D20" i="1"/>
  <c r="B14" i="1"/>
  <c r="D16" i="1"/>
  <c r="D206" i="1"/>
  <c r="C206" i="1" s="1"/>
  <c r="AR199" i="1"/>
  <c r="AT200" i="1"/>
  <c r="AS200" i="1"/>
  <c r="Y207" i="1"/>
  <c r="X207" i="1" s="1"/>
  <c r="W208" i="1"/>
  <c r="B199" i="1"/>
  <c r="D199" i="1" s="1"/>
  <c r="C199" i="1" s="1"/>
  <c r="W199" i="1"/>
  <c r="W198" i="1" s="1"/>
  <c r="AK200" i="1"/>
  <c r="AM200" i="1" s="1"/>
  <c r="AL200" i="1" s="1"/>
  <c r="P200" i="1"/>
  <c r="R200" i="1" s="1"/>
  <c r="AT199" i="1"/>
  <c r="AS199" i="1" s="1"/>
  <c r="AR198" i="1"/>
  <c r="AT198" i="1" s="1"/>
  <c r="AS198" i="1" s="1"/>
  <c r="Q200" i="1"/>
  <c r="Y199" i="1"/>
  <c r="X199" i="1" s="1"/>
  <c r="AR197" i="1"/>
  <c r="AR196" i="1" s="1"/>
  <c r="AT196" i="1" s="1"/>
  <c r="AS196" i="1" s="1"/>
  <c r="AT197" i="1"/>
  <c r="AS197" i="1" s="1"/>
  <c r="Y198" i="1" l="1"/>
  <c r="X198" i="1" s="1"/>
  <c r="W197" i="1"/>
  <c r="AR207" i="1"/>
  <c r="AT206" i="1"/>
  <c r="AS206" i="1" s="1"/>
  <c r="G157" i="1"/>
  <c r="I208" i="1"/>
  <c r="K207" i="1"/>
  <c r="J207" i="1" s="1"/>
  <c r="P207" i="1"/>
  <c r="P208" i="1" s="1"/>
  <c r="R208" i="1" s="1"/>
  <c r="Q208" i="1" s="1"/>
  <c r="R206" i="1"/>
  <c r="Q206" i="1" s="1"/>
  <c r="BA207" i="1"/>
  <c r="AZ207" i="1" s="1"/>
  <c r="AY208" i="1"/>
  <c r="D208" i="1"/>
  <c r="C208" i="1" s="1"/>
  <c r="P199" i="1"/>
  <c r="R199" i="1" s="1"/>
  <c r="Q199" i="1" s="1"/>
  <c r="K206" i="1"/>
  <c r="J206" i="1" s="1"/>
  <c r="Q160" i="1"/>
  <c r="I160" i="1"/>
  <c r="B160" i="1"/>
  <c r="P160" i="1"/>
  <c r="H160" i="1"/>
  <c r="AR195" i="1"/>
  <c r="I200" i="1"/>
  <c r="B198" i="1"/>
  <c r="D198" i="1" s="1"/>
  <c r="C198" i="1" s="1"/>
  <c r="F160" i="1"/>
  <c r="U160" i="1"/>
  <c r="M160" i="1"/>
  <c r="E160" i="1"/>
  <c r="J159" i="1"/>
  <c r="BA206" i="1"/>
  <c r="AZ206" i="1" s="1"/>
  <c r="Y206" i="1"/>
  <c r="X206" i="1" s="1"/>
  <c r="L160" i="1"/>
  <c r="D209" i="1"/>
  <c r="C209" i="1" s="1"/>
  <c r="D160" i="1"/>
  <c r="S160" i="1"/>
  <c r="K160" i="1"/>
  <c r="C164" i="1"/>
  <c r="N160" i="1"/>
  <c r="D207" i="1"/>
  <c r="C207" i="1" s="1"/>
  <c r="T160" i="1"/>
  <c r="AD199" i="1"/>
  <c r="P209" i="1"/>
  <c r="N147" i="1"/>
  <c r="O147" i="1" s="1"/>
  <c r="O164" i="1" s="1"/>
  <c r="M157" i="1"/>
  <c r="W209" i="1"/>
  <c r="Y208" i="1"/>
  <c r="X208" i="1" s="1"/>
  <c r="BA201" i="1"/>
  <c r="AZ201" i="1" s="1"/>
  <c r="AY200" i="1"/>
  <c r="H157" i="1"/>
  <c r="AD206" i="1"/>
  <c r="AF205" i="1"/>
  <c r="AE205" i="1" s="1"/>
  <c r="B211" i="1"/>
  <c r="D210" i="1"/>
  <c r="C210" i="1" s="1"/>
  <c r="R207" i="1"/>
  <c r="Q207" i="1" s="1"/>
  <c r="AK199" i="1"/>
  <c r="D157" i="1"/>
  <c r="E157" i="1"/>
  <c r="I157" i="1"/>
  <c r="C157" i="1"/>
  <c r="F157" i="1"/>
  <c r="L157" i="1"/>
  <c r="K157" i="1"/>
  <c r="J157" i="1"/>
  <c r="AM205" i="1"/>
  <c r="AL205" i="1" s="1"/>
  <c r="AK206" i="1"/>
  <c r="F159" i="1"/>
  <c r="B177" i="1"/>
  <c r="B178" i="1" s="1"/>
  <c r="G159" i="1"/>
  <c r="K159" i="1"/>
  <c r="B93" i="1"/>
  <c r="B153" i="1" s="1"/>
  <c r="B159" i="1"/>
  <c r="C159" i="1"/>
  <c r="T159" i="1"/>
  <c r="R159" i="1"/>
  <c r="L159" i="1"/>
  <c r="H159" i="1"/>
  <c r="P159" i="1"/>
  <c r="O159" i="1"/>
  <c r="Q159" i="1"/>
  <c r="M159" i="1"/>
  <c r="D159" i="1"/>
  <c r="I159" i="1"/>
  <c r="U159" i="1"/>
  <c r="N159" i="1"/>
  <c r="E159" i="1"/>
  <c r="S159" i="1"/>
  <c r="H164" i="1"/>
  <c r="B92" i="1"/>
  <c r="B149" i="1" s="1"/>
  <c r="C61" i="1"/>
  <c r="I164" i="1"/>
  <c r="B35" i="1"/>
  <c r="B43" i="1"/>
  <c r="B45" i="1" s="1"/>
  <c r="B46" i="1" s="1"/>
  <c r="B51" i="1" s="1"/>
  <c r="B37" i="1"/>
  <c r="B63" i="1" s="1"/>
  <c r="M164" i="1"/>
  <c r="E164" i="1"/>
  <c r="B164" i="1"/>
  <c r="C59" i="1"/>
  <c r="C57" i="1"/>
  <c r="C60" i="1"/>
  <c r="F164" i="1"/>
  <c r="D164" i="1"/>
  <c r="J164" i="1"/>
  <c r="K164" i="1"/>
  <c r="G164" i="1"/>
  <c r="C56" i="1"/>
  <c r="C55" i="1"/>
  <c r="L164" i="1"/>
  <c r="C58" i="1"/>
  <c r="AY209" i="1" l="1"/>
  <c r="BA208" i="1"/>
  <c r="AZ208" i="1" s="1"/>
  <c r="AD198" i="1"/>
  <c r="AF199" i="1"/>
  <c r="AE199" i="1" s="1"/>
  <c r="K208" i="1"/>
  <c r="J208" i="1" s="1"/>
  <c r="I209" i="1"/>
  <c r="I199" i="1"/>
  <c r="K200" i="1"/>
  <c r="J200" i="1" s="1"/>
  <c r="P198" i="1"/>
  <c r="P197" i="1" s="1"/>
  <c r="B197" i="1"/>
  <c r="B196" i="1" s="1"/>
  <c r="AR194" i="1"/>
  <c r="AT195" i="1"/>
  <c r="AS195" i="1" s="1"/>
  <c r="AT207" i="1"/>
  <c r="AS207" i="1" s="1"/>
  <c r="AR208" i="1"/>
  <c r="Y197" i="1"/>
  <c r="X197" i="1" s="1"/>
  <c r="W196" i="1"/>
  <c r="V160" i="1"/>
  <c r="AD207" i="1"/>
  <c r="AF206" i="1"/>
  <c r="AE206" i="1" s="1"/>
  <c r="Y209" i="1"/>
  <c r="X209" i="1" s="1"/>
  <c r="W210" i="1"/>
  <c r="P147" i="1"/>
  <c r="O157" i="1"/>
  <c r="N164" i="1"/>
  <c r="AM206" i="1"/>
  <c r="AL206" i="1" s="1"/>
  <c r="AK207" i="1"/>
  <c r="AM199" i="1"/>
  <c r="AL199" i="1" s="1"/>
  <c r="AK198" i="1"/>
  <c r="D211" i="1"/>
  <c r="C211" i="1" s="1"/>
  <c r="B212" i="1"/>
  <c r="BA200" i="1"/>
  <c r="AZ200" i="1" s="1"/>
  <c r="AY199" i="1"/>
  <c r="P210" i="1"/>
  <c r="R209" i="1"/>
  <c r="Q209" i="1" s="1"/>
  <c r="N157" i="1"/>
  <c r="B97" i="1"/>
  <c r="U152" i="1" s="1"/>
  <c r="V159" i="1"/>
  <c r="B96" i="1"/>
  <c r="G148" i="1" s="1"/>
  <c r="B40" i="1"/>
  <c r="B156" i="1"/>
  <c r="M156" i="1" s="1"/>
  <c r="B48" i="1"/>
  <c r="B50" i="1"/>
  <c r="C54" i="1"/>
  <c r="C62" i="1"/>
  <c r="Y196" i="1" l="1"/>
  <c r="X196" i="1" s="1"/>
  <c r="W195" i="1"/>
  <c r="AT208" i="1"/>
  <c r="AS208" i="1" s="1"/>
  <c r="AR209" i="1"/>
  <c r="R198" i="1"/>
  <c r="Q198" i="1" s="1"/>
  <c r="AY210" i="1"/>
  <c r="BA209" i="1"/>
  <c r="AZ209" i="1" s="1"/>
  <c r="D197" i="1"/>
  <c r="C197" i="1" s="1"/>
  <c r="AD197" i="1"/>
  <c r="AF198" i="1"/>
  <c r="AE198" i="1" s="1"/>
  <c r="AR193" i="1"/>
  <c r="AT194" i="1"/>
  <c r="AS194" i="1" s="1"/>
  <c r="I198" i="1"/>
  <c r="K199" i="1"/>
  <c r="J199" i="1" s="1"/>
  <c r="I210" i="1"/>
  <c r="K209" i="1"/>
  <c r="J209" i="1" s="1"/>
  <c r="D212" i="1"/>
  <c r="C212" i="1" s="1"/>
  <c r="B213" i="1"/>
  <c r="W211" i="1"/>
  <c r="Y210" i="1"/>
  <c r="X210" i="1" s="1"/>
  <c r="D196" i="1"/>
  <c r="C196" i="1" s="1"/>
  <c r="B195" i="1"/>
  <c r="BA199" i="1"/>
  <c r="AZ199" i="1" s="1"/>
  <c r="AY198" i="1"/>
  <c r="AM198" i="1"/>
  <c r="AL198" i="1" s="1"/>
  <c r="AK197" i="1"/>
  <c r="P196" i="1"/>
  <c r="R197" i="1"/>
  <c r="Q197" i="1" s="1"/>
  <c r="P211" i="1"/>
  <c r="R210" i="1"/>
  <c r="Q210" i="1" s="1"/>
  <c r="AK208" i="1"/>
  <c r="AM207" i="1"/>
  <c r="AL207" i="1" s="1"/>
  <c r="Q147" i="1"/>
  <c r="Q156" i="1" s="1"/>
  <c r="P157" i="1"/>
  <c r="P164" i="1"/>
  <c r="AF207" i="1"/>
  <c r="AE207" i="1" s="1"/>
  <c r="AD208" i="1"/>
  <c r="F152" i="1"/>
  <c r="S152" i="1"/>
  <c r="L152" i="1"/>
  <c r="C152" i="1"/>
  <c r="M152" i="1"/>
  <c r="H152" i="1"/>
  <c r="B152" i="1"/>
  <c r="B154" i="1" s="1"/>
  <c r="B155" i="1" s="1"/>
  <c r="T152" i="1"/>
  <c r="G152" i="1"/>
  <c r="B98" i="1"/>
  <c r="B75" i="1" s="1"/>
  <c r="I162" i="1" s="1"/>
  <c r="K152" i="1"/>
  <c r="D152" i="1"/>
  <c r="Q152" i="1"/>
  <c r="J152" i="1"/>
  <c r="R152" i="1"/>
  <c r="N152" i="1"/>
  <c r="E152" i="1"/>
  <c r="O152" i="1"/>
  <c r="I152" i="1"/>
  <c r="P152" i="1"/>
  <c r="G156" i="1"/>
  <c r="N156" i="1"/>
  <c r="C156" i="1"/>
  <c r="D148" i="1"/>
  <c r="B148" i="1"/>
  <c r="B150" i="1" s="1"/>
  <c r="B151" i="1" s="1"/>
  <c r="C149" i="1" s="1"/>
  <c r="T148" i="1"/>
  <c r="F148" i="1"/>
  <c r="O148" i="1"/>
  <c r="I148" i="1"/>
  <c r="H148" i="1"/>
  <c r="P148" i="1"/>
  <c r="S148" i="1"/>
  <c r="L148" i="1"/>
  <c r="N148" i="1"/>
  <c r="O156" i="1"/>
  <c r="K156" i="1"/>
  <c r="H156" i="1"/>
  <c r="J156" i="1"/>
  <c r="L156" i="1"/>
  <c r="D156" i="1"/>
  <c r="E156" i="1"/>
  <c r="I156" i="1"/>
  <c r="F156" i="1"/>
  <c r="P156" i="1"/>
  <c r="M148" i="1"/>
  <c r="Q148" i="1"/>
  <c r="C148" i="1"/>
  <c r="E148" i="1"/>
  <c r="U148" i="1"/>
  <c r="K148" i="1"/>
  <c r="J148" i="1"/>
  <c r="R148" i="1"/>
  <c r="C63" i="1"/>
  <c r="B49" i="1"/>
  <c r="B161" i="1"/>
  <c r="AD196" i="1" l="1"/>
  <c r="AF197" i="1"/>
  <c r="AE197" i="1" s="1"/>
  <c r="K210" i="1"/>
  <c r="J210" i="1" s="1"/>
  <c r="I211" i="1"/>
  <c r="BA210" i="1"/>
  <c r="AZ210" i="1" s="1"/>
  <c r="AY211" i="1"/>
  <c r="AR210" i="1"/>
  <c r="AT209" i="1"/>
  <c r="AS209" i="1" s="1"/>
  <c r="K198" i="1"/>
  <c r="J198" i="1" s="1"/>
  <c r="I197" i="1"/>
  <c r="Y195" i="1"/>
  <c r="X195" i="1" s="1"/>
  <c r="W194" i="1"/>
  <c r="G162" i="1"/>
  <c r="AM197" i="1"/>
  <c r="AL197" i="1" s="1"/>
  <c r="AK196" i="1"/>
  <c r="B194" i="1"/>
  <c r="D195" i="1"/>
  <c r="C195" i="1" s="1"/>
  <c r="AF208" i="1"/>
  <c r="AE208" i="1" s="1"/>
  <c r="AD209" i="1"/>
  <c r="R147" i="1"/>
  <c r="Q157" i="1"/>
  <c r="Q164" i="1"/>
  <c r="P212" i="1"/>
  <c r="R211" i="1"/>
  <c r="Q211" i="1" s="1"/>
  <c r="AK209" i="1"/>
  <c r="AM208" i="1"/>
  <c r="AL208" i="1" s="1"/>
  <c r="R196" i="1"/>
  <c r="Q196" i="1" s="1"/>
  <c r="P195" i="1"/>
  <c r="Y211" i="1"/>
  <c r="X211" i="1" s="1"/>
  <c r="W212" i="1"/>
  <c r="BA198" i="1"/>
  <c r="AZ198" i="1" s="1"/>
  <c r="AY197" i="1"/>
  <c r="H162" i="1"/>
  <c r="B158" i="1"/>
  <c r="U158" i="1" s="1"/>
  <c r="V158" i="1" s="1"/>
  <c r="R162" i="1"/>
  <c r="Q162" i="1"/>
  <c r="F162" i="1"/>
  <c r="D162" i="1"/>
  <c r="T162" i="1"/>
  <c r="S162" i="1"/>
  <c r="O162" i="1"/>
  <c r="E162" i="1"/>
  <c r="B162" i="1"/>
  <c r="M162" i="1"/>
  <c r="J162" i="1"/>
  <c r="C162" i="1"/>
  <c r="P162" i="1"/>
  <c r="L162" i="1"/>
  <c r="U162" i="1"/>
  <c r="N162" i="1"/>
  <c r="K162" i="1"/>
  <c r="V152" i="1"/>
  <c r="C150" i="1"/>
  <c r="C151" i="1" s="1"/>
  <c r="V148" i="1"/>
  <c r="C153" i="1"/>
  <c r="I161" i="1"/>
  <c r="R161" i="1"/>
  <c r="L161" i="1"/>
  <c r="G161" i="1"/>
  <c r="J161" i="1"/>
  <c r="P161" i="1"/>
  <c r="D161" i="1"/>
  <c r="C161" i="1"/>
  <c r="M161" i="1"/>
  <c r="N161" i="1"/>
  <c r="K161" i="1"/>
  <c r="H161" i="1"/>
  <c r="O161" i="1"/>
  <c r="Q161" i="1"/>
  <c r="F161" i="1"/>
  <c r="E161" i="1"/>
  <c r="K197" i="1" l="1"/>
  <c r="J197" i="1" s="1"/>
  <c r="I196" i="1"/>
  <c r="AT210" i="1"/>
  <c r="AS210" i="1" s="1"/>
  <c r="AR211" i="1"/>
  <c r="W193" i="1"/>
  <c r="Y194" i="1"/>
  <c r="X194" i="1" s="1"/>
  <c r="BA211" i="1"/>
  <c r="AZ211" i="1" s="1"/>
  <c r="AY212" i="1"/>
  <c r="I212" i="1"/>
  <c r="K211" i="1"/>
  <c r="J211" i="1" s="1"/>
  <c r="AF196" i="1"/>
  <c r="AE196" i="1" s="1"/>
  <c r="AD195" i="1"/>
  <c r="P213" i="1"/>
  <c r="R212" i="1"/>
  <c r="Q212" i="1" s="1"/>
  <c r="AF209" i="1"/>
  <c r="AE209" i="1" s="1"/>
  <c r="AD210" i="1"/>
  <c r="BA197" i="1"/>
  <c r="AZ197" i="1" s="1"/>
  <c r="AY196" i="1"/>
  <c r="AM209" i="1"/>
  <c r="AL209" i="1" s="1"/>
  <c r="AK210" i="1"/>
  <c r="AM196" i="1"/>
  <c r="AL196" i="1" s="1"/>
  <c r="AK195" i="1"/>
  <c r="Y212" i="1"/>
  <c r="X212" i="1" s="1"/>
  <c r="W213" i="1"/>
  <c r="P194" i="1"/>
  <c r="R195" i="1"/>
  <c r="Q195" i="1" s="1"/>
  <c r="S147" i="1"/>
  <c r="R164" i="1"/>
  <c r="R157" i="1"/>
  <c r="R156" i="1"/>
  <c r="D194" i="1"/>
  <c r="C194" i="1" s="1"/>
  <c r="B193" i="1"/>
  <c r="B165" i="1"/>
  <c r="B166" i="1" s="1"/>
  <c r="B170" i="1" s="1"/>
  <c r="B163" i="1"/>
  <c r="V162" i="1"/>
  <c r="C154" i="1"/>
  <c r="D149" i="1"/>
  <c r="AD194" i="1" l="1"/>
  <c r="AF195" i="1"/>
  <c r="AE195" i="1" s="1"/>
  <c r="I213" i="1"/>
  <c r="K212" i="1"/>
  <c r="J212" i="1" s="1"/>
  <c r="AY213" i="1"/>
  <c r="BA212" i="1"/>
  <c r="AZ212" i="1" s="1"/>
  <c r="AT211" i="1"/>
  <c r="AS211" i="1" s="1"/>
  <c r="AR212" i="1"/>
  <c r="I195" i="1"/>
  <c r="K196" i="1"/>
  <c r="J196" i="1" s="1"/>
  <c r="AK194" i="1"/>
  <c r="AM195" i="1"/>
  <c r="AL195" i="1" s="1"/>
  <c r="AD211" i="1"/>
  <c r="AF210" i="1"/>
  <c r="AE210" i="1" s="1"/>
  <c r="R194" i="1"/>
  <c r="Q194" i="1" s="1"/>
  <c r="P193" i="1"/>
  <c r="AK211" i="1"/>
  <c r="AM210" i="1"/>
  <c r="AL210" i="1" s="1"/>
  <c r="AY195" i="1"/>
  <c r="BA196" i="1"/>
  <c r="AZ196" i="1" s="1"/>
  <c r="T147" i="1"/>
  <c r="S157" i="1"/>
  <c r="S164" i="1"/>
  <c r="S156" i="1"/>
  <c r="S161" i="1"/>
  <c r="C155" i="1"/>
  <c r="C165" i="1"/>
  <c r="C166" i="1" s="1"/>
  <c r="C170" i="1" s="1"/>
  <c r="C163" i="1"/>
  <c r="D150" i="1"/>
  <c r="K195" i="1" l="1"/>
  <c r="J195" i="1" s="1"/>
  <c r="I194" i="1"/>
  <c r="AR213" i="1"/>
  <c r="AT212" i="1"/>
  <c r="AS212" i="1" s="1"/>
  <c r="AF194" i="1"/>
  <c r="AE194" i="1" s="1"/>
  <c r="AD193" i="1"/>
  <c r="U147" i="1"/>
  <c r="T164" i="1"/>
  <c r="T157" i="1"/>
  <c r="T156" i="1"/>
  <c r="T161" i="1"/>
  <c r="AM211" i="1"/>
  <c r="AL211" i="1" s="1"/>
  <c r="AK212" i="1"/>
  <c r="AD212" i="1"/>
  <c r="AF211" i="1"/>
  <c r="AE211" i="1" s="1"/>
  <c r="AY194" i="1"/>
  <c r="BA195" i="1"/>
  <c r="AZ195" i="1" s="1"/>
  <c r="AK193" i="1"/>
  <c r="AM194" i="1"/>
  <c r="AL194" i="1" s="1"/>
  <c r="D153" i="1"/>
  <c r="D151" i="1"/>
  <c r="K194" i="1" l="1"/>
  <c r="J194" i="1" s="1"/>
  <c r="I193" i="1"/>
  <c r="AM212" i="1"/>
  <c r="AL212" i="1" s="1"/>
  <c r="AK213" i="1"/>
  <c r="U157" i="1"/>
  <c r="V157" i="1" s="1"/>
  <c r="U164" i="1"/>
  <c r="V164" i="1" s="1"/>
  <c r="U156" i="1"/>
  <c r="V156" i="1" s="1"/>
  <c r="U161" i="1"/>
  <c r="V161" i="1" s="1"/>
  <c r="BA194" i="1"/>
  <c r="AZ194" i="1" s="1"/>
  <c r="AY193" i="1"/>
  <c r="AF212" i="1"/>
  <c r="AE212" i="1" s="1"/>
  <c r="AD213" i="1"/>
  <c r="D154" i="1"/>
  <c r="E149" i="1"/>
  <c r="D155" i="1" l="1"/>
  <c r="D163" i="1"/>
  <c r="D165" i="1"/>
  <c r="D166" i="1" s="1"/>
  <c r="D170" i="1" s="1"/>
  <c r="E150" i="1"/>
  <c r="E153" i="1" l="1"/>
  <c r="E151" i="1"/>
  <c r="E154" i="1" l="1"/>
  <c r="F149" i="1"/>
  <c r="E155" i="1" l="1"/>
  <c r="E163" i="1"/>
  <c r="E165" i="1"/>
  <c r="E166" i="1" s="1"/>
  <c r="E170" i="1" s="1"/>
  <c r="F150" i="1"/>
  <c r="F153" i="1" l="1"/>
  <c r="F154" i="1" s="1"/>
  <c r="F165" i="1" s="1"/>
  <c r="F166" i="1" s="1"/>
  <c r="F151" i="1"/>
  <c r="F163" i="1" l="1"/>
  <c r="F155" i="1"/>
  <c r="F170" i="1"/>
  <c r="G149" i="1"/>
  <c r="G153" i="1" l="1"/>
  <c r="G154" i="1" s="1"/>
  <c r="G155" i="1" s="1"/>
  <c r="G150" i="1"/>
  <c r="H153" i="1" l="1"/>
  <c r="H154" i="1" s="1"/>
  <c r="H155" i="1" s="1"/>
  <c r="G163" i="1"/>
  <c r="G165" i="1"/>
  <c r="G166" i="1" s="1"/>
  <c r="G151" i="1"/>
  <c r="I153" i="1" l="1"/>
  <c r="I154" i="1" s="1"/>
  <c r="I155" i="1" s="1"/>
  <c r="H149" i="1"/>
  <c r="H150" i="1" s="1"/>
  <c r="G170" i="1"/>
  <c r="J153" i="1" l="1"/>
  <c r="J154" i="1" s="1"/>
  <c r="J155" i="1" s="1"/>
  <c r="H163" i="1"/>
  <c r="H165" i="1"/>
  <c r="H166" i="1" s="1"/>
  <c r="H151" i="1"/>
  <c r="K153" i="1" l="1"/>
  <c r="K154" i="1" s="1"/>
  <c r="K155" i="1" s="1"/>
  <c r="I149" i="1"/>
  <c r="I150" i="1" s="1"/>
  <c r="I151" i="1" s="1"/>
  <c r="H170" i="1"/>
  <c r="L153" i="1" l="1"/>
  <c r="L154" i="1" s="1"/>
  <c r="L155" i="1" s="1"/>
  <c r="J149" i="1"/>
  <c r="J150" i="1" s="1"/>
  <c r="J151" i="1" s="1"/>
  <c r="I163" i="1"/>
  <c r="I165" i="1"/>
  <c r="I166" i="1" s="1"/>
  <c r="I170" i="1" s="1"/>
  <c r="M153" i="1" l="1"/>
  <c r="M154" i="1" s="1"/>
  <c r="M155" i="1" s="1"/>
  <c r="K149" i="1"/>
  <c r="K150" i="1" s="1"/>
  <c r="J163" i="1"/>
  <c r="J165" i="1"/>
  <c r="J166" i="1" s="1"/>
  <c r="J170" i="1" s="1"/>
  <c r="N153" i="1" l="1"/>
  <c r="N154" i="1" s="1"/>
  <c r="N155" i="1" s="1"/>
  <c r="K163" i="1"/>
  <c r="K165" i="1"/>
  <c r="K166" i="1" s="1"/>
  <c r="K170" i="1" s="1"/>
  <c r="K151" i="1"/>
  <c r="O153" i="1" l="1"/>
  <c r="O154" i="1" s="1"/>
  <c r="O155" i="1" s="1"/>
  <c r="L149" i="1"/>
  <c r="L150" i="1" s="1"/>
  <c r="P153" i="1" l="1"/>
  <c r="P154" i="1" s="1"/>
  <c r="P155" i="1" s="1"/>
  <c r="L163" i="1"/>
  <c r="L165" i="1"/>
  <c r="L166" i="1" s="1"/>
  <c r="L170" i="1" s="1"/>
  <c r="L151" i="1"/>
  <c r="Q153" i="1" l="1"/>
  <c r="Q154" i="1" s="1"/>
  <c r="Q155" i="1" s="1"/>
  <c r="M149" i="1"/>
  <c r="M150" i="1" s="1"/>
  <c r="M151" i="1" s="1"/>
  <c r="R153" i="1" l="1"/>
  <c r="R154" i="1" s="1"/>
  <c r="R155" i="1" s="1"/>
  <c r="N149" i="1"/>
  <c r="N150" i="1" s="1"/>
  <c r="N151" i="1" s="1"/>
  <c r="M163" i="1"/>
  <c r="M165" i="1"/>
  <c r="M166" i="1" s="1"/>
  <c r="M170" i="1" s="1"/>
  <c r="S153" i="1" l="1"/>
  <c r="S154" i="1" s="1"/>
  <c r="S155" i="1" s="1"/>
  <c r="O149" i="1"/>
  <c r="O150" i="1" s="1"/>
  <c r="O151" i="1" s="1"/>
  <c r="N163" i="1"/>
  <c r="N165" i="1"/>
  <c r="N166" i="1" s="1"/>
  <c r="N170" i="1" s="1"/>
  <c r="T153" i="1" l="1"/>
  <c r="T154" i="1" s="1"/>
  <c r="T155" i="1" s="1"/>
  <c r="P149" i="1"/>
  <c r="P150" i="1" s="1"/>
  <c r="O163" i="1"/>
  <c r="O165" i="1"/>
  <c r="O166" i="1" s="1"/>
  <c r="O170" i="1" s="1"/>
  <c r="U153" i="1" l="1"/>
  <c r="P163" i="1"/>
  <c r="P165" i="1"/>
  <c r="P166" i="1" s="1"/>
  <c r="P170" i="1" s="1"/>
  <c r="P151" i="1"/>
  <c r="U154" i="1" l="1"/>
  <c r="V153" i="1"/>
  <c r="Q149" i="1"/>
  <c r="Q150" i="1" s="1"/>
  <c r="V154" i="1" l="1"/>
  <c r="U155" i="1"/>
  <c r="Q163" i="1"/>
  <c r="Q165" i="1"/>
  <c r="Q166" i="1" s="1"/>
  <c r="Q170" i="1" s="1"/>
  <c r="Q151" i="1"/>
  <c r="R149" i="1" l="1"/>
  <c r="R150" i="1" s="1"/>
  <c r="R151" i="1" s="1"/>
  <c r="S149" i="1" l="1"/>
  <c r="S150" i="1" s="1"/>
  <c r="S151" i="1" s="1"/>
  <c r="R165" i="1"/>
  <c r="R166" i="1" s="1"/>
  <c r="R170" i="1" s="1"/>
  <c r="R163" i="1"/>
  <c r="T149" i="1" l="1"/>
  <c r="T150" i="1" s="1"/>
  <c r="S163" i="1"/>
  <c r="S165" i="1"/>
  <c r="S166" i="1" s="1"/>
  <c r="S170" i="1" s="1"/>
  <c r="T163" i="1" l="1"/>
  <c r="T165" i="1"/>
  <c r="T166" i="1" s="1"/>
  <c r="T170" i="1" s="1"/>
  <c r="T151" i="1"/>
  <c r="U149" i="1" l="1"/>
  <c r="U150" i="1" l="1"/>
  <c r="V149" i="1"/>
  <c r="U163" i="1" l="1"/>
  <c r="V163" i="1" s="1"/>
  <c r="U165" i="1"/>
  <c r="V150" i="1"/>
  <c r="U151" i="1"/>
  <c r="U166" i="1" l="1"/>
  <c r="V165" i="1"/>
  <c r="U170" i="1" l="1"/>
  <c r="B171" i="1" s="1"/>
  <c r="V166" i="1"/>
  <c r="B173" i="1" l="1"/>
  <c r="B179" i="1"/>
  <c r="B180" i="1" s="1"/>
  <c r="AV192" i="1" l="1"/>
  <c r="AH192" i="1"/>
  <c r="T192" i="1"/>
  <c r="AA192" i="1"/>
  <c r="F192" i="1"/>
  <c r="BC192" i="1"/>
  <c r="M192" i="1"/>
  <c r="AO192" i="1"/>
  <c r="V173" i="1"/>
  <c r="B174" i="1"/>
  <c r="AG192" i="1" l="1"/>
  <c r="AU192" i="1"/>
  <c r="Z192" i="1"/>
  <c r="S192" i="1"/>
  <c r="AN192" i="1"/>
  <c r="BB192" i="1"/>
  <c r="V174" i="1"/>
  <c r="L192" i="1"/>
  <c r="E192" i="1"/>
</calcChain>
</file>

<file path=xl/sharedStrings.xml><?xml version="1.0" encoding="utf-8"?>
<sst xmlns="http://schemas.openxmlformats.org/spreadsheetml/2006/main" count="342" uniqueCount="225">
  <si>
    <t>Fuel Heating Value (kJ/kg)</t>
  </si>
  <si>
    <t>Fuel Consumption Rate (t/h)</t>
  </si>
  <si>
    <t>Fuel Cost ($/t)</t>
  </si>
  <si>
    <t>Federal Tax Rate (%)</t>
  </si>
  <si>
    <t>State Tax Rate (%)</t>
  </si>
  <si>
    <t>Combined Tax Rate (%)</t>
  </si>
  <si>
    <t>Debt ratio (%)</t>
  </si>
  <si>
    <t>Equity ratio (%)</t>
  </si>
  <si>
    <t>Total Cost of Plant ($)</t>
  </si>
  <si>
    <t>Total Equity Cost ($)</t>
  </si>
  <si>
    <t>Total Debt Cost ($)</t>
  </si>
  <si>
    <t>Capital Recovery Factor (Equity)</t>
  </si>
  <si>
    <t>Capital Recovery Factor (Debt)</t>
  </si>
  <si>
    <t>Annual Equity Recovery ($/y)</t>
  </si>
  <si>
    <t>Annual Debt Payment ($/y)</t>
  </si>
  <si>
    <t>Debt Reserve ($)</t>
  </si>
  <si>
    <t>Annual Debt Reserve Interest ($/y)</t>
  </si>
  <si>
    <t>Annual Capacity Payment ($/y)</t>
  </si>
  <si>
    <t>Year 1</t>
  </si>
  <si>
    <t>Year 2</t>
  </si>
  <si>
    <t>Year 3</t>
  </si>
  <si>
    <t>Year 4</t>
  </si>
  <si>
    <t>Year 5</t>
  </si>
  <si>
    <t>Year 6</t>
  </si>
  <si>
    <t>Total</t>
  </si>
  <si>
    <t>Annual Hours</t>
  </si>
  <si>
    <t>Year</t>
  </si>
  <si>
    <t>Equity Recovery</t>
  </si>
  <si>
    <t>Equity Interest</t>
  </si>
  <si>
    <t>Equity Principal Paid</t>
  </si>
  <si>
    <t>Equity Principal Remaining</t>
  </si>
  <si>
    <t>Debt Recovery</t>
  </si>
  <si>
    <t>Debt Interest</t>
  </si>
  <si>
    <t>Debt Principal Paid</t>
  </si>
  <si>
    <t>Debt Principal Remaining</t>
  </si>
  <si>
    <t xml:space="preserve">Fuel Cost </t>
  </si>
  <si>
    <t>Non-fuel Expenses</t>
  </si>
  <si>
    <t>Debt Reserve</t>
  </si>
  <si>
    <t>Depreciation</t>
  </si>
  <si>
    <t>Interest on Debt Reserve</t>
  </si>
  <si>
    <t>Taxes</t>
  </si>
  <si>
    <t>Energy Revenue Required</t>
  </si>
  <si>
    <t>Cost of Money</t>
  </si>
  <si>
    <t>Present Worth (time 0)</t>
  </si>
  <si>
    <t>Total Present Worth</t>
  </si>
  <si>
    <t>Capital Recovery Factor (current)</t>
  </si>
  <si>
    <t>Capital Recovery Factor (constant)</t>
  </si>
  <si>
    <t>Generalized Revenue Requirements Model</t>
  </si>
  <si>
    <t>Capacity Factor (%)</t>
  </si>
  <si>
    <t>Income other than energy</t>
  </si>
  <si>
    <t>Escalation/Inflation</t>
  </si>
  <si>
    <t>Financing</t>
  </si>
  <si>
    <t>Depreciation Schedule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</si>
  <si>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</si>
  <si>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</si>
  <si>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</si>
  <si>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</si>
  <si>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</si>
  <si>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</si>
  <si>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</si>
  <si>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</si>
  <si>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</si>
  <si>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</si>
  <si>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</si>
  <si>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</si>
  <si>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</si>
  <si>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</si>
  <si>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Annual Cash Flows</t>
  </si>
  <si>
    <t>Current $ Level Annual Cost (LAC)</t>
  </si>
  <si>
    <t>Constant $ Level Annual Cost (LAC)</t>
  </si>
  <si>
    <t>Constant $ Level Annual Revenue Requirements ($/y)</t>
  </si>
  <si>
    <t>Current $ Level Annual Revenue Requirements ($/y)</t>
  </si>
  <si>
    <t>Input Cell</t>
  </si>
  <si>
    <t>Result</t>
  </si>
  <si>
    <t>The spreadsheet cells highlighted in green are input cells:</t>
  </si>
  <si>
    <t>Principal results are highlighted in blue:</t>
  </si>
  <si>
    <t>General Inflation (%/y)</t>
  </si>
  <si>
    <t>Escalation--Fuel (%/y)</t>
  </si>
  <si>
    <t>Escalation--Other (%/y)</t>
  </si>
  <si>
    <t>Interest Rate on Debt Reserve (%/y)</t>
  </si>
  <si>
    <t>Interest Rate on Debt (%/y)</t>
  </si>
  <si>
    <t>Cost of equity (%/y)</t>
  </si>
  <si>
    <t>Cost of Money (%/y)</t>
  </si>
  <si>
    <t>Real Cost of Money (inflation adjusted)</t>
  </si>
  <si>
    <t>Capacity Factor:  Annual fraction that rated capacity is available from plant</t>
  </si>
  <si>
    <t>Net Station Efficiency:  Ratio of net energy output from plant to fuel energy input to plant</t>
  </si>
  <si>
    <t>Enter Btu/lb</t>
  </si>
  <si>
    <t>Conversion to kJ/kg</t>
  </si>
  <si>
    <t>=</t>
  </si>
  <si>
    <t>Fuel Heating Value:  Higher heating value (heat of combustion) of fuel expressed on a dry basis input in SI units.  To convert from Btu/lb, see calculator above.</t>
  </si>
  <si>
    <t>Unit Conversions:</t>
  </si>
  <si>
    <t>Enter $/ton</t>
  </si>
  <si>
    <t>Conversion to $/t</t>
  </si>
  <si>
    <t>Fuel Cost:  Cost of fuel in $/dry metric ton, to convert from $/short ton, see calculator above</t>
  </si>
  <si>
    <t>Federal Tax Rate:  For federal tax calculations</t>
  </si>
  <si>
    <t>State Tax Rate:  For state tax calculations</t>
  </si>
  <si>
    <t>Combined Tax Rate:  combined federal and state tax rate to which project is subject</t>
  </si>
  <si>
    <t>Interest Rate on Debt Reserve:  Interest income earned on reserve account if financing institution requires security deposit</t>
  </si>
  <si>
    <t>General Inflation:  Overall inflation rate used to adjust current dollar result to constant dollars.</t>
  </si>
  <si>
    <t>Escalation--Fuel:  Rate at which fuel cost escalates over time</t>
  </si>
  <si>
    <t>Escalation--Other:  Rate at which other expenses escalate over time</t>
  </si>
  <si>
    <t>Debt ratio:  Fraction of financing covered by debt borrowing</t>
  </si>
  <si>
    <t>Equity ratio:  Fraction of financing covered by corporate investment</t>
  </si>
  <si>
    <t>Cost of Equity:  Rate of return on equity portion of investment</t>
  </si>
  <si>
    <t>Cost of Money:  Weighted cost of investment for full investment including both debt and equity</t>
  </si>
  <si>
    <t>Capital Recovery Factor:  Factor used to compute level annual cost from present worth</t>
  </si>
  <si>
    <t>Annual Equity Recovery:  Uniform annual revenue required to earn stipulated rate of return on equity</t>
  </si>
  <si>
    <t>Annual Debt Payment:  Uniform annual payment needed to pay off debt</t>
  </si>
  <si>
    <t>Debt Reserve:  Funds placed in reserve account as security deposit.  Sometimes required by financing institution to ensure debt repayment if plant operation is stopped for some period, typically up to one year.</t>
  </si>
  <si>
    <t>Depreciation Schedule:  Fraction of capital asset depreciated in each year</t>
  </si>
  <si>
    <t>This example assumes a 20 year economic life with no salvage value and gives cash flows for each year.</t>
  </si>
  <si>
    <t>$/kWh</t>
  </si>
  <si>
    <t>Annual Fuel Consumption (t/y)</t>
  </si>
  <si>
    <t>Fuel Ash Concentration (%)</t>
  </si>
  <si>
    <t>Fuel Ash Concentration:  Fraction of ash in fuel, percent dry basis</t>
  </si>
  <si>
    <t>Annual Ash Disposal (t/y)</t>
  </si>
  <si>
    <t>Fuel Consumption Rate:  Fuel rate in dry metric tons per hour, to compare short tons per hour, see calculator above.</t>
  </si>
  <si>
    <t>Enter t/h</t>
  </si>
  <si>
    <t>Conversion to tons/hr</t>
  </si>
  <si>
    <t>SI Units</t>
  </si>
  <si>
    <t>Production Tax Credit ($/kWh)</t>
  </si>
  <si>
    <t>Economic Life (y)</t>
  </si>
  <si>
    <t>Fraction</t>
  </si>
  <si>
    <t>Tax Credit Schedule</t>
  </si>
  <si>
    <t>Tax Credit</t>
  </si>
  <si>
    <t>Taxes w/o credit</t>
  </si>
  <si>
    <t>Escalation--PTC:  Specified index for production tax credit</t>
  </si>
  <si>
    <t>Net Station Electrical Efficiency (%)</t>
  </si>
  <si>
    <t>Total Facility Capital Cost ($)</t>
  </si>
  <si>
    <t>Capital Cost</t>
  </si>
  <si>
    <t>Total heat production rate (kWth)</t>
  </si>
  <si>
    <t>Recovered heat (kWth)</t>
  </si>
  <si>
    <t>Gross Electrical Capacity (kWe)</t>
  </si>
  <si>
    <t>Parasitic Load (kWe)</t>
  </si>
  <si>
    <t>Fuel Power (kW)</t>
  </si>
  <si>
    <t>Capital cost per net electrical capacity ($/kWe)</t>
  </si>
  <si>
    <t>Enter $/MMBtu</t>
  </si>
  <si>
    <t>Annual Net Generation (kWh)</t>
  </si>
  <si>
    <t>Total income from heat sales ($/y)</t>
  </si>
  <si>
    <t>Annual heat sales (kWh/y)</t>
  </si>
  <si>
    <t>See Heat Sales Price Conversion calculator above for conversion from $/MMBtu</t>
  </si>
  <si>
    <t>Escalation--Sales price of heat:  escalation rate applied to heat sales</t>
  </si>
  <si>
    <t>Electricity Capacity Payment ($/kW-y)</t>
  </si>
  <si>
    <t>Fraction of total heat production available for sale</t>
  </si>
  <si>
    <t>Total heat production rate equal to fuel power less gross electrical power</t>
  </si>
  <si>
    <t>Recovered heat production rate</t>
  </si>
  <si>
    <t>Total annual heat energy sales</t>
  </si>
  <si>
    <t>Example:  Biomass Combined Heat and Power (CHP)</t>
  </si>
  <si>
    <t>Capital Cost: Total installed cost of plant including electrical plus heat recovery and distribution</t>
  </si>
  <si>
    <t>Net Electrical Capacity (kWe)</t>
  </si>
  <si>
    <t>Net Electrical Capacity:  Size of plant based on net power output to grid or sales</t>
  </si>
  <si>
    <t xml:space="preserve">Gross Electrical Capacity:  Total gross generating capacity </t>
  </si>
  <si>
    <t>Parasitic Load:  Electrical power used to operate facility</t>
  </si>
  <si>
    <t>Economic Life:  Example assumes 20 year economic life</t>
  </si>
  <si>
    <t>MACRS--5 year</t>
  </si>
  <si>
    <t>MACRS--10 year</t>
  </si>
  <si>
    <t>Straight Line--20 year</t>
  </si>
  <si>
    <t>Gross Station Electrical Efficiency (%)</t>
  </si>
  <si>
    <t>Overall CHP Efficiency--Gross (%)</t>
  </si>
  <si>
    <t>Overall CHP Efficiency--Net (%)</t>
  </si>
  <si>
    <t>Aggregate sales price for heat ($/kWh)</t>
  </si>
  <si>
    <t>Aggregate fraction of heat recovered (%)</t>
  </si>
  <si>
    <t>Labor Cost ($/y)</t>
  </si>
  <si>
    <t>Maintenance Cost ($/y)</t>
  </si>
  <si>
    <t>Insurance/Property Tax ($/y)</t>
  </si>
  <si>
    <t>Utilities ($/y)</t>
  </si>
  <si>
    <t>Ash Disposal ($/y)--use negative value for sales</t>
  </si>
  <si>
    <t>Management/Administration ($/y)</t>
  </si>
  <si>
    <t>Other Operating Expenses ($/y)</t>
  </si>
  <si>
    <t>($/kWh-net electrical)</t>
  </si>
  <si>
    <t>Total Non-Fuel Expenses ($/y)</t>
  </si>
  <si>
    <t>Expenses--base year</t>
  </si>
  <si>
    <t>This simplified model computes both the current $ and constant $ level annual cost of electricity for a model biomass CHP facility</t>
  </si>
  <si>
    <t>Heat income per unit net electrical energy ($/kWh-net)</t>
  </si>
  <si>
    <t>Electrical and Fuel--base year</t>
  </si>
  <si>
    <t>Heat--base year</t>
  </si>
  <si>
    <t>Labor Cost:  Cost of labor to operate facility</t>
  </si>
  <si>
    <t>Maintenance Cost:  Cost of maintaining the plant</t>
  </si>
  <si>
    <t>Insurance/Property Tax:  Cost of insurance for the plant plus any property or other local taxes</t>
  </si>
  <si>
    <t>Ash Disposal:  Cost of ash disposal from plant, use negative value when ash is sold at value</t>
  </si>
  <si>
    <t>Management/Administration:  Cost for administrative personnel and other administration</t>
  </si>
  <si>
    <t>Tax Credit Schedule:  Fraction = 1 if received in year, 0 if not</t>
  </si>
  <si>
    <t>Utilities:  Purchased utilities including power, gas, water, waste disposal</t>
  </si>
  <si>
    <t>Other Operating Expenses:  All other expenses for operating the plant, for example natural gas not included in utilities, chemicals, or additives</t>
  </si>
  <si>
    <t>--</t>
  </si>
  <si>
    <t>Current $ LAC of Electrical Energy ($/kWh)</t>
  </si>
  <si>
    <t>Constant $ LAC of Electrical Energy ($/kWh)</t>
  </si>
  <si>
    <t>Total Expenses Including Fuel ($/y)</t>
  </si>
  <si>
    <t>Production Tax Credit on Electrical Energy</t>
  </si>
  <si>
    <t>Income--Capacity</t>
  </si>
  <si>
    <t>Conventional</t>
  </si>
  <si>
    <t>Capacity Payment:  Payment made from power purchaser if plant can guarantee capacity (depends on contract)</t>
  </si>
  <si>
    <t>Escalation for Production Tax Credit (%/y)</t>
  </si>
  <si>
    <t>Escalation--Heat sales (%/y)</t>
  </si>
  <si>
    <t>Capital costs shown are for example only.  Actual costs may vary.</t>
  </si>
  <si>
    <t>Heat Sales Price Conversion:</t>
  </si>
  <si>
    <t>Fraction in Year</t>
  </si>
  <si>
    <t>Case</t>
  </si>
  <si>
    <t>Base</t>
  </si>
  <si>
    <t>($)</t>
  </si>
  <si>
    <t>Relative Change</t>
  </si>
  <si>
    <t>(%)</t>
  </si>
  <si>
    <t>LAC Constant</t>
  </si>
  <si>
    <t>($/kWh)</t>
  </si>
  <si>
    <t>LAC Current</t>
  </si>
  <si>
    <t>Sensitivity Analysis</t>
  </si>
  <si>
    <t>Formula Values</t>
  </si>
  <si>
    <t>Fuel Cost</t>
  </si>
  <si>
    <t>($/t)</t>
  </si>
  <si>
    <t>Heat Price</t>
  </si>
  <si>
    <t>Debt Ratio</t>
  </si>
  <si>
    <t>Efficiency</t>
  </si>
  <si>
    <t>Net Station Efficiency:  heat sales price =</t>
  </si>
  <si>
    <t>Debt Interest Rate</t>
  </si>
  <si>
    <t>Cost of Equity</t>
  </si>
  <si>
    <t>Capacity Factor</t>
  </si>
  <si>
    <t>COE Current</t>
  </si>
  <si>
    <t>COE Constant</t>
  </si>
  <si>
    <t>Relative Change in COE</t>
  </si>
  <si>
    <t>Enter base, minimum, and maximum values in input cells</t>
  </si>
  <si>
    <t>Interest Rate on Debt:  Interest rate applied to debt portion of investment.  Value must be non-zero.</t>
  </si>
  <si>
    <t>Diff</t>
  </si>
  <si>
    <t>different variables from generic-power-only are hightlighted in:</t>
  </si>
  <si>
    <t>Income--Heat</t>
  </si>
  <si>
    <t>Moisture content on a wet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</si>
</sst>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0.000"/>
    <numFmt numFmtId="166" formatCode="0.0"/>
    <numFmt numFmtId="167" formatCode="#,##0.0"/>
    <numFmt numFmtId="168" formatCode="0.00000"/>
    <numFmt numFmtId="169" formatCode="#,##0.0000"/>
    <numFmt numFmtId="177" formatCode="0.000000000"/>
  </numFmts>
  <fonts count="7">
    <font>
      <sz val="9"/>
      <name val="Helv"/>
    </font>
    <font>
      <sz val="10"/>
      <name val="Geneva"/>
    </font>
    <font>
      <sz val="16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b/>
      <i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" fontId="1" fillId="0" borderId="0" applyFont="0" applyFill="0" applyBorder="0" applyAlignment="0" applyProtection="0"/>
  </cellStyleXfs>
  <cellXfs count="14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3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 applyProtection="1">
      <protection locked="0"/>
    </xf>
    <xf numFmtId="2" fontId="3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Protection="1">
      <protection locked="0"/>
    </xf>
    <xf numFmtId="3" fontId="3" fillId="0" borderId="1" xfId="0" applyNumberFormat="1" applyFont="1" applyBorder="1"/>
    <xf numFmtId="0" fontId="3" fillId="2" borderId="2" xfId="0" applyFont="1" applyFill="1" applyBorder="1"/>
    <xf numFmtId="3" fontId="3" fillId="2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/>
    <xf numFmtId="2" fontId="3" fillId="2" borderId="2" xfId="0" applyNumberFormat="1" applyFont="1" applyFill="1" applyBorder="1" applyProtection="1">
      <protection locked="0"/>
    </xf>
    <xf numFmtId="0" fontId="3" fillId="2" borderId="2" xfId="0" applyFont="1" applyFill="1" applyBorder="1" applyProtection="1">
      <protection locked="0"/>
    </xf>
    <xf numFmtId="2" fontId="3" fillId="0" borderId="1" xfId="0" applyNumberFormat="1" applyFont="1" applyBorder="1"/>
    <xf numFmtId="0" fontId="3" fillId="0" borderId="0" xfId="0" applyFont="1" applyFill="1" applyBorder="1"/>
    <xf numFmtId="0" fontId="4" fillId="0" borderId="1" xfId="0" applyFont="1" applyBorder="1"/>
    <xf numFmtId="164" fontId="3" fillId="2" borderId="2" xfId="0" applyNumberFormat="1" applyFont="1" applyFill="1" applyBorder="1" applyProtection="1">
      <protection locked="0"/>
    </xf>
    <xf numFmtId="164" fontId="3" fillId="0" borderId="1" xfId="0" applyNumberFormat="1" applyFont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1" fontId="3" fillId="2" borderId="2" xfId="0" applyNumberFormat="1" applyFont="1" applyFill="1" applyBorder="1" applyProtection="1">
      <protection locked="0"/>
    </xf>
    <xf numFmtId="3" fontId="3" fillId="4" borderId="2" xfId="0" applyNumberFormat="1" applyFont="1" applyFill="1" applyBorder="1"/>
    <xf numFmtId="0" fontId="3" fillId="0" borderId="0" xfId="0" applyFont="1" applyFill="1"/>
    <xf numFmtId="164" fontId="3" fillId="0" borderId="0" xfId="0" applyNumberFormat="1" applyFont="1" applyFill="1"/>
    <xf numFmtId="3" fontId="3" fillId="0" borderId="0" xfId="0" applyNumberFormat="1" applyFont="1" applyFill="1"/>
    <xf numFmtId="165" fontId="3" fillId="2" borderId="2" xfId="0" applyNumberFormat="1" applyFont="1" applyFill="1" applyBorder="1" applyProtection="1">
      <protection locked="0"/>
    </xf>
    <xf numFmtId="1" fontId="3" fillId="2" borderId="2" xfId="0" applyNumberFormat="1" applyFont="1" applyFill="1" applyBorder="1"/>
    <xf numFmtId="0" fontId="3" fillId="0" borderId="0" xfId="0" applyFont="1" applyBorder="1"/>
    <xf numFmtId="3" fontId="3" fillId="0" borderId="0" xfId="0" applyNumberFormat="1" applyFont="1" applyFill="1" applyBorder="1" applyProtection="1">
      <protection locked="0"/>
    </xf>
    <xf numFmtId="0" fontId="4" fillId="0" borderId="0" xfId="0" applyFont="1" applyFill="1" applyBorder="1"/>
    <xf numFmtId="0" fontId="3" fillId="4" borderId="2" xfId="0" applyFont="1" applyFill="1" applyBorder="1"/>
    <xf numFmtId="0" fontId="3" fillId="4" borderId="2" xfId="0" applyFont="1" applyFill="1" applyBorder="1" applyAlignment="1">
      <alignment horizontal="center" vertical="center"/>
    </xf>
    <xf numFmtId="2" fontId="3" fillId="4" borderId="2" xfId="0" applyNumberFormat="1" applyFont="1" applyFill="1" applyBorder="1"/>
    <xf numFmtId="2" fontId="3" fillId="4" borderId="2" xfId="0" applyNumberFormat="1" applyFont="1" applyFill="1" applyBorder="1" applyProtection="1">
      <protection locked="0"/>
    </xf>
    <xf numFmtId="164" fontId="3" fillId="4" borderId="2" xfId="0" applyNumberFormat="1" applyFont="1" applyFill="1" applyBorder="1"/>
    <xf numFmtId="164" fontId="3" fillId="4" borderId="2" xfId="0" applyNumberFormat="1" applyFont="1" applyFill="1" applyBorder="1" applyProtection="1">
      <protection locked="0"/>
    </xf>
    <xf numFmtId="167" fontId="3" fillId="2" borderId="2" xfId="0" applyNumberFormat="1" applyFont="1" applyFill="1" applyBorder="1" applyProtection="1">
      <protection locked="0"/>
    </xf>
    <xf numFmtId="167" fontId="3" fillId="4" borderId="2" xfId="0" applyNumberFormat="1" applyFont="1" applyFill="1" applyBorder="1"/>
    <xf numFmtId="3" fontId="3" fillId="4" borderId="2" xfId="0" applyNumberFormat="1" applyFont="1" applyFill="1" applyBorder="1" applyProtection="1">
      <protection locked="0"/>
    </xf>
    <xf numFmtId="164" fontId="3" fillId="3" borderId="2" xfId="0" applyNumberFormat="1" applyFont="1" applyFill="1" applyBorder="1"/>
    <xf numFmtId="0" fontId="3" fillId="4" borderId="0" xfId="0" applyFont="1" applyFill="1" applyBorder="1"/>
    <xf numFmtId="3" fontId="3" fillId="4" borderId="0" xfId="0" applyNumberFormat="1" applyFont="1" applyFill="1" applyBorder="1"/>
    <xf numFmtId="4" fontId="3" fillId="2" borderId="3" xfId="0" applyNumberFormat="1" applyFont="1" applyFill="1" applyBorder="1" applyProtection="1">
      <protection locked="0"/>
    </xf>
    <xf numFmtId="0" fontId="3" fillId="4" borderId="2" xfId="0" applyFont="1" applyFill="1" applyBorder="1" applyAlignment="1">
      <alignment horizontal="center" wrapText="1"/>
    </xf>
    <xf numFmtId="3" fontId="3" fillId="2" borderId="3" xfId="0" applyNumberFormat="1" applyFont="1" applyFill="1" applyBorder="1" applyProtection="1">
      <protection locked="0"/>
    </xf>
    <xf numFmtId="3" fontId="3" fillId="4" borderId="3" xfId="0" applyNumberFormat="1" applyFont="1" applyFill="1" applyBorder="1"/>
    <xf numFmtId="169" fontId="3" fillId="4" borderId="2" xfId="0" applyNumberFormat="1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3" fontId="3" fillId="4" borderId="6" xfId="0" applyNumberFormat="1" applyFont="1" applyFill="1" applyBorder="1"/>
    <xf numFmtId="0" fontId="3" fillId="4" borderId="7" xfId="0" applyFont="1" applyFill="1" applyBorder="1"/>
    <xf numFmtId="164" fontId="3" fillId="4" borderId="7" xfId="0" applyNumberFormat="1" applyFont="1" applyFill="1" applyBorder="1"/>
    <xf numFmtId="0" fontId="3" fillId="4" borderId="8" xfId="0" applyFont="1" applyFill="1" applyBorder="1"/>
    <xf numFmtId="3" fontId="3" fillId="4" borderId="8" xfId="0" applyNumberFormat="1" applyFont="1" applyFill="1" applyBorder="1"/>
    <xf numFmtId="0" fontId="3" fillId="5" borderId="2" xfId="0" applyFont="1" applyFill="1" applyBorder="1"/>
    <xf numFmtId="3" fontId="3" fillId="4" borderId="9" xfId="0" applyNumberFormat="1" applyFont="1" applyFill="1" applyBorder="1"/>
    <xf numFmtId="3" fontId="3" fillId="4" borderId="10" xfId="0" applyNumberFormat="1" applyFont="1" applyFill="1" applyBorder="1"/>
    <xf numFmtId="3" fontId="3" fillId="4" borderId="11" xfId="0" applyNumberFormat="1" applyFont="1" applyFill="1" applyBorder="1"/>
    <xf numFmtId="3" fontId="3" fillId="4" borderId="1" xfId="0" applyNumberFormat="1" applyFont="1" applyFill="1" applyBorder="1"/>
    <xf numFmtId="0" fontId="3" fillId="4" borderId="1" xfId="0" applyFont="1" applyFill="1" applyBorder="1"/>
    <xf numFmtId="0" fontId="3" fillId="5" borderId="2" xfId="0" applyFont="1" applyFill="1" applyBorder="1" applyAlignment="1">
      <alignment horizontal="right"/>
    </xf>
    <xf numFmtId="3" fontId="3" fillId="4" borderId="7" xfId="0" applyNumberFormat="1" applyFont="1" applyFill="1" applyBorder="1"/>
    <xf numFmtId="3" fontId="3" fillId="4" borderId="12" xfId="0" applyNumberFormat="1" applyFont="1" applyFill="1" applyBorder="1"/>
    <xf numFmtId="3" fontId="3" fillId="4" borderId="12" xfId="0" quotePrefix="1" applyNumberFormat="1" applyFont="1" applyFill="1" applyBorder="1" applyAlignment="1">
      <alignment horizontal="right"/>
    </xf>
    <xf numFmtId="0" fontId="3" fillId="4" borderId="12" xfId="0" applyFont="1" applyFill="1" applyBorder="1"/>
    <xf numFmtId="0" fontId="3" fillId="0" borderId="3" xfId="0" applyFont="1" applyBorder="1"/>
    <xf numFmtId="0" fontId="3" fillId="0" borderId="13" xfId="0" applyFont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3" fontId="3" fillId="0" borderId="0" xfId="1" applyNumberFormat="1" applyFont="1" applyFill="1" applyBorder="1" applyAlignment="1">
      <alignment horizontal="center" vertical="center"/>
    </xf>
    <xf numFmtId="0" fontId="3" fillId="0" borderId="0" xfId="0" quotePrefix="1" applyFont="1" applyFill="1" applyBorder="1" applyAlignment="1">
      <alignment horizontal="center" vertical="center"/>
    </xf>
    <xf numFmtId="168" fontId="3" fillId="0" borderId="0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wrapText="1"/>
    </xf>
    <xf numFmtId="0" fontId="3" fillId="3" borderId="15" xfId="0" applyFont="1" applyFill="1" applyBorder="1"/>
    <xf numFmtId="0" fontId="3" fillId="3" borderId="16" xfId="0" applyFont="1" applyFill="1" applyBorder="1" applyAlignment="1">
      <alignment horizontal="center" wrapText="1"/>
    </xf>
    <xf numFmtId="3" fontId="3" fillId="2" borderId="17" xfId="1" applyNumberFormat="1" applyFont="1" applyFill="1" applyBorder="1" applyAlignment="1">
      <alignment horizontal="center"/>
    </xf>
    <xf numFmtId="0" fontId="3" fillId="6" borderId="18" xfId="0" quotePrefix="1" applyFont="1" applyFill="1" applyBorder="1" applyAlignment="1">
      <alignment horizontal="center"/>
    </xf>
    <xf numFmtId="3" fontId="3" fillId="4" borderId="19" xfId="1" applyNumberFormat="1" applyFont="1" applyFill="1" applyBorder="1" applyAlignment="1">
      <alignment horizontal="center"/>
    </xf>
    <xf numFmtId="166" fontId="3" fillId="4" borderId="17" xfId="0" applyNumberFormat="1" applyFont="1" applyFill="1" applyBorder="1" applyAlignment="1">
      <alignment horizontal="center"/>
    </xf>
    <xf numFmtId="166" fontId="3" fillId="2" borderId="19" xfId="0" applyNumberFormat="1" applyFont="1" applyFill="1" applyBorder="1" applyAlignment="1">
      <alignment horizontal="center"/>
    </xf>
    <xf numFmtId="2" fontId="3" fillId="4" borderId="19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6" borderId="18" xfId="0" quotePrefix="1" applyFont="1" applyFill="1" applyBorder="1" applyAlignment="1">
      <alignment horizontal="center" vertical="center"/>
    </xf>
    <xf numFmtId="0" fontId="3" fillId="6" borderId="20" xfId="0" applyFont="1" applyFill="1" applyBorder="1"/>
    <xf numFmtId="0" fontId="3" fillId="6" borderId="21" xfId="0" applyFont="1" applyFill="1" applyBorder="1"/>
    <xf numFmtId="0" fontId="3" fillId="6" borderId="22" xfId="0" applyFont="1" applyFill="1" applyBorder="1"/>
    <xf numFmtId="0" fontId="3" fillId="6" borderId="0" xfId="0" applyFont="1" applyFill="1" applyBorder="1"/>
    <xf numFmtId="0" fontId="3" fillId="6" borderId="23" xfId="0" applyFont="1" applyFill="1" applyBorder="1" applyAlignment="1">
      <alignment horizontal="center"/>
    </xf>
    <xf numFmtId="0" fontId="5" fillId="4" borderId="24" xfId="0" applyFont="1" applyFill="1" applyBorder="1"/>
    <xf numFmtId="2" fontId="3" fillId="2" borderId="17" xfId="0" applyNumberFormat="1" applyFont="1" applyFill="1" applyBorder="1" applyAlignment="1">
      <alignment horizontal="center"/>
    </xf>
    <xf numFmtId="164" fontId="3" fillId="4" borderId="19" xfId="0" applyNumberFormat="1" applyFont="1" applyFill="1" applyBorder="1" applyAlignment="1">
      <alignment horizontal="center"/>
    </xf>
    <xf numFmtId="169" fontId="3" fillId="2" borderId="2" xfId="0" applyNumberFormat="1" applyFont="1" applyFill="1" applyBorder="1"/>
    <xf numFmtId="0" fontId="4" fillId="6" borderId="26" xfId="0" applyFont="1" applyFill="1" applyBorder="1" applyAlignment="1">
      <alignment vertical="top"/>
    </xf>
    <xf numFmtId="0" fontId="4" fillId="6" borderId="26" xfId="0" applyFont="1" applyFill="1" applyBorder="1"/>
    <xf numFmtId="0" fontId="4" fillId="0" borderId="3" xfId="0" applyFont="1" applyBorder="1"/>
    <xf numFmtId="0" fontId="3" fillId="0" borderId="13" xfId="0" applyFont="1" applyBorder="1" applyAlignment="1">
      <alignment horizontal="right" wrapText="1"/>
    </xf>
    <xf numFmtId="0" fontId="6" fillId="0" borderId="1" xfId="0" applyFont="1" applyBorder="1"/>
    <xf numFmtId="3" fontId="5" fillId="6" borderId="20" xfId="0" applyNumberFormat="1" applyFont="1" applyFill="1" applyBorder="1" applyAlignment="1"/>
    <xf numFmtId="3" fontId="5" fillId="6" borderId="26" xfId="0" applyNumberFormat="1" applyFont="1" applyFill="1" applyBorder="1" applyAlignment="1"/>
    <xf numFmtId="0" fontId="3" fillId="6" borderId="23" xfId="0" applyFont="1" applyFill="1" applyBorder="1" applyAlignment="1">
      <alignment horizontal="center" wrapText="1"/>
    </xf>
    <xf numFmtId="0" fontId="3" fillId="3" borderId="23" xfId="0" applyFont="1" applyFill="1" applyBorder="1" applyAlignment="1">
      <alignment horizontal="center"/>
    </xf>
    <xf numFmtId="3" fontId="3" fillId="4" borderId="23" xfId="0" applyNumberFormat="1" applyFont="1" applyFill="1" applyBorder="1" applyAlignment="1">
      <alignment horizontal="center"/>
    </xf>
    <xf numFmtId="3" fontId="3" fillId="4" borderId="27" xfId="0" applyNumberFormat="1" applyFont="1" applyFill="1" applyBorder="1" applyAlignment="1">
      <alignment horizontal="center"/>
    </xf>
    <xf numFmtId="169" fontId="5" fillId="6" borderId="21" xfId="0" applyNumberFormat="1" applyFont="1" applyFill="1" applyBorder="1" applyAlignment="1"/>
    <xf numFmtId="0" fontId="3" fillId="0" borderId="0" xfId="0" applyFont="1" applyAlignment="1">
      <alignment wrapText="1"/>
    </xf>
    <xf numFmtId="0" fontId="3" fillId="6" borderId="22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164" fontId="3" fillId="3" borderId="0" xfId="0" applyNumberFormat="1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6" fontId="3" fillId="2" borderId="2" xfId="0" applyNumberFormat="1" applyFont="1" applyFill="1" applyBorder="1" applyAlignment="1">
      <alignment horizontal="center"/>
    </xf>
    <xf numFmtId="4" fontId="3" fillId="4" borderId="0" xfId="0" applyNumberFormat="1" applyFont="1" applyFill="1" applyBorder="1" applyAlignment="1">
      <alignment horizontal="center"/>
    </xf>
    <xf numFmtId="169" fontId="3" fillId="4" borderId="0" xfId="0" applyNumberFormat="1" applyFont="1" applyFill="1" applyBorder="1" applyAlignment="1">
      <alignment horizontal="center"/>
    </xf>
    <xf numFmtId="167" fontId="3" fillId="4" borderId="0" xfId="0" applyNumberFormat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0" fontId="3" fillId="7" borderId="28" xfId="0" applyFont="1" applyFill="1" applyBorder="1" applyAlignment="1">
      <alignment horizontal="center"/>
    </xf>
    <xf numFmtId="3" fontId="3" fillId="4" borderId="29" xfId="0" applyNumberFormat="1" applyFont="1" applyFill="1" applyBorder="1" applyAlignment="1">
      <alignment horizontal="center"/>
    </xf>
    <xf numFmtId="3" fontId="3" fillId="2" borderId="18" xfId="0" applyNumberFormat="1" applyFont="1" applyFill="1" applyBorder="1" applyAlignment="1">
      <alignment horizontal="center"/>
    </xf>
    <xf numFmtId="164" fontId="3" fillId="4" borderId="29" xfId="0" applyNumberFormat="1" applyFont="1" applyFill="1" applyBorder="1" applyAlignment="1">
      <alignment horizontal="center"/>
    </xf>
    <xf numFmtId="2" fontId="3" fillId="2" borderId="18" xfId="0" applyNumberFormat="1" applyFont="1" applyFill="1" applyBorder="1" applyAlignment="1">
      <alignment horizontal="center"/>
    </xf>
    <xf numFmtId="169" fontId="3" fillId="2" borderId="18" xfId="0" applyNumberFormat="1" applyFont="1" applyFill="1" applyBorder="1" applyAlignment="1">
      <alignment horizontal="center"/>
    </xf>
    <xf numFmtId="166" fontId="3" fillId="2" borderId="18" xfId="0" applyNumberFormat="1" applyFont="1" applyFill="1" applyBorder="1" applyAlignment="1">
      <alignment horizontal="center"/>
    </xf>
    <xf numFmtId="0" fontId="3" fillId="8" borderId="5" xfId="0" applyFont="1" applyFill="1" applyBorder="1"/>
    <xf numFmtId="3" fontId="3" fillId="0" borderId="0" xfId="0" applyNumberFormat="1" applyFont="1" applyBorder="1"/>
    <xf numFmtId="0" fontId="3" fillId="8" borderId="2" xfId="0" applyFont="1" applyFill="1" applyBorder="1"/>
    <xf numFmtId="0" fontId="4" fillId="8" borderId="0" xfId="0" applyFont="1" applyFill="1"/>
    <xf numFmtId="0" fontId="3" fillId="4" borderId="30" xfId="0" applyFont="1" applyFill="1" applyBorder="1"/>
    <xf numFmtId="0" fontId="3" fillId="8" borderId="2" xfId="0" applyFont="1" applyFill="1" applyBorder="1" applyAlignment="1">
      <alignment horizontal="center"/>
    </xf>
    <xf numFmtId="9" fontId="3" fillId="0" borderId="0" xfId="0" applyNumberFormat="1" applyFont="1"/>
    <xf numFmtId="3" fontId="5" fillId="6" borderId="26" xfId="0" applyNumberFormat="1" applyFont="1" applyFill="1" applyBorder="1" applyAlignment="1">
      <alignment horizontal="center"/>
    </xf>
    <xf numFmtId="3" fontId="5" fillId="6" borderId="20" xfId="0" applyNumberFormat="1" applyFont="1" applyFill="1" applyBorder="1" applyAlignment="1">
      <alignment horizontal="center"/>
    </xf>
    <xf numFmtId="3" fontId="5" fillId="6" borderId="21" xfId="0" applyNumberFormat="1" applyFont="1" applyFill="1" applyBorder="1" applyAlignment="1">
      <alignment horizontal="center"/>
    </xf>
    <xf numFmtId="177" fontId="5" fillId="4" borderId="25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10876803551609"/>
          <c:y val="3.7520391517128875E-2"/>
          <c:w val="0.86126526082130961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CHP_EconomicExample!$C$193:$C$213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18.571428571428573</c:v>
                </c:pt>
                <c:pt idx="12">
                  <c:v>37.142857142857146</c:v>
                </c:pt>
                <c:pt idx="13">
                  <c:v>55.714285714285715</c:v>
                </c:pt>
                <c:pt idx="14">
                  <c:v>74.285714285714292</c:v>
                </c:pt>
                <c:pt idx="15">
                  <c:v>92.857142857142861</c:v>
                </c:pt>
                <c:pt idx="16">
                  <c:v>111.42857142857143</c:v>
                </c:pt>
                <c:pt idx="17">
                  <c:v>130</c:v>
                </c:pt>
                <c:pt idx="18">
                  <c:v>148.57142857142858</c:v>
                </c:pt>
                <c:pt idx="19">
                  <c:v>167.14285714285714</c:v>
                </c:pt>
                <c:pt idx="20">
                  <c:v>185.71428571428572</c:v>
                </c:pt>
              </c:numCache>
            </c:numRef>
          </c:xVal>
          <c:yVal>
            <c:numRef>
              <c:f>CHP_EconomicExample!$F$193:$F$213</c:f>
              <c:numCache>
                <c:formatCode>0.0000</c:formatCode>
                <c:ptCount val="21"/>
                <c:pt idx="0">
                  <c:v>2.6666581222568889E-2</c:v>
                </c:pt>
                <c:pt idx="1">
                  <c:v>3.0411393926449523E-2</c:v>
                </c:pt>
                <c:pt idx="2">
                  <c:v>3.4156206630330144E-2</c:v>
                </c:pt>
                <c:pt idx="3">
                  <c:v>3.7901019334210785E-2</c:v>
                </c:pt>
                <c:pt idx="4">
                  <c:v>4.164583203809142E-2</c:v>
                </c:pt>
                <c:pt idx="5">
                  <c:v>4.539064474197204E-2</c:v>
                </c:pt>
                <c:pt idx="6">
                  <c:v>4.9135457445852661E-2</c:v>
                </c:pt>
                <c:pt idx="7">
                  <c:v>5.2880270149733288E-2</c:v>
                </c:pt>
                <c:pt idx="8">
                  <c:v>5.662508285361393E-2</c:v>
                </c:pt>
                <c:pt idx="9">
                  <c:v>6.036989555749453E-2</c:v>
                </c:pt>
                <c:pt idx="10">
                  <c:v>6.4114708261375164E-2</c:v>
                </c:pt>
                <c:pt idx="11">
                  <c:v>7.1069360425724912E-2</c:v>
                </c:pt>
                <c:pt idx="12">
                  <c:v>7.8024012590074618E-2</c:v>
                </c:pt>
                <c:pt idx="13">
                  <c:v>8.4978664754424366E-2</c:v>
                </c:pt>
                <c:pt idx="14">
                  <c:v>9.19333169187741E-2</c:v>
                </c:pt>
                <c:pt idx="15">
                  <c:v>9.8887969083123889E-2</c:v>
                </c:pt>
                <c:pt idx="16">
                  <c:v>0.1058426212474736</c:v>
                </c:pt>
                <c:pt idx="17">
                  <c:v>0.11279727341182334</c:v>
                </c:pt>
                <c:pt idx="18">
                  <c:v>0.11975192557617302</c:v>
                </c:pt>
                <c:pt idx="19">
                  <c:v>0.1267065777405228</c:v>
                </c:pt>
                <c:pt idx="20">
                  <c:v>0.1336612299048725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3-4A43-BB80-B2AF2ACCB4FB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CHP_EconomicExample!$J$193:$J$213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CHP_EconomicExample!$M$193:$M$213</c:f>
              <c:numCache>
                <c:formatCode>0.0000</c:formatCode>
                <c:ptCount val="21"/>
                <c:pt idx="0">
                  <c:v>2.2333051682380149E-2</c:v>
                </c:pt>
                <c:pt idx="1">
                  <c:v>2.6511217340279641E-2</c:v>
                </c:pt>
                <c:pt idx="2">
                  <c:v>3.0689382998179155E-2</c:v>
                </c:pt>
                <c:pt idx="3">
                  <c:v>3.4867548656078648E-2</c:v>
                </c:pt>
                <c:pt idx="4">
                  <c:v>3.9045714313978158E-2</c:v>
                </c:pt>
                <c:pt idx="5">
                  <c:v>4.3223879971877648E-2</c:v>
                </c:pt>
                <c:pt idx="6">
                  <c:v>4.7402045629777158E-2</c:v>
                </c:pt>
                <c:pt idx="7">
                  <c:v>5.1580211287676654E-2</c:v>
                </c:pt>
                <c:pt idx="8">
                  <c:v>5.5758376945576171E-2</c:v>
                </c:pt>
                <c:pt idx="9">
                  <c:v>5.9936542603475661E-2</c:v>
                </c:pt>
                <c:pt idx="10">
                  <c:v>6.4114708261375164E-2</c:v>
                </c:pt>
                <c:pt idx="11">
                  <c:v>7.8885139691455275E-2</c:v>
                </c:pt>
                <c:pt idx="12">
                  <c:v>9.3655571121535344E-2</c:v>
                </c:pt>
                <c:pt idx="13">
                  <c:v>0.10842600255161544</c:v>
                </c:pt>
                <c:pt idx="14">
                  <c:v>0.12319643398169557</c:v>
                </c:pt>
                <c:pt idx="15">
                  <c:v>0.13796686541177569</c:v>
                </c:pt>
                <c:pt idx="16">
                  <c:v>0.15273729684185577</c:v>
                </c:pt>
                <c:pt idx="17">
                  <c:v>0.16750772827193586</c:v>
                </c:pt>
                <c:pt idx="18">
                  <c:v>0.182278159702016</c:v>
                </c:pt>
                <c:pt idx="19">
                  <c:v>0.19704859113209611</c:v>
                </c:pt>
                <c:pt idx="20">
                  <c:v>0.21181902256217616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23-4A43-BB80-B2AF2ACCB4FB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CHP_EconomicExample!$X$193:$X$213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3.3333333333333335</c:v>
                </c:pt>
                <c:pt idx="12">
                  <c:v>6.666666666666667</c:v>
                </c:pt>
                <c:pt idx="13">
                  <c:v>10</c:v>
                </c:pt>
                <c:pt idx="14">
                  <c:v>13.333333333333334</c:v>
                </c:pt>
                <c:pt idx="15">
                  <c:v>16.666666666666664</c:v>
                </c:pt>
                <c:pt idx="16">
                  <c:v>20</c:v>
                </c:pt>
                <c:pt idx="17">
                  <c:v>23.333333333333332</c:v>
                </c:pt>
                <c:pt idx="18">
                  <c:v>26.666666666666668</c:v>
                </c:pt>
                <c:pt idx="19">
                  <c:v>30</c:v>
                </c:pt>
                <c:pt idx="20">
                  <c:v>33.333333333333329</c:v>
                </c:pt>
              </c:numCache>
            </c:numRef>
          </c:xVal>
          <c:yVal>
            <c:numRef>
              <c:f>CHP_EconomicExample!$AA$193:$AA$213</c:f>
              <c:numCache>
                <c:formatCode>0.0000</c:formatCode>
                <c:ptCount val="21"/>
                <c:pt idx="0">
                  <c:v>0.10019792922040867</c:v>
                </c:pt>
                <c:pt idx="1">
                  <c:v>9.6589607124505317E-2</c:v>
                </c:pt>
                <c:pt idx="2">
                  <c:v>9.2981285028601993E-2</c:v>
                </c:pt>
                <c:pt idx="3">
                  <c:v>8.9372962932698655E-2</c:v>
                </c:pt>
                <c:pt idx="4">
                  <c:v>8.5764640836795261E-2</c:v>
                </c:pt>
                <c:pt idx="5">
                  <c:v>8.2156318740891909E-2</c:v>
                </c:pt>
                <c:pt idx="6">
                  <c:v>7.8547996644988557E-2</c:v>
                </c:pt>
                <c:pt idx="7">
                  <c:v>7.493967454908522E-2</c:v>
                </c:pt>
                <c:pt idx="8">
                  <c:v>7.1331352453181868E-2</c:v>
                </c:pt>
                <c:pt idx="9">
                  <c:v>6.7723030357278516E-2</c:v>
                </c:pt>
                <c:pt idx="10">
                  <c:v>6.4114708261375164E-2</c:v>
                </c:pt>
                <c:pt idx="11">
                  <c:v>6.2911934229407399E-2</c:v>
                </c:pt>
                <c:pt idx="12">
                  <c:v>6.1709160197439605E-2</c:v>
                </c:pt>
                <c:pt idx="13">
                  <c:v>6.0506386165471819E-2</c:v>
                </c:pt>
                <c:pt idx="14">
                  <c:v>5.930361213350404E-2</c:v>
                </c:pt>
                <c:pt idx="15">
                  <c:v>5.8100838101536233E-2</c:v>
                </c:pt>
                <c:pt idx="16">
                  <c:v>5.6898064069568453E-2</c:v>
                </c:pt>
                <c:pt idx="17">
                  <c:v>5.5695290037600688E-2</c:v>
                </c:pt>
                <c:pt idx="18">
                  <c:v>5.4492516005632888E-2</c:v>
                </c:pt>
                <c:pt idx="19">
                  <c:v>5.3289741973665102E-2</c:v>
                </c:pt>
                <c:pt idx="20">
                  <c:v>5.2086967941697336E-2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23-4A43-BB80-B2AF2ACCB4FB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CHP_EconomicExample!$AE$193:$AE$213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CHP_EconomicExample!$AH$193:$AH$213</c:f>
              <c:numCache>
                <c:formatCode>0.0000</c:formatCode>
                <c:ptCount val="21"/>
                <c:pt idx="0">
                  <c:v>5.8238967177655449E-2</c:v>
                </c:pt>
                <c:pt idx="1">
                  <c:v>5.8753749590815231E-2</c:v>
                </c:pt>
                <c:pt idx="2">
                  <c:v>5.9285080548869759E-2</c:v>
                </c:pt>
                <c:pt idx="3">
                  <c:v>5.9832852333315985E-2</c:v>
                </c:pt>
                <c:pt idx="4">
                  <c:v>6.0396937899199976E-2</c:v>
                </c:pt>
                <c:pt idx="5">
                  <c:v>6.0977191693987964E-2</c:v>
                </c:pt>
                <c:pt idx="6">
                  <c:v>6.1573450532533408E-2</c:v>
                </c:pt>
                <c:pt idx="7">
                  <c:v>6.2185534520414983E-2</c:v>
                </c:pt>
                <c:pt idx="8">
                  <c:v>6.2813248017863005E-2</c:v>
                </c:pt>
                <c:pt idx="9">
                  <c:v>6.3456380636517928E-2</c:v>
                </c:pt>
                <c:pt idx="10">
                  <c:v>6.4114708261375164E-2</c:v>
                </c:pt>
                <c:pt idx="11">
                  <c:v>6.5825423084679049E-2</c:v>
                </c:pt>
                <c:pt idx="12">
                  <c:v>6.7625598226609476E-2</c:v>
                </c:pt>
                <c:pt idx="13">
                  <c:v>6.9510884712248006E-2</c:v>
                </c:pt>
                <c:pt idx="14">
                  <c:v>7.1476680575863719E-2</c:v>
                </c:pt>
                <c:pt idx="15">
                  <c:v>7.3518224377902536E-2</c:v>
                </c:pt>
                <c:pt idx="16">
                  <c:v>7.5630680568183214E-2</c:v>
                </c:pt>
                <c:pt idx="17">
                  <c:v>7.7809215118057995E-2</c:v>
                </c:pt>
                <c:pt idx="18">
                  <c:v>8.0049060539981717E-2</c:v>
                </c:pt>
                <c:pt idx="19">
                  <c:v>8.2345570019319331E-2</c:v>
                </c:pt>
                <c:pt idx="20">
                  <c:v>8.4694260879749572E-2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23-4A43-BB80-B2AF2ACCB4FB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CHP_EconomicExample!$AL$193:$AL$213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CHP_EconomicExample!$AO$193:$AO$213</c:f>
              <c:numCache>
                <c:formatCode>0.0000</c:formatCode>
                <c:ptCount val="21"/>
                <c:pt idx="0">
                  <c:v>5.1395091492137474E-2</c:v>
                </c:pt>
                <c:pt idx="1">
                  <c:v>5.2191448750893626E-2</c:v>
                </c:pt>
                <c:pt idx="2">
                  <c:v>5.3098674079379349E-2</c:v>
                </c:pt>
                <c:pt idx="3">
                  <c:v>5.4117448870640759E-2</c:v>
                </c:pt>
                <c:pt idx="4">
                  <c:v>5.5246700181606372E-2</c:v>
                </c:pt>
                <c:pt idx="5">
                  <c:v>5.6483777403315033E-2</c:v>
                </c:pt>
                <c:pt idx="6">
                  <c:v>5.7824685561044864E-2</c:v>
                </c:pt>
                <c:pt idx="7">
                  <c:v>5.9264351373207208E-2</c:v>
                </c:pt>
                <c:pt idx="8">
                  <c:v>6.0796899401534557E-2</c:v>
                </c:pt>
                <c:pt idx="9">
                  <c:v>6.241591909325462E-2</c:v>
                </c:pt>
                <c:pt idx="10">
                  <c:v>6.4114708261375164E-2</c:v>
                </c:pt>
                <c:pt idx="11">
                  <c:v>6.8666417549558142E-2</c:v>
                </c:pt>
                <c:pt idx="12">
                  <c:v>7.3573577285014041E-2</c:v>
                </c:pt>
                <c:pt idx="13">
                  <c:v>7.8748352215586348E-2</c:v>
                </c:pt>
                <c:pt idx="14">
                  <c:v>8.4119777520671651E-2</c:v>
                </c:pt>
                <c:pt idx="15">
                  <c:v>8.963320025601465E-2</c:v>
                </c:pt>
                <c:pt idx="16">
                  <c:v>9.5247785804530319E-2</c:v>
                </c:pt>
                <c:pt idx="17">
                  <c:v>0.10093356762016603</c:v>
                </c:pt>
                <c:pt idx="18">
                  <c:v>0.10666875824487891</c:v>
                </c:pt>
                <c:pt idx="19">
                  <c:v>0.11243756881959076</c:v>
                </c:pt>
                <c:pt idx="20">
                  <c:v>0.11822854946779465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23-4A43-BB80-B2AF2ACCB4FB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CHP_EconomicExample!$AS$193:$AS$213</c:f>
              <c:numCache>
                <c:formatCode>#,##0</c:formatCode>
                <c:ptCount val="21"/>
                <c:pt idx="0">
                  <c:v>-75</c:v>
                </c:pt>
                <c:pt idx="1">
                  <c:v>-67.5</c:v>
                </c:pt>
                <c:pt idx="2">
                  <c:v>-60</c:v>
                </c:pt>
                <c:pt idx="3">
                  <c:v>-52.5</c:v>
                </c:pt>
                <c:pt idx="4">
                  <c:v>-45</c:v>
                </c:pt>
                <c:pt idx="5">
                  <c:v>-37.5</c:v>
                </c:pt>
                <c:pt idx="6">
                  <c:v>-30</c:v>
                </c:pt>
                <c:pt idx="7">
                  <c:v>-22.5</c:v>
                </c:pt>
                <c:pt idx="8">
                  <c:v>-15</c:v>
                </c:pt>
                <c:pt idx="9">
                  <c:v>-7.5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  <c:pt idx="18">
                  <c:v>120</c:v>
                </c:pt>
                <c:pt idx="19">
                  <c:v>135</c:v>
                </c:pt>
                <c:pt idx="20">
                  <c:v>150</c:v>
                </c:pt>
              </c:numCache>
            </c:numRef>
          </c:xVal>
          <c:yVal>
            <c:numRef>
              <c:f>CHP_EconomicExample!$AV$193:$AV$213</c:f>
              <c:numCache>
                <c:formatCode>0.0000</c:formatCode>
                <c:ptCount val="21"/>
                <c:pt idx="0">
                  <c:v>9.9547826872013551E-2</c:v>
                </c:pt>
                <c:pt idx="1">
                  <c:v>8.8645328837970938E-2</c:v>
                </c:pt>
                <c:pt idx="2">
                  <c:v>8.1831267566694357E-2</c:v>
                </c:pt>
                <c:pt idx="3">
                  <c:v>7.7169015117926135E-2</c:v>
                </c:pt>
                <c:pt idx="4">
                  <c:v>7.3778286064276513E-2</c:v>
                </c:pt>
                <c:pt idx="5">
                  <c:v>7.1201331983502814E-2</c:v>
                </c:pt>
                <c:pt idx="6">
                  <c:v>6.9176582348609211E-2</c:v>
                </c:pt>
                <c:pt idx="7">
                  <c:v>6.7543719739824051E-2</c:v>
                </c:pt>
                <c:pt idx="8">
                  <c:v>6.6199009356118596E-2</c:v>
                </c:pt>
                <c:pt idx="9">
                  <c:v>6.5072360115716765E-2</c:v>
                </c:pt>
                <c:pt idx="10">
                  <c:v>6.4114708261375164E-2</c:v>
                </c:pt>
                <c:pt idx="11">
                  <c:v>6.2574137886999587E-2</c:v>
                </c:pt>
                <c:pt idx="12">
                  <c:v>6.1389083752864525E-2</c:v>
                </c:pt>
                <c:pt idx="13">
                  <c:v>6.044921323268844E-2</c:v>
                </c:pt>
                <c:pt idx="14">
                  <c:v>5.9685568435045348E-2</c:v>
                </c:pt>
                <c:pt idx="15">
                  <c:v>5.9052834174141124E-2</c:v>
                </c:pt>
                <c:pt idx="16">
                  <c:v>5.8520005322853327E-2</c:v>
                </c:pt>
                <c:pt idx="17">
                  <c:v>5.8065151425412527E-2</c:v>
                </c:pt>
                <c:pt idx="18">
                  <c:v>5.7672323059440922E-2</c:v>
                </c:pt>
                <c:pt idx="19">
                  <c:v>5.7329642995508238E-2</c:v>
                </c:pt>
                <c:pt idx="20">
                  <c:v>5.7028084539247501E-2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E23-4A43-BB80-B2AF2ACCB4FB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CHP_EconomicExample!$AZ$193:$AZ$213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CHP_EconomicExample!$BC$193:$BC$213</c:f>
              <c:numCache>
                <c:formatCode>0.0000</c:formatCode>
                <c:ptCount val="21"/>
                <c:pt idx="0">
                  <c:v>0.11871651871017183</c:v>
                </c:pt>
                <c:pt idx="1">
                  <c:v>0.10828695941096346</c:v>
                </c:pt>
                <c:pt idx="2">
                  <c:v>9.9773033452426052E-2</c:v>
                </c:pt>
                <c:pt idx="3">
                  <c:v>9.2691356720558421E-2</c:v>
                </c:pt>
                <c:pt idx="4">
                  <c:v>8.6708560860877221E-2</c:v>
                </c:pt>
                <c:pt idx="5">
                  <c:v>8.158728760499008E-2</c:v>
                </c:pt>
                <c:pt idx="6">
                  <c:v>7.7153946577505697E-2</c:v>
                </c:pt>
                <c:pt idx="7">
                  <c:v>7.3278648476557823E-2</c:v>
                </c:pt>
                <c:pt idx="8">
                  <c:v>6.986226725598535E-2</c:v>
                </c:pt>
                <c:pt idx="9">
                  <c:v>6.6827841699824697E-2</c:v>
                </c:pt>
                <c:pt idx="10">
                  <c:v>6.4114708261375164E-2</c:v>
                </c:pt>
                <c:pt idx="11">
                  <c:v>6.3273061857540142E-2</c:v>
                </c:pt>
                <c:pt idx="12">
                  <c:v>6.246010794474495E-2</c:v>
                </c:pt>
                <c:pt idx="13">
                  <c:v>6.1674403883775319E-2</c:v>
                </c:pt>
                <c:pt idx="14">
                  <c:v>6.0914602154486006E-2</c:v>
                </c:pt>
                <c:pt idx="15">
                  <c:v>6.0179442643443874E-2</c:v>
                </c:pt>
                <c:pt idx="16">
                  <c:v>5.9467745669988206E-2</c:v>
                </c:pt>
                <c:pt idx="17">
                  <c:v>5.8778405669520722E-2</c:v>
                </c:pt>
                <c:pt idx="18">
                  <c:v>5.8110385462882073E-2</c:v>
                </c:pt>
                <c:pt idx="19">
                  <c:v>5.7462711049339026E-2</c:v>
                </c:pt>
                <c:pt idx="20">
                  <c:v>5.6834466868202267E-2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E23-4A43-BB80-B2AF2ACCB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00784"/>
        <c:axId val="1"/>
      </c:scatterChart>
      <c:valAx>
        <c:axId val="32410078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619311875693672"/>
              <c:y val="0.864600326264274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COE ($/kWh, Constant)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44698205546492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24100784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5094339622641509"/>
          <c:y val="0.92659053833605221"/>
          <c:w val="0.91453940066592676"/>
          <c:h val="0.9967373572593800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49500554938962E-2"/>
          <c:y val="3.7520391517128875E-2"/>
          <c:w val="0.86792452830188682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CHP_EconomicExample!$C$193:$C$213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18.571428571428573</c:v>
                </c:pt>
                <c:pt idx="12">
                  <c:v>37.142857142857146</c:v>
                </c:pt>
                <c:pt idx="13">
                  <c:v>55.714285714285715</c:v>
                </c:pt>
                <c:pt idx="14">
                  <c:v>74.285714285714292</c:v>
                </c:pt>
                <c:pt idx="15">
                  <c:v>92.857142857142861</c:v>
                </c:pt>
                <c:pt idx="16">
                  <c:v>111.42857142857143</c:v>
                </c:pt>
                <c:pt idx="17">
                  <c:v>130</c:v>
                </c:pt>
                <c:pt idx="18">
                  <c:v>148.57142857142858</c:v>
                </c:pt>
                <c:pt idx="19">
                  <c:v>167.14285714285714</c:v>
                </c:pt>
                <c:pt idx="20">
                  <c:v>185.71428571428572</c:v>
                </c:pt>
              </c:numCache>
            </c:numRef>
          </c:xVal>
          <c:yVal>
            <c:numRef>
              <c:f>CHP_EconomicExample!$G$193:$G$213</c:f>
              <c:numCache>
                <c:formatCode>#,##0</c:formatCode>
                <c:ptCount val="21"/>
                <c:pt idx="0">
                  <c:v>-58.40801284806949</c:v>
                </c:pt>
                <c:pt idx="1">
                  <c:v>-52.567211563262525</c:v>
                </c:pt>
                <c:pt idx="2">
                  <c:v>-46.726410278455589</c:v>
                </c:pt>
                <c:pt idx="3">
                  <c:v>-40.885608993648617</c:v>
                </c:pt>
                <c:pt idx="4">
                  <c:v>-35.04480770884166</c:v>
                </c:pt>
                <c:pt idx="5">
                  <c:v>-29.204006424034723</c:v>
                </c:pt>
                <c:pt idx="6">
                  <c:v>-23.363205139227787</c:v>
                </c:pt>
                <c:pt idx="7">
                  <c:v>-17.522403854420833</c:v>
                </c:pt>
                <c:pt idx="8">
                  <c:v>-11.681602569613865</c:v>
                </c:pt>
                <c:pt idx="9">
                  <c:v>-5.8408012848069593</c:v>
                </c:pt>
                <c:pt idx="10">
                  <c:v>0</c:v>
                </c:pt>
                <c:pt idx="11">
                  <c:v>10.847202386070066</c:v>
                </c:pt>
                <c:pt idx="12">
                  <c:v>21.694404772140064</c:v>
                </c:pt>
                <c:pt idx="13">
                  <c:v>32.541607158210127</c:v>
                </c:pt>
                <c:pt idx="14">
                  <c:v>43.388809544280171</c:v>
                </c:pt>
                <c:pt idx="15">
                  <c:v>54.236011930350301</c:v>
                </c:pt>
                <c:pt idx="16">
                  <c:v>65.083214316420296</c:v>
                </c:pt>
                <c:pt idx="17">
                  <c:v>75.930416702490362</c:v>
                </c:pt>
                <c:pt idx="18">
                  <c:v>86.777619088560314</c:v>
                </c:pt>
                <c:pt idx="19">
                  <c:v>97.624821474630437</c:v>
                </c:pt>
                <c:pt idx="20">
                  <c:v>108.47202386070043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1-4352-B4CA-586B8189E869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CHP_EconomicExample!$J$193:$J$213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CHP_EconomicExample!$N$193:$N$213</c:f>
              <c:numCache>
                <c:formatCode>#,##0</c:formatCode>
                <c:ptCount val="21"/>
                <c:pt idx="0">
                  <c:v>-65.16703844095268</c:v>
                </c:pt>
                <c:pt idx="1">
                  <c:v>-58.650334596857419</c:v>
                </c:pt>
                <c:pt idx="2">
                  <c:v>-52.133630752762137</c:v>
                </c:pt>
                <c:pt idx="3">
                  <c:v>-45.616926908666883</c:v>
                </c:pt>
                <c:pt idx="4">
                  <c:v>-39.100223064571601</c:v>
                </c:pt>
                <c:pt idx="5">
                  <c:v>-32.583519220476354</c:v>
                </c:pt>
                <c:pt idx="6">
                  <c:v>-26.066815376381069</c:v>
                </c:pt>
                <c:pt idx="7">
                  <c:v>-19.550111532285811</c:v>
                </c:pt>
                <c:pt idx="8">
                  <c:v>-13.033407688190518</c:v>
                </c:pt>
                <c:pt idx="9">
                  <c:v>-6.5167038440952698</c:v>
                </c:pt>
                <c:pt idx="10">
                  <c:v>0</c:v>
                </c:pt>
                <c:pt idx="11">
                  <c:v>23.037508600781251</c:v>
                </c:pt>
                <c:pt idx="12">
                  <c:v>46.075017201562439</c:v>
                </c:pt>
                <c:pt idx="13">
                  <c:v>69.112525802343669</c:v>
                </c:pt>
                <c:pt idx="14">
                  <c:v>92.150034403124934</c:v>
                </c:pt>
                <c:pt idx="15">
                  <c:v>115.18754300390621</c:v>
                </c:pt>
                <c:pt idx="16">
                  <c:v>138.22505160468742</c:v>
                </c:pt>
                <c:pt idx="17">
                  <c:v>161.26256020546862</c:v>
                </c:pt>
                <c:pt idx="18">
                  <c:v>184.30006880624993</c:v>
                </c:pt>
                <c:pt idx="19">
                  <c:v>207.33757740703118</c:v>
                </c:pt>
                <c:pt idx="20">
                  <c:v>230.37508600781234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71-4352-B4CA-586B8189E869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CHP_EconomicExample!$X$193:$X$213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3.3333333333333335</c:v>
                </c:pt>
                <c:pt idx="12">
                  <c:v>6.666666666666667</c:v>
                </c:pt>
                <c:pt idx="13">
                  <c:v>10</c:v>
                </c:pt>
                <c:pt idx="14">
                  <c:v>13.333333333333334</c:v>
                </c:pt>
                <c:pt idx="15">
                  <c:v>16.666666666666664</c:v>
                </c:pt>
                <c:pt idx="16">
                  <c:v>20</c:v>
                </c:pt>
                <c:pt idx="17">
                  <c:v>23.333333333333332</c:v>
                </c:pt>
                <c:pt idx="18">
                  <c:v>26.666666666666668</c:v>
                </c:pt>
                <c:pt idx="19">
                  <c:v>30</c:v>
                </c:pt>
                <c:pt idx="20">
                  <c:v>33.333333333333329</c:v>
                </c:pt>
              </c:numCache>
            </c:numRef>
          </c:xVal>
          <c:yVal>
            <c:numRef>
              <c:f>CHP_EconomicExample!$AB$193:$AB$213</c:f>
              <c:numCache>
                <c:formatCode>#,##0</c:formatCode>
                <c:ptCount val="21"/>
                <c:pt idx="0">
                  <c:v>56.27916267190011</c:v>
                </c:pt>
                <c:pt idx="1">
                  <c:v>50.651246404710093</c:v>
                </c:pt>
                <c:pt idx="2">
                  <c:v>45.023330137520126</c:v>
                </c:pt>
                <c:pt idx="3">
                  <c:v>39.395413870330131</c:v>
                </c:pt>
                <c:pt idx="4">
                  <c:v>33.767497603140058</c:v>
                </c:pt>
                <c:pt idx="5">
                  <c:v>28.139581335950041</c:v>
                </c:pt>
                <c:pt idx="6">
                  <c:v>22.511665068760028</c:v>
                </c:pt>
                <c:pt idx="7">
                  <c:v>16.883748801570039</c:v>
                </c:pt>
                <c:pt idx="8">
                  <c:v>11.255832534380025</c:v>
                </c:pt>
                <c:pt idx="9">
                  <c:v>5.6279162671900123</c:v>
                </c:pt>
                <c:pt idx="10">
                  <c:v>0</c:v>
                </c:pt>
                <c:pt idx="11">
                  <c:v>-1.8759720890633089</c:v>
                </c:pt>
                <c:pt idx="12">
                  <c:v>-3.7519441781266609</c:v>
                </c:pt>
                <c:pt idx="13">
                  <c:v>-5.6279162671900025</c:v>
                </c:pt>
                <c:pt idx="14">
                  <c:v>-7.5038883562533325</c:v>
                </c:pt>
                <c:pt idx="15">
                  <c:v>-9.3798604453167052</c:v>
                </c:pt>
                <c:pt idx="16">
                  <c:v>-11.255832534380037</c:v>
                </c:pt>
                <c:pt idx="17">
                  <c:v>-13.131804623443344</c:v>
                </c:pt>
                <c:pt idx="18">
                  <c:v>-15.007776712506708</c:v>
                </c:pt>
                <c:pt idx="19">
                  <c:v>-16.88374880157005</c:v>
                </c:pt>
                <c:pt idx="20">
                  <c:v>-18.759720890633357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71-4352-B4CA-586B8189E869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CHP_EconomicExample!$AE$193:$AE$213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CHP_EconomicExample!$AI$193:$AI$213</c:f>
              <c:numCache>
                <c:formatCode>#,##0</c:formatCode>
                <c:ptCount val="21"/>
                <c:pt idx="0">
                  <c:v>-9.1644199015399046</c:v>
                </c:pt>
                <c:pt idx="1">
                  <c:v>-8.3615114471160332</c:v>
                </c:pt>
                <c:pt idx="2">
                  <c:v>-7.5327921524910595</c:v>
                </c:pt>
                <c:pt idx="3">
                  <c:v>-6.6784300267006156</c:v>
                </c:pt>
                <c:pt idx="4">
                  <c:v>-5.7986232223330516</c:v>
                </c:pt>
                <c:pt idx="5">
                  <c:v>-4.893598758332562</c:v>
                </c:pt>
                <c:pt idx="6">
                  <c:v>-3.9636111553091076</c:v>
                </c:pt>
                <c:pt idx="7">
                  <c:v>-3.0089409954039827</c:v>
                </c:pt>
                <c:pt idx="8">
                  <c:v>-2.0298934188494191</c:v>
                </c:pt>
                <c:pt idx="9">
                  <c:v>-1.0267965693198577</c:v>
                </c:pt>
                <c:pt idx="10">
                  <c:v>0</c:v>
                </c:pt>
                <c:pt idx="11">
                  <c:v>2.6682096350338962</c:v>
                </c:pt>
                <c:pt idx="12">
                  <c:v>5.4759509330082832</c:v>
                </c:pt>
                <c:pt idx="13">
                  <c:v>8.4164407781040751</c:v>
                </c:pt>
                <c:pt idx="14">
                  <c:v>11.482501463589522</c:v>
                </c:pt>
                <c:pt idx="15">
                  <c:v>14.666706550690744</c:v>
                </c:pt>
                <c:pt idx="16">
                  <c:v>17.961514009954023</c:v>
                </c:pt>
                <c:pt idx="17">
                  <c:v>21.359384185068279</c:v>
                </c:pt>
                <c:pt idx="18">
                  <c:v>24.85288120418063</c:v>
                </c:pt>
                <c:pt idx="19">
                  <c:v>28.434757409521033</c:v>
                </c:pt>
                <c:pt idx="20">
                  <c:v>32.09802115058865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71-4352-B4CA-586B8189E869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CHP_EconomicExample!$AL$193:$AL$213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CHP_EconomicExample!$AP$193:$AP$213</c:f>
              <c:numCache>
                <c:formatCode>#,##0</c:formatCode>
                <c:ptCount val="21"/>
                <c:pt idx="0">
                  <c:v>-19.838843713339351</c:v>
                </c:pt>
                <c:pt idx="1">
                  <c:v>-18.596761700722745</c:v>
                </c:pt>
                <c:pt idx="2">
                  <c:v>-17.181758259098622</c:v>
                </c:pt>
                <c:pt idx="3">
                  <c:v>-15.592770616655971</c:v>
                </c:pt>
                <c:pt idx="4">
                  <c:v>-13.831472247548501</c:v>
                </c:pt>
                <c:pt idx="5">
                  <c:v>-11.901997318542364</c:v>
                </c:pt>
                <c:pt idx="6">
                  <c:v>-9.8105768097514972</c:v>
                </c:pt>
                <c:pt idx="7">
                  <c:v>-7.5651235413793065</c:v>
                </c:pt>
                <c:pt idx="8">
                  <c:v>-5.1748014610235167</c:v>
                </c:pt>
                <c:pt idx="9">
                  <c:v>-2.6496091367913963</c:v>
                </c:pt>
                <c:pt idx="10">
                  <c:v>0</c:v>
                </c:pt>
                <c:pt idx="11">
                  <c:v>7.0993215310707098</c:v>
                </c:pt>
                <c:pt idx="12">
                  <c:v>14.753040729871362</c:v>
                </c:pt>
                <c:pt idx="13">
                  <c:v>22.82416055697313</c:v>
                </c:pt>
                <c:pt idx="14">
                  <c:v>31.201996861222884</c:v>
                </c:pt>
                <c:pt idx="15">
                  <c:v>39.801307198667665</c:v>
                </c:pt>
                <c:pt idx="16">
                  <c:v>48.558401632641846</c:v>
                </c:pt>
                <c:pt idx="17">
                  <c:v>57.4265412059463</c:v>
                </c:pt>
                <c:pt idx="18">
                  <c:v>66.371743921885269</c:v>
                </c:pt>
                <c:pt idx="19">
                  <c:v>75.369383825656271</c:v>
                </c:pt>
                <c:pt idx="20">
                  <c:v>84.401602493166877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71-4352-B4CA-586B8189E869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CHP_EconomicExample!$AS$193:$AS$213</c:f>
              <c:numCache>
                <c:formatCode>#,##0</c:formatCode>
                <c:ptCount val="21"/>
                <c:pt idx="0">
                  <c:v>-75</c:v>
                </c:pt>
                <c:pt idx="1">
                  <c:v>-67.5</c:v>
                </c:pt>
                <c:pt idx="2">
                  <c:v>-60</c:v>
                </c:pt>
                <c:pt idx="3">
                  <c:v>-52.5</c:v>
                </c:pt>
                <c:pt idx="4">
                  <c:v>-45</c:v>
                </c:pt>
                <c:pt idx="5">
                  <c:v>-37.5</c:v>
                </c:pt>
                <c:pt idx="6">
                  <c:v>-30</c:v>
                </c:pt>
                <c:pt idx="7">
                  <c:v>-22.5</c:v>
                </c:pt>
                <c:pt idx="8">
                  <c:v>-15</c:v>
                </c:pt>
                <c:pt idx="9">
                  <c:v>-7.5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  <c:pt idx="18">
                  <c:v>120</c:v>
                </c:pt>
                <c:pt idx="19">
                  <c:v>135</c:v>
                </c:pt>
                <c:pt idx="20">
                  <c:v>150</c:v>
                </c:pt>
              </c:numCache>
            </c:numRef>
          </c:xVal>
          <c:yVal>
            <c:numRef>
              <c:f>CHP_EconomicExample!$AW$193:$AW$213</c:f>
              <c:numCache>
                <c:formatCode>#,##0</c:formatCode>
                <c:ptCount val="21"/>
                <c:pt idx="0">
                  <c:v>55.265195103421341</c:v>
                </c:pt>
                <c:pt idx="1">
                  <c:v>38.260519686983955</c:v>
                </c:pt>
                <c:pt idx="2">
                  <c:v>27.632597551710671</c:v>
                </c:pt>
                <c:pt idx="3">
                  <c:v>20.360861353892052</c:v>
                </c:pt>
                <c:pt idx="4">
                  <c:v>15.072325937296686</c:v>
                </c:pt>
                <c:pt idx="5">
                  <c:v>11.053039020684226</c:v>
                </c:pt>
                <c:pt idx="6">
                  <c:v>7.8950278719173221</c:v>
                </c:pt>
                <c:pt idx="7">
                  <c:v>5.3482446874278899</c:v>
                </c:pt>
                <c:pt idx="8">
                  <c:v>3.2508938296130161</c:v>
                </c:pt>
                <c:pt idx="9">
                  <c:v>1.4936539217141265</c:v>
                </c:pt>
                <c:pt idx="10">
                  <c:v>0</c:v>
                </c:pt>
                <c:pt idx="11">
                  <c:v>-2.4028345697139639</c:v>
                </c:pt>
                <c:pt idx="12">
                  <c:v>-4.2511688541093253</c:v>
                </c:pt>
                <c:pt idx="13">
                  <c:v>-5.7170891486297855</c:v>
                </c:pt>
                <c:pt idx="14">
                  <c:v>-6.9081493879276952</c:v>
                </c:pt>
                <c:pt idx="15">
                  <c:v>-7.8950278719173124</c:v>
                </c:pt>
                <c:pt idx="16">
                  <c:v>-8.7260834373822949</c:v>
                </c:pt>
                <c:pt idx="17">
                  <c:v>-9.4355211152182559</c:v>
                </c:pt>
                <c:pt idx="18">
                  <c:v>-10.048217291531138</c:v>
                </c:pt>
                <c:pt idx="19">
                  <c:v>-10.582696934697704</c:v>
                </c:pt>
                <c:pt idx="20">
                  <c:v>-11.053039020684247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71-4352-B4CA-586B8189E869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CHP_EconomicExample!$AZ$193:$AZ$213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CHP_EconomicExample!$BD$193:$BD$213</c:f>
              <c:numCache>
                <c:formatCode>#,##0</c:formatCode>
                <c:ptCount val="21"/>
                <c:pt idx="0">
                  <c:v>85.162690324040071</c:v>
                </c:pt>
                <c:pt idx="1">
                  <c:v>68.895659587987438</c:v>
                </c:pt>
                <c:pt idx="2">
                  <c:v>55.616450823862905</c:v>
                </c:pt>
                <c:pt idx="3">
                  <c:v>44.571127646226508</c:v>
                </c:pt>
                <c:pt idx="4">
                  <c:v>35.239733927188979</c:v>
                </c:pt>
                <c:pt idx="5">
                  <c:v>27.252060903692797</c:v>
                </c:pt>
                <c:pt idx="6">
                  <c:v>20.337358883352831</c:v>
                </c:pt>
                <c:pt idx="7">
                  <c:v>14.29303893550323</c:v>
                </c:pt>
                <c:pt idx="8">
                  <c:v>8.9644937183200248</c:v>
                </c:pt>
                <c:pt idx="9">
                  <c:v>4.231686475728714</c:v>
                </c:pt>
                <c:pt idx="10">
                  <c:v>0</c:v>
                </c:pt>
                <c:pt idx="11">
                  <c:v>-1.3127196967096835</c:v>
                </c:pt>
                <c:pt idx="12">
                  <c:v>-2.5806875855769911</c:v>
                </c:pt>
                <c:pt idx="13">
                  <c:v>-3.8061537574989877</c:v>
                </c:pt>
                <c:pt idx="14">
                  <c:v>-4.9912199457312498</c:v>
                </c:pt>
                <c:pt idx="15">
                  <c:v>-6.1378515548857679</c:v>
                </c:pt>
                <c:pt idx="16">
                  <c:v>-7.2478885382161877</c:v>
                </c:pt>
                <c:pt idx="17">
                  <c:v>-8.323055249818875</c:v>
                </c:pt>
                <c:pt idx="18">
                  <c:v>-9.3649693827122888</c:v>
                </c:pt>
                <c:pt idx="19">
                  <c:v>-10.375150090238378</c:v>
                </c:pt>
                <c:pt idx="20">
                  <c:v>-11.355025376538688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71-4352-B4CA-586B8189E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08040"/>
        <c:axId val="1"/>
      </c:scatterChart>
      <c:valAx>
        <c:axId val="34950804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286348501664817"/>
              <c:y val="0.864600326264274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in COE (%)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137030995106035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49508040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4761376248612654"/>
          <c:y val="0.92659053833605221"/>
          <c:w val="0.91120976692563826"/>
          <c:h val="0.9967373572593800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>
    <tabColor indexed="12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>
    <tabColor indexed="13"/>
  </sheetPr>
  <sheetViews>
    <sheetView workbookViewId="0"/>
  </sheetViews>
  <pageMargins left="0.75" right="0.75" top="1" bottom="1" header="0.5" footer="0.5"/>
  <headerFooter alignWithMargins="0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10</xdr:row>
      <xdr:rowOff>114300</xdr:rowOff>
    </xdr:from>
    <xdr:to>
      <xdr:col>2</xdr:col>
      <xdr:colOff>552450</xdr:colOff>
      <xdr:row>10</xdr:row>
      <xdr:rowOff>238125</xdr:rowOff>
    </xdr:to>
    <xdr:sp macro="" textlink="">
      <xdr:nvSpPr>
        <xdr:cNvPr id="1183" name="AutoShape 1">
          <a:extLst>
            <a:ext uri="{FF2B5EF4-FFF2-40B4-BE49-F238E27FC236}">
              <a16:creationId xmlns:a16="http://schemas.microsoft.com/office/drawing/2014/main" id="{809AB271-0F70-45C0-BE48-1A59432CEF8D}"/>
            </a:ext>
          </a:extLst>
        </xdr:cNvPr>
        <xdr:cNvSpPr>
          <a:spLocks noChangeArrowheads="1"/>
        </xdr:cNvSpPr>
      </xdr:nvSpPr>
      <xdr:spPr bwMode="auto">
        <a:xfrm>
          <a:off x="4133850" y="208597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190500</xdr:colOff>
      <xdr:row>12</xdr:row>
      <xdr:rowOff>114300</xdr:rowOff>
    </xdr:from>
    <xdr:to>
      <xdr:col>2</xdr:col>
      <xdr:colOff>552450</xdr:colOff>
      <xdr:row>12</xdr:row>
      <xdr:rowOff>238125</xdr:rowOff>
    </xdr:to>
    <xdr:sp macro="" textlink="">
      <xdr:nvSpPr>
        <xdr:cNvPr id="1184" name="AutoShape 2">
          <a:extLst>
            <a:ext uri="{FF2B5EF4-FFF2-40B4-BE49-F238E27FC236}">
              <a16:creationId xmlns:a16="http://schemas.microsoft.com/office/drawing/2014/main" id="{4F949FCF-E74A-4F8F-9CE7-D3A4641FED0F}"/>
            </a:ext>
          </a:extLst>
        </xdr:cNvPr>
        <xdr:cNvSpPr>
          <a:spLocks noChangeArrowheads="1"/>
        </xdr:cNvSpPr>
      </xdr:nvSpPr>
      <xdr:spPr bwMode="auto">
        <a:xfrm>
          <a:off x="4133850" y="2552700"/>
          <a:ext cx="361950" cy="123825"/>
        </a:xfrm>
        <a:prstGeom prst="lef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190500</xdr:colOff>
      <xdr:row>14</xdr:row>
      <xdr:rowOff>114300</xdr:rowOff>
    </xdr:from>
    <xdr:to>
      <xdr:col>2</xdr:col>
      <xdr:colOff>552450</xdr:colOff>
      <xdr:row>14</xdr:row>
      <xdr:rowOff>238125</xdr:rowOff>
    </xdr:to>
    <xdr:sp macro="" textlink="">
      <xdr:nvSpPr>
        <xdr:cNvPr id="1185" name="AutoShape 3">
          <a:extLst>
            <a:ext uri="{FF2B5EF4-FFF2-40B4-BE49-F238E27FC236}">
              <a16:creationId xmlns:a16="http://schemas.microsoft.com/office/drawing/2014/main" id="{6CC0A1D5-9962-4C5D-A790-BBC8A7EEAB76}"/>
            </a:ext>
          </a:extLst>
        </xdr:cNvPr>
        <xdr:cNvSpPr>
          <a:spLocks noChangeArrowheads="1"/>
        </xdr:cNvSpPr>
      </xdr:nvSpPr>
      <xdr:spPr bwMode="auto">
        <a:xfrm>
          <a:off x="4133850" y="301942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190500</xdr:colOff>
      <xdr:row>18</xdr:row>
      <xdr:rowOff>114300</xdr:rowOff>
    </xdr:from>
    <xdr:to>
      <xdr:col>2</xdr:col>
      <xdr:colOff>552450</xdr:colOff>
      <xdr:row>18</xdr:row>
      <xdr:rowOff>238125</xdr:rowOff>
    </xdr:to>
    <xdr:sp macro="" textlink="">
      <xdr:nvSpPr>
        <xdr:cNvPr id="1186" name="AutoShape 4">
          <a:extLst>
            <a:ext uri="{FF2B5EF4-FFF2-40B4-BE49-F238E27FC236}">
              <a16:creationId xmlns:a16="http://schemas.microsoft.com/office/drawing/2014/main" id="{81CA1B14-7BFB-4847-887C-74048D9EEA29}"/>
            </a:ext>
          </a:extLst>
        </xdr:cNvPr>
        <xdr:cNvSpPr>
          <a:spLocks noChangeArrowheads="1"/>
        </xdr:cNvSpPr>
      </xdr:nvSpPr>
      <xdr:spPr bwMode="auto">
        <a:xfrm>
          <a:off x="4133850" y="3810000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752475</xdr:colOff>
      <xdr:row>8</xdr:row>
      <xdr:rowOff>152400</xdr:rowOff>
    </xdr:from>
    <xdr:to>
      <xdr:col>0</xdr:col>
      <xdr:colOff>2571750</xdr:colOff>
      <xdr:row>19</xdr:row>
      <xdr:rowOff>133350</xdr:rowOff>
    </xdr:to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C985A704-5977-412F-A708-1954B41D20AC}"/>
            </a:ext>
          </a:extLst>
        </xdr:cNvPr>
        <xdr:cNvSpPr>
          <a:spLocks noChangeArrowheads="1"/>
        </xdr:cNvSpPr>
      </xdr:nvSpPr>
      <xdr:spPr bwMode="auto">
        <a:xfrm>
          <a:off x="752475" y="1590675"/>
          <a:ext cx="1819275" cy="2543175"/>
        </a:xfrm>
        <a:prstGeom prst="downArrow">
          <a:avLst>
            <a:gd name="adj1" fmla="val 38222"/>
            <a:gd name="adj2" fmla="val 7172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sp>
    <xdr:clientData/>
  </xdr:twoCellAnchor>
  <xdr:twoCellAnchor>
    <xdr:from>
      <xdr:col>2</xdr:col>
      <xdr:colOff>76200</xdr:colOff>
      <xdr:row>191</xdr:row>
      <xdr:rowOff>76200</xdr:rowOff>
    </xdr:from>
    <xdr:to>
      <xdr:col>3</xdr:col>
      <xdr:colOff>714375</xdr:colOff>
      <xdr:row>191</xdr:row>
      <xdr:rowOff>200025</xdr:rowOff>
    </xdr:to>
    <xdr:sp macro="" textlink="">
      <xdr:nvSpPr>
        <xdr:cNvPr id="1188" name="AutoShape 7">
          <a:extLst>
            <a:ext uri="{FF2B5EF4-FFF2-40B4-BE49-F238E27FC236}">
              <a16:creationId xmlns:a16="http://schemas.microsoft.com/office/drawing/2014/main" id="{9D199C01-F974-4F04-A837-BD298A91C644}"/>
            </a:ext>
          </a:extLst>
        </xdr:cNvPr>
        <xdr:cNvSpPr>
          <a:spLocks noChangeArrowheads="1"/>
        </xdr:cNvSpPr>
      </xdr:nvSpPr>
      <xdr:spPr bwMode="auto">
        <a:xfrm>
          <a:off x="4019550" y="31146750"/>
          <a:ext cx="1390650" cy="123825"/>
        </a:xfrm>
        <a:prstGeom prst="rightArrow">
          <a:avLst>
            <a:gd name="adj1" fmla="val 50000"/>
            <a:gd name="adj2" fmla="val 2807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76200</xdr:colOff>
      <xdr:row>191</xdr:row>
      <xdr:rowOff>76200</xdr:rowOff>
    </xdr:from>
    <xdr:to>
      <xdr:col>10</xdr:col>
      <xdr:colOff>714375</xdr:colOff>
      <xdr:row>191</xdr:row>
      <xdr:rowOff>200025</xdr:rowOff>
    </xdr:to>
    <xdr:sp macro="" textlink="">
      <xdr:nvSpPr>
        <xdr:cNvPr id="1189" name="AutoShape 8">
          <a:extLst>
            <a:ext uri="{FF2B5EF4-FFF2-40B4-BE49-F238E27FC236}">
              <a16:creationId xmlns:a16="http://schemas.microsoft.com/office/drawing/2014/main" id="{B91DF8E0-497C-425C-AB94-5EEE863CDE92}"/>
            </a:ext>
          </a:extLst>
        </xdr:cNvPr>
        <xdr:cNvSpPr>
          <a:spLocks noChangeArrowheads="1"/>
        </xdr:cNvSpPr>
      </xdr:nvSpPr>
      <xdr:spPr bwMode="auto">
        <a:xfrm>
          <a:off x="9277350" y="31146750"/>
          <a:ext cx="1200150" cy="123825"/>
        </a:xfrm>
        <a:prstGeom prst="rightArrow">
          <a:avLst>
            <a:gd name="adj1" fmla="val 50000"/>
            <a:gd name="adj2" fmla="val 24230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76200</xdr:colOff>
      <xdr:row>191</xdr:row>
      <xdr:rowOff>76200</xdr:rowOff>
    </xdr:from>
    <xdr:to>
      <xdr:col>17</xdr:col>
      <xdr:colOff>714375</xdr:colOff>
      <xdr:row>191</xdr:row>
      <xdr:rowOff>200025</xdr:rowOff>
    </xdr:to>
    <xdr:sp macro="" textlink="">
      <xdr:nvSpPr>
        <xdr:cNvPr id="1190" name="AutoShape 9">
          <a:extLst>
            <a:ext uri="{FF2B5EF4-FFF2-40B4-BE49-F238E27FC236}">
              <a16:creationId xmlns:a16="http://schemas.microsoft.com/office/drawing/2014/main" id="{FFEC2D38-33B1-4CB9-8D59-939D1EC8233A}"/>
            </a:ext>
          </a:extLst>
        </xdr:cNvPr>
        <xdr:cNvSpPr>
          <a:spLocks noChangeArrowheads="1"/>
        </xdr:cNvSpPr>
      </xdr:nvSpPr>
      <xdr:spPr bwMode="auto">
        <a:xfrm>
          <a:off x="13906500" y="311467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76200</xdr:colOff>
      <xdr:row>191</xdr:row>
      <xdr:rowOff>76200</xdr:rowOff>
    </xdr:from>
    <xdr:to>
      <xdr:col>24</xdr:col>
      <xdr:colOff>714375</xdr:colOff>
      <xdr:row>191</xdr:row>
      <xdr:rowOff>200025</xdr:rowOff>
    </xdr:to>
    <xdr:sp macro="" textlink="">
      <xdr:nvSpPr>
        <xdr:cNvPr id="1191" name="AutoShape 10">
          <a:extLst>
            <a:ext uri="{FF2B5EF4-FFF2-40B4-BE49-F238E27FC236}">
              <a16:creationId xmlns:a16="http://schemas.microsoft.com/office/drawing/2014/main" id="{BD25F28B-623F-4F96-A9F6-3FF74285DC9D}"/>
            </a:ext>
          </a:extLst>
        </xdr:cNvPr>
        <xdr:cNvSpPr>
          <a:spLocks noChangeArrowheads="1"/>
        </xdr:cNvSpPr>
      </xdr:nvSpPr>
      <xdr:spPr bwMode="auto">
        <a:xfrm>
          <a:off x="18935700" y="31146750"/>
          <a:ext cx="1323975" cy="123825"/>
        </a:xfrm>
        <a:prstGeom prst="rightArrow">
          <a:avLst>
            <a:gd name="adj1" fmla="val 50000"/>
            <a:gd name="adj2" fmla="val 26730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44</xdr:col>
      <xdr:colOff>76200</xdr:colOff>
      <xdr:row>191</xdr:row>
      <xdr:rowOff>76200</xdr:rowOff>
    </xdr:from>
    <xdr:to>
      <xdr:col>45</xdr:col>
      <xdr:colOff>714375</xdr:colOff>
      <xdr:row>191</xdr:row>
      <xdr:rowOff>200025</xdr:rowOff>
    </xdr:to>
    <xdr:sp macro="" textlink="">
      <xdr:nvSpPr>
        <xdr:cNvPr id="1192" name="AutoShape 11">
          <a:extLst>
            <a:ext uri="{FF2B5EF4-FFF2-40B4-BE49-F238E27FC236}">
              <a16:creationId xmlns:a16="http://schemas.microsoft.com/office/drawing/2014/main" id="{43EB46D4-74E1-4C77-9CAB-0046827C15DE}"/>
            </a:ext>
          </a:extLst>
        </xdr:cNvPr>
        <xdr:cNvSpPr>
          <a:spLocks noChangeArrowheads="1"/>
        </xdr:cNvSpPr>
      </xdr:nvSpPr>
      <xdr:spPr bwMode="auto">
        <a:xfrm>
          <a:off x="34042350" y="311467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76200</xdr:colOff>
      <xdr:row>191</xdr:row>
      <xdr:rowOff>76200</xdr:rowOff>
    </xdr:from>
    <xdr:to>
      <xdr:col>31</xdr:col>
      <xdr:colOff>714375</xdr:colOff>
      <xdr:row>191</xdr:row>
      <xdr:rowOff>200025</xdr:rowOff>
    </xdr:to>
    <xdr:sp macro="" textlink="">
      <xdr:nvSpPr>
        <xdr:cNvPr id="1193" name="AutoShape 12">
          <a:extLst>
            <a:ext uri="{FF2B5EF4-FFF2-40B4-BE49-F238E27FC236}">
              <a16:creationId xmlns:a16="http://schemas.microsoft.com/office/drawing/2014/main" id="{AA71BDD9-94CC-493A-9548-AC7B5B392BEF}"/>
            </a:ext>
          </a:extLst>
        </xdr:cNvPr>
        <xdr:cNvSpPr>
          <a:spLocks noChangeArrowheads="1"/>
        </xdr:cNvSpPr>
      </xdr:nvSpPr>
      <xdr:spPr bwMode="auto">
        <a:xfrm>
          <a:off x="24441150" y="311467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76200</xdr:colOff>
      <xdr:row>191</xdr:row>
      <xdr:rowOff>76200</xdr:rowOff>
    </xdr:from>
    <xdr:to>
      <xdr:col>38</xdr:col>
      <xdr:colOff>714375</xdr:colOff>
      <xdr:row>191</xdr:row>
      <xdr:rowOff>200025</xdr:rowOff>
    </xdr:to>
    <xdr:sp macro="" textlink="">
      <xdr:nvSpPr>
        <xdr:cNvPr id="1194" name="AutoShape 13">
          <a:extLst>
            <a:ext uri="{FF2B5EF4-FFF2-40B4-BE49-F238E27FC236}">
              <a16:creationId xmlns:a16="http://schemas.microsoft.com/office/drawing/2014/main" id="{0D4572DD-7740-4958-8D1C-15476DE7D872}"/>
            </a:ext>
          </a:extLst>
        </xdr:cNvPr>
        <xdr:cNvSpPr>
          <a:spLocks noChangeArrowheads="1"/>
        </xdr:cNvSpPr>
      </xdr:nvSpPr>
      <xdr:spPr bwMode="auto">
        <a:xfrm>
          <a:off x="29241750" y="311467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76200</xdr:colOff>
      <xdr:row>191</xdr:row>
      <xdr:rowOff>76200</xdr:rowOff>
    </xdr:from>
    <xdr:to>
      <xdr:col>52</xdr:col>
      <xdr:colOff>714375</xdr:colOff>
      <xdr:row>191</xdr:row>
      <xdr:rowOff>200025</xdr:rowOff>
    </xdr:to>
    <xdr:sp macro="" textlink="">
      <xdr:nvSpPr>
        <xdr:cNvPr id="1195" name="AutoShape 14">
          <a:extLst>
            <a:ext uri="{FF2B5EF4-FFF2-40B4-BE49-F238E27FC236}">
              <a16:creationId xmlns:a16="http://schemas.microsoft.com/office/drawing/2014/main" id="{9A783FD0-F401-4DB7-AC62-BBA1961A2395}"/>
            </a:ext>
          </a:extLst>
        </xdr:cNvPr>
        <xdr:cNvSpPr>
          <a:spLocks noChangeArrowheads="1"/>
        </xdr:cNvSpPr>
      </xdr:nvSpPr>
      <xdr:spPr bwMode="auto">
        <a:xfrm>
          <a:off x="38842950" y="311467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B615E-DF0E-45EA-A388-2A9C7DE738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50796-C443-487C-A684-0E21E0C1CC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</sheetPr>
  <dimension ref="A1:BD251"/>
  <sheetViews>
    <sheetView tabSelected="1" topLeftCell="A154" workbookViewId="0">
      <selection activeCell="B180" sqref="B180"/>
    </sheetView>
  </sheetViews>
  <sheetFormatPr defaultColWidth="12" defaultRowHeight="12"/>
  <cols>
    <col min="1" max="1" width="54.83203125" style="2" customWidth="1"/>
    <col min="2" max="2" width="14.1640625" style="2" customWidth="1"/>
    <col min="3" max="3" width="13.1640625" style="2" customWidth="1"/>
    <col min="4" max="4" width="13.83203125" style="2" customWidth="1"/>
    <col min="5" max="5" width="13.33203125" style="2" customWidth="1"/>
    <col min="6" max="6" width="14.33203125" style="2" customWidth="1"/>
    <col min="7" max="7" width="16.5" style="2" customWidth="1"/>
    <col min="8" max="8" width="13.33203125" style="2" customWidth="1"/>
    <col min="9" max="9" width="11.33203125" style="2" customWidth="1"/>
    <col min="10" max="11" width="11.1640625" style="2" customWidth="1"/>
    <col min="12" max="12" width="12" style="2" customWidth="1"/>
    <col min="13" max="13" width="11.1640625" style="2" customWidth="1"/>
    <col min="14" max="15" width="12" style="2" customWidth="1"/>
    <col min="16" max="17" width="11.5" style="2" bestFit="1" customWidth="1"/>
    <col min="18" max="18" width="13.33203125" style="2" customWidth="1"/>
    <col min="19" max="19" width="11.83203125" style="2" customWidth="1"/>
    <col min="20" max="20" width="12" style="2" customWidth="1"/>
    <col min="21" max="21" width="11.5" style="2" bestFit="1" customWidth="1"/>
    <col min="22" max="22" width="15.83203125" style="2" customWidth="1"/>
    <col min="23" max="24" width="12" style="2" customWidth="1"/>
    <col min="25" max="25" width="24.33203125" style="2" customWidth="1"/>
    <col min="26" max="16384" width="12" style="2"/>
  </cols>
  <sheetData>
    <row r="1" spans="1:9" ht="20.25">
      <c r="A1" s="1" t="s">
        <v>47</v>
      </c>
    </row>
    <row r="2" spans="1:9" ht="20.25">
      <c r="A2" s="1" t="s">
        <v>147</v>
      </c>
    </row>
    <row r="4" spans="1:9">
      <c r="A4" s="2" t="s">
        <v>172</v>
      </c>
    </row>
    <row r="5" spans="1:9">
      <c r="A5" s="2" t="s">
        <v>74</v>
      </c>
      <c r="B5" s="21" t="s">
        <v>72</v>
      </c>
    </row>
    <row r="6" spans="1:9">
      <c r="A6" s="2" t="s">
        <v>75</v>
      </c>
      <c r="B6" s="34" t="s">
        <v>73</v>
      </c>
      <c r="D6" s="132" t="s">
        <v>222</v>
      </c>
      <c r="E6" s="30"/>
      <c r="F6" s="30"/>
      <c r="G6" s="30"/>
      <c r="H6" s="136" t="s">
        <v>221</v>
      </c>
    </row>
    <row r="7" spans="1:9">
      <c r="A7" s="2" t="s">
        <v>110</v>
      </c>
    </row>
    <row r="8" spans="1:9" ht="12.75" thickBot="1"/>
    <row r="9" spans="1:9" ht="29.25" customHeight="1">
      <c r="B9" s="95" t="s">
        <v>90</v>
      </c>
      <c r="C9" s="86"/>
      <c r="D9" s="87"/>
    </row>
    <row r="10" spans="1:9" ht="12.75" thickBot="1">
      <c r="B10" s="88" t="s">
        <v>190</v>
      </c>
      <c r="C10" s="89"/>
      <c r="D10" s="90" t="s">
        <v>119</v>
      </c>
      <c r="I10" s="17"/>
    </row>
    <row r="11" spans="1:9" ht="24">
      <c r="B11" s="75" t="s">
        <v>86</v>
      </c>
      <c r="C11" s="76"/>
      <c r="D11" s="77" t="s">
        <v>87</v>
      </c>
      <c r="I11" s="70"/>
    </row>
    <row r="12" spans="1:9" ht="12.75" thickBot="1">
      <c r="B12" s="78">
        <v>8000</v>
      </c>
      <c r="C12" s="79" t="s">
        <v>88</v>
      </c>
      <c r="D12" s="80">
        <f>B12*1.055056/0.4535924</f>
        <v>18608.001368629633</v>
      </c>
      <c r="I12" s="74"/>
    </row>
    <row r="13" spans="1:9" ht="24">
      <c r="B13" s="75" t="s">
        <v>118</v>
      </c>
      <c r="C13" s="76"/>
      <c r="D13" s="77" t="s">
        <v>117</v>
      </c>
      <c r="F13" s="71"/>
      <c r="G13" s="72"/>
      <c r="H13" s="73"/>
      <c r="I13" s="74"/>
    </row>
    <row r="14" spans="1:9" ht="12.75" thickBot="1">
      <c r="B14" s="81">
        <f>D14/0.907</f>
        <v>26.460859977949283</v>
      </c>
      <c r="C14" s="79" t="s">
        <v>88</v>
      </c>
      <c r="D14" s="82">
        <v>24</v>
      </c>
      <c r="F14" s="71"/>
      <c r="G14"/>
      <c r="H14"/>
      <c r="I14" s="74"/>
    </row>
    <row r="15" spans="1:9" ht="24">
      <c r="B15" s="75" t="s">
        <v>91</v>
      </c>
      <c r="C15" s="76"/>
      <c r="D15" s="77" t="s">
        <v>92</v>
      </c>
      <c r="F15" s="71"/>
      <c r="G15" s="72"/>
      <c r="H15" s="73"/>
      <c r="I15" s="74"/>
    </row>
    <row r="16" spans="1:9" ht="12.75" thickBot="1">
      <c r="B16" s="92">
        <v>20</v>
      </c>
      <c r="C16" s="79" t="s">
        <v>88</v>
      </c>
      <c r="D16" s="83">
        <f>B16/0.907</f>
        <v>22.050716648291068</v>
      </c>
      <c r="F16" s="71"/>
      <c r="G16" s="72"/>
      <c r="H16" s="73"/>
      <c r="I16" s="74"/>
    </row>
    <row r="17" spans="1:9" ht="12.75" thickBot="1">
      <c r="F17" s="71"/>
      <c r="G17" s="72"/>
      <c r="H17" s="73"/>
      <c r="I17" s="74"/>
    </row>
    <row r="18" spans="1:9" ht="12.75" thickBot="1">
      <c r="B18" s="96" t="s">
        <v>195</v>
      </c>
      <c r="C18" s="86"/>
      <c r="D18" s="87"/>
      <c r="F18" s="71"/>
      <c r="G18" s="72"/>
      <c r="H18" s="73"/>
      <c r="I18" s="74"/>
    </row>
    <row r="19" spans="1:9" ht="24">
      <c r="B19" s="75" t="s">
        <v>136</v>
      </c>
      <c r="C19" s="76"/>
      <c r="D19" s="84" t="s">
        <v>111</v>
      </c>
      <c r="F19" s="71"/>
      <c r="G19" s="72"/>
      <c r="H19" s="73"/>
      <c r="I19" s="74"/>
    </row>
    <row r="20" spans="1:9" ht="12.75" thickBot="1">
      <c r="B20" s="92">
        <v>3</v>
      </c>
      <c r="C20" s="85" t="s">
        <v>88</v>
      </c>
      <c r="D20" s="93">
        <f>B20/1055*3.6</f>
        <v>1.0236966824644549E-2</v>
      </c>
      <c r="F20" s="71"/>
      <c r="G20" s="72"/>
      <c r="H20" s="73"/>
      <c r="I20" s="74"/>
    </row>
    <row r="21" spans="1:9">
      <c r="B21" s="137">
        <v>0.5</v>
      </c>
      <c r="C21" s="2" t="s">
        <v>224</v>
      </c>
    </row>
    <row r="22" spans="1:9">
      <c r="A22" s="18" t="s">
        <v>129</v>
      </c>
      <c r="B22" s="3"/>
    </row>
    <row r="23" spans="1:9">
      <c r="A23" s="11" t="s">
        <v>128</v>
      </c>
      <c r="B23" s="12">
        <v>70000000</v>
      </c>
      <c r="D23" s="2" t="s">
        <v>148</v>
      </c>
    </row>
    <row r="24" spans="1:9">
      <c r="A24" s="17"/>
      <c r="B24" s="31"/>
      <c r="D24" s="2" t="s">
        <v>194</v>
      </c>
    </row>
    <row r="25" spans="1:9">
      <c r="A25" s="32" t="s">
        <v>174</v>
      </c>
      <c r="B25" s="31"/>
    </row>
    <row r="26" spans="1:9">
      <c r="A26" s="133" t="s">
        <v>132</v>
      </c>
      <c r="B26" s="12">
        <v>28000</v>
      </c>
      <c r="D26" s="2" t="s">
        <v>151</v>
      </c>
    </row>
    <row r="27" spans="1:9">
      <c r="A27" s="11" t="s">
        <v>149</v>
      </c>
      <c r="B27" s="12">
        <v>25000</v>
      </c>
      <c r="D27" s="2" t="s">
        <v>150</v>
      </c>
    </row>
    <row r="28" spans="1:9">
      <c r="A28" s="133" t="s">
        <v>133</v>
      </c>
      <c r="B28" s="41">
        <f>GrossElectricalCapacity-NetElectricalCapacity</f>
        <v>3000</v>
      </c>
      <c r="D28" s="2" t="s">
        <v>152</v>
      </c>
    </row>
    <row r="29" spans="1:9">
      <c r="A29" s="11" t="s">
        <v>48</v>
      </c>
      <c r="B29" s="12">
        <v>85</v>
      </c>
      <c r="D29" s="2" t="s">
        <v>84</v>
      </c>
    </row>
    <row r="30" spans="1:9">
      <c r="A30" s="33" t="s">
        <v>25</v>
      </c>
      <c r="B30" s="24">
        <f>CapacityFactor/100*8760</f>
        <v>7446</v>
      </c>
    </row>
    <row r="31" spans="1:9">
      <c r="A31" s="11" t="s">
        <v>127</v>
      </c>
      <c r="B31" s="39">
        <v>20</v>
      </c>
      <c r="D31" s="2" t="s">
        <v>85</v>
      </c>
    </row>
    <row r="32" spans="1:9">
      <c r="A32" s="11" t="s">
        <v>0</v>
      </c>
      <c r="B32" s="12">
        <v>18608</v>
      </c>
      <c r="C32" s="2">
        <f>FuelHeatingValue*(1-B21)</f>
        <v>9304</v>
      </c>
      <c r="D32" s="2" t="s">
        <v>89</v>
      </c>
    </row>
    <row r="33" spans="1:4">
      <c r="A33" s="33" t="s">
        <v>1</v>
      </c>
      <c r="B33" s="24">
        <f>NetElectricalCapacity/(NetStationElectricalEfficiency/100)*3600/C32/1000</f>
        <v>48.366294067067933</v>
      </c>
      <c r="D33" s="2" t="s">
        <v>116</v>
      </c>
    </row>
    <row r="34" spans="1:4">
      <c r="A34" s="133" t="s">
        <v>134</v>
      </c>
      <c r="B34" s="24">
        <f>FuelConsumptionRate*1000*C32/3600</f>
        <v>125000</v>
      </c>
    </row>
    <row r="35" spans="1:4">
      <c r="A35" s="133" t="s">
        <v>157</v>
      </c>
      <c r="B35" s="40">
        <f>GrossElectricalCapacity/FuelPower*100</f>
        <v>22.400000000000002</v>
      </c>
    </row>
    <row r="36" spans="1:4">
      <c r="A36" s="33" t="s">
        <v>137</v>
      </c>
      <c r="B36" s="24">
        <f>NetElectricalCapacity*AnnualHours</f>
        <v>186150000</v>
      </c>
    </row>
    <row r="37" spans="1:4">
      <c r="A37" s="33" t="s">
        <v>112</v>
      </c>
      <c r="B37" s="24">
        <f>FuelConsumptionRate*AnnualHours</f>
        <v>360135.42562338786</v>
      </c>
    </row>
    <row r="38" spans="1:4">
      <c r="A38" s="33" t="s">
        <v>135</v>
      </c>
      <c r="B38" s="24">
        <f>CapitalCost/NetElectricalCapacity</f>
        <v>2800</v>
      </c>
    </row>
    <row r="39" spans="1:4">
      <c r="A39" s="11" t="s">
        <v>113</v>
      </c>
      <c r="B39" s="13">
        <v>5</v>
      </c>
      <c r="D39" s="2" t="s">
        <v>114</v>
      </c>
    </row>
    <row r="40" spans="1:4">
      <c r="A40" s="33" t="s">
        <v>115</v>
      </c>
      <c r="B40" s="24">
        <f>AnnualFuelConsumption*FuelAshConcentration/100</f>
        <v>18006.771281169393</v>
      </c>
    </row>
    <row r="41" spans="1:4">
      <c r="B41" s="27"/>
    </row>
    <row r="42" spans="1:4">
      <c r="A42" s="134" t="s">
        <v>175</v>
      </c>
      <c r="B42" s="27"/>
    </row>
    <row r="43" spans="1:4">
      <c r="A43" s="33" t="s">
        <v>130</v>
      </c>
      <c r="B43" s="24">
        <f>FuelPower-GrossElectricalCapacity</f>
        <v>97000</v>
      </c>
      <c r="D43" s="2" t="s">
        <v>144</v>
      </c>
    </row>
    <row r="44" spans="1:4">
      <c r="A44" s="11" t="s">
        <v>161</v>
      </c>
      <c r="B44" s="13">
        <v>60</v>
      </c>
      <c r="D44" s="2" t="s">
        <v>143</v>
      </c>
    </row>
    <row r="45" spans="1:4">
      <c r="A45" s="33" t="s">
        <v>131</v>
      </c>
      <c r="B45" s="24">
        <f>TotalHeatProductionRate*AggregateFractionOfHeatRecovered/100</f>
        <v>58200</v>
      </c>
      <c r="D45" s="2" t="s">
        <v>145</v>
      </c>
    </row>
    <row r="46" spans="1:4">
      <c r="A46" s="33" t="s">
        <v>139</v>
      </c>
      <c r="B46" s="24">
        <f>RecoveredHeat*AnnualHours</f>
        <v>433357200</v>
      </c>
      <c r="D46" s="2" t="s">
        <v>146</v>
      </c>
    </row>
    <row r="47" spans="1:4">
      <c r="A47" s="11" t="s">
        <v>160</v>
      </c>
      <c r="B47" s="94">
        <v>1.0200000000000001E-2</v>
      </c>
      <c r="D47" s="2" t="s">
        <v>140</v>
      </c>
    </row>
    <row r="48" spans="1:4">
      <c r="A48" s="33" t="s">
        <v>138</v>
      </c>
      <c r="B48" s="24">
        <f>AnnualHeatSales*AggregateSalesPriceForHeat</f>
        <v>4420243.4400000004</v>
      </c>
    </row>
    <row r="49" spans="1:4">
      <c r="A49" s="33" t="s">
        <v>173</v>
      </c>
      <c r="B49" s="49">
        <f>TotalIncomeFromHeatSales/AnnualNetGeneration</f>
        <v>2.3745600000000002E-2</v>
      </c>
    </row>
    <row r="50" spans="1:4">
      <c r="A50" s="33" t="s">
        <v>158</v>
      </c>
      <c r="B50" s="40">
        <f>(GrossElectricalCapacity*AnnualHours+AnnualHeatSales)/(FuelPower*AnnualHours)*100</f>
        <v>68.959999999999994</v>
      </c>
    </row>
    <row r="51" spans="1:4">
      <c r="A51" s="33" t="s">
        <v>159</v>
      </c>
      <c r="B51" s="40">
        <f>(AnnualNetGeneration+AnnualHeatSales)/(FuelPower*AnnualHours)*100</f>
        <v>66.56</v>
      </c>
    </row>
    <row r="52" spans="1:4">
      <c r="B52" s="27"/>
    </row>
    <row r="53" spans="1:4" ht="24">
      <c r="A53" s="18" t="s">
        <v>171</v>
      </c>
      <c r="B53" s="10"/>
      <c r="C53" s="46" t="s">
        <v>169</v>
      </c>
    </row>
    <row r="54" spans="1:4">
      <c r="A54" s="11" t="s">
        <v>2</v>
      </c>
      <c r="B54" s="45">
        <v>22.05</v>
      </c>
      <c r="C54" s="37">
        <f>B37*B54/B36</f>
        <v>4.2659071367153925E-2</v>
      </c>
      <c r="D54" s="2" t="s">
        <v>93</v>
      </c>
    </row>
    <row r="55" spans="1:4">
      <c r="A55" s="11" t="s">
        <v>162</v>
      </c>
      <c r="B55" s="47">
        <v>2000000</v>
      </c>
      <c r="C55" s="37">
        <f>B55/B$36</f>
        <v>1.0744023636852002E-2</v>
      </c>
      <c r="D55" s="2" t="s">
        <v>176</v>
      </c>
    </row>
    <row r="56" spans="1:4">
      <c r="A56" s="11" t="s">
        <v>163</v>
      </c>
      <c r="B56" s="47">
        <v>1500000</v>
      </c>
      <c r="C56" s="37">
        <f t="shared" ref="C56:C61" si="0">B56/B$36</f>
        <v>8.0580177276390001E-3</v>
      </c>
      <c r="D56" s="2" t="s">
        <v>177</v>
      </c>
    </row>
    <row r="57" spans="1:4">
      <c r="A57" s="11" t="s">
        <v>164</v>
      </c>
      <c r="B57" s="47">
        <v>1400000</v>
      </c>
      <c r="C57" s="37">
        <f t="shared" si="0"/>
        <v>7.5208165457964007E-3</v>
      </c>
      <c r="D57" s="2" t="s">
        <v>178</v>
      </c>
    </row>
    <row r="58" spans="1:4">
      <c r="A58" s="11" t="s">
        <v>165</v>
      </c>
      <c r="B58" s="47">
        <v>200000</v>
      </c>
      <c r="C58" s="37">
        <f t="shared" si="0"/>
        <v>1.0744023636852001E-3</v>
      </c>
      <c r="D58" s="2" t="s">
        <v>182</v>
      </c>
    </row>
    <row r="59" spans="1:4">
      <c r="A59" s="11" t="s">
        <v>166</v>
      </c>
      <c r="B59" s="47">
        <v>100000</v>
      </c>
      <c r="C59" s="37">
        <f t="shared" si="0"/>
        <v>5.3720118184260007E-4</v>
      </c>
      <c r="D59" s="2" t="s">
        <v>179</v>
      </c>
    </row>
    <row r="60" spans="1:4">
      <c r="A60" s="11" t="s">
        <v>167</v>
      </c>
      <c r="B60" s="47">
        <v>200000</v>
      </c>
      <c r="C60" s="37">
        <f t="shared" si="0"/>
        <v>1.0744023636852001E-3</v>
      </c>
      <c r="D60" s="2" t="s">
        <v>180</v>
      </c>
    </row>
    <row r="61" spans="1:4">
      <c r="A61" s="11" t="s">
        <v>168</v>
      </c>
      <c r="B61" s="47">
        <v>400000</v>
      </c>
      <c r="C61" s="37">
        <f t="shared" si="0"/>
        <v>2.1488047273704003E-3</v>
      </c>
      <c r="D61" s="2" t="s">
        <v>183</v>
      </c>
    </row>
    <row r="62" spans="1:4">
      <c r="A62" s="33" t="s">
        <v>170</v>
      </c>
      <c r="B62" s="48">
        <f>SUM(B55:B61)</f>
        <v>5800000</v>
      </c>
      <c r="C62" s="37">
        <f>SUM(C55:C61)</f>
        <v>3.1157668546870802E-2</v>
      </c>
    </row>
    <row r="63" spans="1:4">
      <c r="A63" s="33" t="s">
        <v>187</v>
      </c>
      <c r="B63" s="24">
        <f>B54*B37+B62</f>
        <v>13740986.134995703</v>
      </c>
      <c r="C63" s="37">
        <f>C54+C62</f>
        <v>7.3816739914024723E-2</v>
      </c>
    </row>
    <row r="64" spans="1:4">
      <c r="B64" s="5"/>
    </row>
    <row r="65" spans="1:4">
      <c r="A65" s="18" t="s">
        <v>40</v>
      </c>
      <c r="B65" s="3"/>
    </row>
    <row r="66" spans="1:4">
      <c r="A66" s="11" t="s">
        <v>3</v>
      </c>
      <c r="B66" s="14">
        <v>34</v>
      </c>
      <c r="D66" s="2" t="s">
        <v>94</v>
      </c>
    </row>
    <row r="67" spans="1:4">
      <c r="A67" s="11" t="s">
        <v>4</v>
      </c>
      <c r="B67" s="14">
        <v>9.6</v>
      </c>
      <c r="D67" s="2" t="s">
        <v>95</v>
      </c>
    </row>
    <row r="68" spans="1:4">
      <c r="A68" s="11" t="s">
        <v>120</v>
      </c>
      <c r="B68" s="28">
        <v>8.9999999999999993E-3</v>
      </c>
      <c r="D68" s="2" t="s">
        <v>188</v>
      </c>
    </row>
    <row r="69" spans="1:4">
      <c r="A69" s="33" t="s">
        <v>5</v>
      </c>
      <c r="B69" s="35">
        <f>B67+B66*(1-B67/100)</f>
        <v>40.335999999999999</v>
      </c>
      <c r="D69" s="2" t="s">
        <v>96</v>
      </c>
    </row>
    <row r="70" spans="1:4">
      <c r="B70" s="7"/>
    </row>
    <row r="71" spans="1:4">
      <c r="A71" s="18" t="s">
        <v>49</v>
      </c>
      <c r="B71" s="3"/>
    </row>
    <row r="72" spans="1:4">
      <c r="A72" s="11" t="s">
        <v>142</v>
      </c>
      <c r="B72" s="15">
        <v>166</v>
      </c>
      <c r="D72" s="2" t="s">
        <v>191</v>
      </c>
    </row>
    <row r="73" spans="1:4">
      <c r="A73" s="11" t="s">
        <v>79</v>
      </c>
      <c r="B73" s="14">
        <v>5</v>
      </c>
      <c r="D73" s="2" t="s">
        <v>97</v>
      </c>
    </row>
    <row r="74" spans="1:4">
      <c r="A74" s="33" t="s">
        <v>17</v>
      </c>
      <c r="B74" s="24">
        <f>B72*B27</f>
        <v>4150000</v>
      </c>
    </row>
    <row r="75" spans="1:4">
      <c r="A75" s="33" t="s">
        <v>16</v>
      </c>
      <c r="B75" s="24">
        <f>B98*B73/100</f>
        <v>210636.7913755647</v>
      </c>
    </row>
    <row r="76" spans="1:4">
      <c r="B76" s="4"/>
    </row>
    <row r="77" spans="1:4">
      <c r="A77" s="18" t="s">
        <v>50</v>
      </c>
      <c r="B77" s="16"/>
    </row>
    <row r="78" spans="1:4">
      <c r="A78" s="11" t="s">
        <v>76</v>
      </c>
      <c r="B78" s="14">
        <v>2.1</v>
      </c>
      <c r="D78" s="2" t="s">
        <v>98</v>
      </c>
    </row>
    <row r="79" spans="1:4">
      <c r="A79" s="11" t="s">
        <v>77</v>
      </c>
      <c r="B79" s="14">
        <v>2.1</v>
      </c>
      <c r="D79" s="2" t="s">
        <v>99</v>
      </c>
    </row>
    <row r="80" spans="1:4">
      <c r="A80" s="11" t="s">
        <v>192</v>
      </c>
      <c r="B80" s="14">
        <v>2.1</v>
      </c>
      <c r="D80" s="2" t="s">
        <v>126</v>
      </c>
    </row>
    <row r="81" spans="1:4">
      <c r="A81" s="133" t="s">
        <v>193</v>
      </c>
      <c r="B81" s="14">
        <v>2.1</v>
      </c>
      <c r="D81" s="2" t="s">
        <v>141</v>
      </c>
    </row>
    <row r="82" spans="1:4">
      <c r="A82" s="11" t="s">
        <v>78</v>
      </c>
      <c r="B82" s="14">
        <v>2.1</v>
      </c>
      <c r="D82" s="2" t="s">
        <v>100</v>
      </c>
    </row>
    <row r="83" spans="1:4">
      <c r="B83" s="6"/>
    </row>
    <row r="84" spans="1:4">
      <c r="A84" s="18" t="s">
        <v>51</v>
      </c>
      <c r="B84" s="16"/>
    </row>
    <row r="85" spans="1:4">
      <c r="A85" s="11" t="s">
        <v>6</v>
      </c>
      <c r="B85" s="14">
        <v>75</v>
      </c>
      <c r="D85" s="2" t="s">
        <v>101</v>
      </c>
    </row>
    <row r="86" spans="1:4">
      <c r="A86" s="33" t="s">
        <v>7</v>
      </c>
      <c r="B86" s="36">
        <f>100-B85</f>
        <v>25</v>
      </c>
      <c r="D86" s="2" t="s">
        <v>102</v>
      </c>
    </row>
    <row r="87" spans="1:4">
      <c r="A87" s="11" t="s">
        <v>80</v>
      </c>
      <c r="B87" s="14">
        <v>5</v>
      </c>
      <c r="D87" s="2" t="s">
        <v>220</v>
      </c>
    </row>
    <row r="88" spans="1:4">
      <c r="A88" s="11" t="s">
        <v>121</v>
      </c>
      <c r="B88" s="23">
        <v>20</v>
      </c>
      <c r="D88" s="2" t="s">
        <v>153</v>
      </c>
    </row>
    <row r="89" spans="1:4">
      <c r="A89" s="11" t="s">
        <v>81</v>
      </c>
      <c r="B89" s="14">
        <v>15</v>
      </c>
      <c r="D89" s="2" t="s">
        <v>103</v>
      </c>
    </row>
    <row r="90" spans="1:4">
      <c r="A90" s="33" t="s">
        <v>82</v>
      </c>
      <c r="B90" s="36">
        <f>B85/100*B87+B86/100*B89</f>
        <v>7.5</v>
      </c>
      <c r="D90" s="2" t="s">
        <v>104</v>
      </c>
    </row>
    <row r="91" spans="1:4">
      <c r="A91" s="33" t="s">
        <v>8</v>
      </c>
      <c r="B91" s="24">
        <f>B23</f>
        <v>70000000</v>
      </c>
    </row>
    <row r="92" spans="1:4">
      <c r="A92" s="33" t="s">
        <v>9</v>
      </c>
      <c r="B92" s="24">
        <f>B91*B86/100</f>
        <v>17500000</v>
      </c>
    </row>
    <row r="93" spans="1:4">
      <c r="A93" s="33" t="s">
        <v>10</v>
      </c>
      <c r="B93" s="24">
        <f>B91*B85/100</f>
        <v>52500000</v>
      </c>
    </row>
    <row r="94" spans="1:4">
      <c r="A94" s="33" t="s">
        <v>11</v>
      </c>
      <c r="B94" s="37">
        <f>B89/100*(1+B89/100)^B88/((1+B89/100)^B88-1)</f>
        <v>0.1597614704057439</v>
      </c>
      <c r="D94" s="2" t="s">
        <v>105</v>
      </c>
    </row>
    <row r="95" spans="1:4">
      <c r="A95" s="33" t="s">
        <v>12</v>
      </c>
      <c r="B95" s="37">
        <f>B87/100*(1+B87/100)^B88/((1+B87/100)^B88-1)</f>
        <v>8.0242587190691314E-2</v>
      </c>
    </row>
    <row r="96" spans="1:4">
      <c r="A96" s="33" t="s">
        <v>13</v>
      </c>
      <c r="B96" s="24">
        <f>B94*B92</f>
        <v>2795825.7321005184</v>
      </c>
      <c r="D96" s="2" t="s">
        <v>106</v>
      </c>
    </row>
    <row r="97" spans="1:6">
      <c r="A97" s="33" t="s">
        <v>14</v>
      </c>
      <c r="B97" s="24">
        <f>B93*B95</f>
        <v>4212735.8275112938</v>
      </c>
      <c r="D97" s="2" t="s">
        <v>107</v>
      </c>
    </row>
    <row r="98" spans="1:6">
      <c r="A98" s="11" t="s">
        <v>15</v>
      </c>
      <c r="B98" s="13">
        <f>B97</f>
        <v>4212735.8275112938</v>
      </c>
      <c r="D98" s="2" t="s">
        <v>108</v>
      </c>
    </row>
    <row r="100" spans="1:6">
      <c r="A100" s="18" t="s">
        <v>52</v>
      </c>
      <c r="B100" s="3"/>
      <c r="D100" s="2" t="s">
        <v>109</v>
      </c>
    </row>
    <row r="101" spans="1:6" ht="24">
      <c r="A101" s="68"/>
      <c r="B101" s="69" t="s">
        <v>122</v>
      </c>
      <c r="D101" s="22" t="s">
        <v>154</v>
      </c>
      <c r="E101" s="22" t="s">
        <v>155</v>
      </c>
      <c r="F101" s="22" t="s">
        <v>156</v>
      </c>
    </row>
    <row r="102" spans="1:6">
      <c r="A102" s="11" t="s">
        <v>18</v>
      </c>
      <c r="B102" s="19">
        <v>0.05</v>
      </c>
      <c r="D102" s="42">
        <v>0.2</v>
      </c>
      <c r="E102" s="42">
        <v>0.1</v>
      </c>
      <c r="F102" s="42">
        <v>0.05</v>
      </c>
    </row>
    <row r="103" spans="1:6">
      <c r="A103" s="11" t="s">
        <v>19</v>
      </c>
      <c r="B103" s="19">
        <v>9.5000000000000001E-2</v>
      </c>
      <c r="D103" s="42">
        <v>0.32</v>
      </c>
      <c r="E103" s="42">
        <v>0.18</v>
      </c>
      <c r="F103" s="42">
        <v>0.05</v>
      </c>
    </row>
    <row r="104" spans="1:6">
      <c r="A104" s="11" t="s">
        <v>20</v>
      </c>
      <c r="B104" s="19">
        <v>8.5500000000000007E-2</v>
      </c>
      <c r="D104" s="42">
        <v>0.192</v>
      </c>
      <c r="E104" s="42">
        <v>0.14399999999999999</v>
      </c>
      <c r="F104" s="42">
        <v>0.05</v>
      </c>
    </row>
    <row r="105" spans="1:6">
      <c r="A105" s="11" t="s">
        <v>21</v>
      </c>
      <c r="B105" s="19">
        <v>7.6999999999999999E-2</v>
      </c>
      <c r="D105" s="42">
        <v>0.1152</v>
      </c>
      <c r="E105" s="42">
        <v>0.1152</v>
      </c>
      <c r="F105" s="42">
        <v>0.05</v>
      </c>
    </row>
    <row r="106" spans="1:6">
      <c r="A106" s="11" t="s">
        <v>22</v>
      </c>
      <c r="B106" s="19">
        <v>6.93E-2</v>
      </c>
      <c r="D106" s="42">
        <v>0.1152</v>
      </c>
      <c r="E106" s="42">
        <v>9.2200000000000004E-2</v>
      </c>
      <c r="F106" s="42">
        <v>0.05</v>
      </c>
    </row>
    <row r="107" spans="1:6">
      <c r="A107" s="11" t="s">
        <v>23</v>
      </c>
      <c r="B107" s="19">
        <v>6.2300000000000001E-2</v>
      </c>
      <c r="D107" s="42">
        <v>5.7599999999999998E-2</v>
      </c>
      <c r="E107" s="42">
        <v>7.3700000000000002E-2</v>
      </c>
      <c r="F107" s="42">
        <v>0.05</v>
      </c>
    </row>
    <row r="108" spans="1:6">
      <c r="A108" s="11" t="s">
        <v>53</v>
      </c>
      <c r="B108" s="19">
        <v>5.8999999999999997E-2</v>
      </c>
      <c r="D108" s="42">
        <v>0</v>
      </c>
      <c r="E108" s="42">
        <v>6.5500000000000003E-2</v>
      </c>
      <c r="F108" s="42">
        <v>0.05</v>
      </c>
    </row>
    <row r="109" spans="1:6">
      <c r="A109" s="11" t="s">
        <v>54</v>
      </c>
      <c r="B109" s="19">
        <v>5.8999999999999997E-2</v>
      </c>
      <c r="D109" s="42">
        <v>0</v>
      </c>
      <c r="E109" s="42">
        <v>6.5500000000000003E-2</v>
      </c>
      <c r="F109" s="42">
        <v>0.05</v>
      </c>
    </row>
    <row r="110" spans="1:6">
      <c r="A110" s="11" t="s">
        <v>55</v>
      </c>
      <c r="B110" s="19">
        <v>5.91E-2</v>
      </c>
      <c r="D110" s="42">
        <v>0</v>
      </c>
      <c r="E110" s="42">
        <v>6.5500000000000003E-2</v>
      </c>
      <c r="F110" s="42">
        <v>0.05</v>
      </c>
    </row>
    <row r="111" spans="1:6">
      <c r="A111" s="11" t="s">
        <v>56</v>
      </c>
      <c r="B111" s="19">
        <v>5.8999999999999997E-2</v>
      </c>
      <c r="D111" s="42">
        <v>0</v>
      </c>
      <c r="E111" s="42">
        <v>6.5500000000000003E-2</v>
      </c>
      <c r="F111" s="42">
        <v>0.05</v>
      </c>
    </row>
    <row r="112" spans="1:6">
      <c r="A112" s="11" t="s">
        <v>57</v>
      </c>
      <c r="B112" s="19">
        <v>5.91E-2</v>
      </c>
      <c r="D112" s="42">
        <v>0</v>
      </c>
      <c r="E112" s="42">
        <v>3.2899999999999999E-2</v>
      </c>
      <c r="F112" s="42">
        <v>0.05</v>
      </c>
    </row>
    <row r="113" spans="1:8">
      <c r="A113" s="11" t="s">
        <v>58</v>
      </c>
      <c r="B113" s="19">
        <v>5.8999999999999997E-2</v>
      </c>
      <c r="D113" s="42">
        <v>0</v>
      </c>
      <c r="E113" s="42">
        <v>0</v>
      </c>
      <c r="F113" s="42">
        <v>0.05</v>
      </c>
    </row>
    <row r="114" spans="1:8">
      <c r="A114" s="11" t="s">
        <v>59</v>
      </c>
      <c r="B114" s="19">
        <v>5.91E-2</v>
      </c>
      <c r="D114" s="42">
        <v>0</v>
      </c>
      <c r="E114" s="42">
        <v>0</v>
      </c>
      <c r="F114" s="42">
        <v>0.05</v>
      </c>
    </row>
    <row r="115" spans="1:8">
      <c r="A115" s="11" t="s">
        <v>60</v>
      </c>
      <c r="B115" s="19">
        <v>5.8999999999999997E-2</v>
      </c>
      <c r="D115" s="42">
        <v>0</v>
      </c>
      <c r="E115" s="42">
        <v>0</v>
      </c>
      <c r="F115" s="42">
        <v>0.05</v>
      </c>
    </row>
    <row r="116" spans="1:8">
      <c r="A116" s="11" t="s">
        <v>61</v>
      </c>
      <c r="B116" s="19">
        <v>5.91E-2</v>
      </c>
      <c r="D116" s="42">
        <v>0</v>
      </c>
      <c r="E116" s="42">
        <v>0</v>
      </c>
      <c r="F116" s="42">
        <v>0.05</v>
      </c>
      <c r="G116" s="30"/>
      <c r="H116" s="30"/>
    </row>
    <row r="117" spans="1:8">
      <c r="A117" s="11" t="s">
        <v>62</v>
      </c>
      <c r="B117" s="19">
        <v>2.9499999999999998E-2</v>
      </c>
      <c r="D117" s="42">
        <v>0</v>
      </c>
      <c r="E117" s="42">
        <v>0</v>
      </c>
      <c r="F117" s="42">
        <v>0.05</v>
      </c>
    </row>
    <row r="118" spans="1:8">
      <c r="A118" s="11" t="s">
        <v>63</v>
      </c>
      <c r="B118" s="19">
        <v>0</v>
      </c>
      <c r="D118" s="42">
        <v>0</v>
      </c>
      <c r="E118" s="42">
        <v>0</v>
      </c>
      <c r="F118" s="42">
        <v>0.05</v>
      </c>
    </row>
    <row r="119" spans="1:8">
      <c r="A119" s="11" t="s">
        <v>64</v>
      </c>
      <c r="B119" s="19">
        <v>0</v>
      </c>
      <c r="D119" s="42">
        <v>0</v>
      </c>
      <c r="E119" s="42">
        <v>0</v>
      </c>
      <c r="F119" s="42">
        <v>0.05</v>
      </c>
    </row>
    <row r="120" spans="1:8">
      <c r="A120" s="11" t="s">
        <v>65</v>
      </c>
      <c r="B120" s="19">
        <v>0</v>
      </c>
      <c r="D120" s="42">
        <v>0</v>
      </c>
      <c r="E120" s="42">
        <v>0</v>
      </c>
      <c r="F120" s="42">
        <v>0.05</v>
      </c>
    </row>
    <row r="121" spans="1:8">
      <c r="A121" s="11" t="s">
        <v>66</v>
      </c>
      <c r="B121" s="19">
        <v>0</v>
      </c>
      <c r="D121" s="42">
        <v>0</v>
      </c>
      <c r="E121" s="42">
        <v>0</v>
      </c>
      <c r="F121" s="42">
        <v>0.05</v>
      </c>
    </row>
    <row r="122" spans="1:8">
      <c r="A122" s="33" t="s">
        <v>24</v>
      </c>
      <c r="B122" s="38">
        <f>SUM(B102:B121)</f>
        <v>1.0000000000000002</v>
      </c>
      <c r="D122" s="37">
        <f>SUM(D102:D121)</f>
        <v>0.99999999999999989</v>
      </c>
      <c r="E122" s="37">
        <f>SUM(E102:E121)</f>
        <v>1</v>
      </c>
      <c r="F122" s="37">
        <f>SUM(F102:F121)</f>
        <v>1.0000000000000002</v>
      </c>
    </row>
    <row r="123" spans="1:8">
      <c r="B123" s="9"/>
    </row>
    <row r="124" spans="1:8" ht="24">
      <c r="A124" s="97" t="s">
        <v>123</v>
      </c>
      <c r="B124" s="98" t="s">
        <v>196</v>
      </c>
      <c r="D124" s="2" t="s">
        <v>181</v>
      </c>
    </row>
    <row r="125" spans="1:8">
      <c r="A125" s="11" t="s">
        <v>18</v>
      </c>
      <c r="B125" s="23">
        <v>1</v>
      </c>
    </row>
    <row r="126" spans="1:8">
      <c r="A126" s="11" t="s">
        <v>19</v>
      </c>
      <c r="B126" s="23">
        <v>1</v>
      </c>
    </row>
    <row r="127" spans="1:8">
      <c r="A127" s="11" t="s">
        <v>20</v>
      </c>
      <c r="B127" s="23">
        <v>1</v>
      </c>
    </row>
    <row r="128" spans="1:8">
      <c r="A128" s="11" t="s">
        <v>21</v>
      </c>
      <c r="B128" s="23">
        <v>1</v>
      </c>
    </row>
    <row r="129" spans="1:2">
      <c r="A129" s="11" t="s">
        <v>22</v>
      </c>
      <c r="B129" s="23">
        <v>1</v>
      </c>
    </row>
    <row r="130" spans="1:2">
      <c r="A130" s="11" t="s">
        <v>23</v>
      </c>
      <c r="B130" s="23">
        <v>0</v>
      </c>
    </row>
    <row r="131" spans="1:2">
      <c r="A131" s="11" t="s">
        <v>53</v>
      </c>
      <c r="B131" s="29">
        <v>0</v>
      </c>
    </row>
    <row r="132" spans="1:2">
      <c r="A132" s="11" t="s">
        <v>54</v>
      </c>
      <c r="B132" s="23">
        <v>0</v>
      </c>
    </row>
    <row r="133" spans="1:2">
      <c r="A133" s="11" t="s">
        <v>55</v>
      </c>
      <c r="B133" s="23">
        <v>0</v>
      </c>
    </row>
    <row r="134" spans="1:2">
      <c r="A134" s="11" t="s">
        <v>56</v>
      </c>
      <c r="B134" s="23">
        <v>0</v>
      </c>
    </row>
    <row r="135" spans="1:2">
      <c r="A135" s="11" t="s">
        <v>57</v>
      </c>
      <c r="B135" s="23">
        <v>0</v>
      </c>
    </row>
    <row r="136" spans="1:2">
      <c r="A136" s="11" t="s">
        <v>58</v>
      </c>
      <c r="B136" s="23">
        <v>0</v>
      </c>
    </row>
    <row r="137" spans="1:2">
      <c r="A137" s="11" t="s">
        <v>59</v>
      </c>
      <c r="B137" s="23">
        <v>0</v>
      </c>
    </row>
    <row r="138" spans="1:2">
      <c r="A138" s="11" t="s">
        <v>60</v>
      </c>
      <c r="B138" s="23">
        <v>0</v>
      </c>
    </row>
    <row r="139" spans="1:2">
      <c r="A139" s="11" t="s">
        <v>61</v>
      </c>
      <c r="B139" s="23">
        <v>0</v>
      </c>
    </row>
    <row r="140" spans="1:2">
      <c r="A140" s="11" t="s">
        <v>62</v>
      </c>
      <c r="B140" s="23">
        <v>0</v>
      </c>
    </row>
    <row r="141" spans="1:2">
      <c r="A141" s="11" t="s">
        <v>63</v>
      </c>
      <c r="B141" s="23">
        <v>0</v>
      </c>
    </row>
    <row r="142" spans="1:2">
      <c r="A142" s="11" t="s">
        <v>64</v>
      </c>
      <c r="B142" s="23">
        <v>0</v>
      </c>
    </row>
    <row r="143" spans="1:2">
      <c r="A143" s="11" t="s">
        <v>65</v>
      </c>
      <c r="B143" s="23">
        <v>0</v>
      </c>
    </row>
    <row r="144" spans="1:2">
      <c r="A144" s="11" t="s">
        <v>66</v>
      </c>
      <c r="B144" s="23">
        <v>0</v>
      </c>
    </row>
    <row r="145" spans="1:34">
      <c r="B145" s="9"/>
    </row>
    <row r="146" spans="1:34">
      <c r="A146" s="18" t="s">
        <v>67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34">
      <c r="A147" s="57" t="s">
        <v>26</v>
      </c>
      <c r="B147" s="57">
        <v>1</v>
      </c>
      <c r="C147" s="57">
        <f t="shared" ref="C147:K147" si="1">B147+1</f>
        <v>2</v>
      </c>
      <c r="D147" s="57">
        <f t="shared" si="1"/>
        <v>3</v>
      </c>
      <c r="E147" s="57">
        <f t="shared" si="1"/>
        <v>4</v>
      </c>
      <c r="F147" s="57">
        <f>E147+1</f>
        <v>5</v>
      </c>
      <c r="G147" s="57">
        <f>F147+1</f>
        <v>6</v>
      </c>
      <c r="H147" s="57">
        <f>G147+1</f>
        <v>7</v>
      </c>
      <c r="I147" s="57">
        <f>H147+1</f>
        <v>8</v>
      </c>
      <c r="J147" s="57">
        <f t="shared" si="1"/>
        <v>9</v>
      </c>
      <c r="K147" s="57">
        <f t="shared" si="1"/>
        <v>10</v>
      </c>
      <c r="L147" s="57">
        <f>K147+1</f>
        <v>11</v>
      </c>
      <c r="M147" s="57">
        <f t="shared" ref="M147:U147" si="2">L147+1</f>
        <v>12</v>
      </c>
      <c r="N147" s="57">
        <f t="shared" si="2"/>
        <v>13</v>
      </c>
      <c r="O147" s="57">
        <f t="shared" si="2"/>
        <v>14</v>
      </c>
      <c r="P147" s="57">
        <f t="shared" si="2"/>
        <v>15</v>
      </c>
      <c r="Q147" s="57">
        <f t="shared" si="2"/>
        <v>16</v>
      </c>
      <c r="R147" s="57">
        <f t="shared" si="2"/>
        <v>17</v>
      </c>
      <c r="S147" s="57">
        <f t="shared" si="2"/>
        <v>18</v>
      </c>
      <c r="T147" s="57">
        <f t="shared" si="2"/>
        <v>19</v>
      </c>
      <c r="U147" s="57">
        <f t="shared" si="2"/>
        <v>20</v>
      </c>
      <c r="V147" s="63" t="s">
        <v>24</v>
      </c>
    </row>
    <row r="148" spans="1:34">
      <c r="A148" s="50" t="s">
        <v>27</v>
      </c>
      <c r="B148" s="58">
        <f t="shared" ref="B148:K148" si="3">$B$96</f>
        <v>2795825.7321005184</v>
      </c>
      <c r="C148" s="58">
        <f t="shared" si="3"/>
        <v>2795825.7321005184</v>
      </c>
      <c r="D148" s="58">
        <f t="shared" si="3"/>
        <v>2795825.7321005184</v>
      </c>
      <c r="E148" s="58">
        <f t="shared" si="3"/>
        <v>2795825.7321005184</v>
      </c>
      <c r="F148" s="58">
        <f t="shared" si="3"/>
        <v>2795825.7321005184</v>
      </c>
      <c r="G148" s="58">
        <f t="shared" si="3"/>
        <v>2795825.7321005184</v>
      </c>
      <c r="H148" s="58">
        <f t="shared" si="3"/>
        <v>2795825.7321005184</v>
      </c>
      <c r="I148" s="58">
        <f t="shared" si="3"/>
        <v>2795825.7321005184</v>
      </c>
      <c r="J148" s="58">
        <f t="shared" si="3"/>
        <v>2795825.7321005184</v>
      </c>
      <c r="K148" s="58">
        <f t="shared" si="3"/>
        <v>2795825.7321005184</v>
      </c>
      <c r="L148" s="58">
        <f t="shared" ref="L148:U148" si="4">$B$96</f>
        <v>2795825.7321005184</v>
      </c>
      <c r="M148" s="58">
        <f t="shared" si="4"/>
        <v>2795825.7321005184</v>
      </c>
      <c r="N148" s="58">
        <f t="shared" si="4"/>
        <v>2795825.7321005184</v>
      </c>
      <c r="O148" s="58">
        <f t="shared" si="4"/>
        <v>2795825.7321005184</v>
      </c>
      <c r="P148" s="58">
        <f t="shared" si="4"/>
        <v>2795825.7321005184</v>
      </c>
      <c r="Q148" s="58">
        <f t="shared" si="4"/>
        <v>2795825.7321005184</v>
      </c>
      <c r="R148" s="58">
        <f t="shared" si="4"/>
        <v>2795825.7321005184</v>
      </c>
      <c r="S148" s="58">
        <f t="shared" si="4"/>
        <v>2795825.7321005184</v>
      </c>
      <c r="T148" s="58">
        <f t="shared" si="4"/>
        <v>2795825.7321005184</v>
      </c>
      <c r="U148" s="59">
        <f t="shared" si="4"/>
        <v>2795825.7321005184</v>
      </c>
      <c r="V148" s="64">
        <f>SUM(B148:U148)</f>
        <v>55916514.642010346</v>
      </c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1:34">
      <c r="A149" s="51" t="s">
        <v>28</v>
      </c>
      <c r="B149" s="44">
        <f>B89/100*B92</f>
        <v>2625000</v>
      </c>
      <c r="C149" s="44">
        <f t="shared" ref="C149:K149" si="5">$B$89/100*B151</f>
        <v>2599376.1401849226</v>
      </c>
      <c r="D149" s="44">
        <f t="shared" si="5"/>
        <v>2569908.7013975829</v>
      </c>
      <c r="E149" s="44">
        <f t="shared" si="5"/>
        <v>2536021.1467921422</v>
      </c>
      <c r="F149" s="44">
        <f>$B$89/100*E151</f>
        <v>2497050.4589958857</v>
      </c>
      <c r="G149" s="44">
        <f>$B$89/100*F151</f>
        <v>2452234.1680301912</v>
      </c>
      <c r="H149" s="44">
        <f>$B$89/100*G151</f>
        <v>2400695.433419642</v>
      </c>
      <c r="I149" s="44">
        <f>$B$89/100*H151</f>
        <v>2341425.8886175104</v>
      </c>
      <c r="J149" s="44">
        <f t="shared" si="5"/>
        <v>2273265.9120950592</v>
      </c>
      <c r="K149" s="44">
        <f t="shared" si="5"/>
        <v>2194881.9390942403</v>
      </c>
      <c r="L149" s="44">
        <f>$B$89/100*K151</f>
        <v>2104740.3701432985</v>
      </c>
      <c r="M149" s="44">
        <f t="shared" ref="M149:U149" si="6">$B$89/100*L151</f>
        <v>2001077.5658497156</v>
      </c>
      <c r="N149" s="44">
        <f t="shared" si="6"/>
        <v>1881865.3409120953</v>
      </c>
      <c r="O149" s="44">
        <f t="shared" si="6"/>
        <v>1744771.2822338317</v>
      </c>
      <c r="P149" s="44">
        <f t="shared" si="6"/>
        <v>1587113.1147538286</v>
      </c>
      <c r="Q149" s="44">
        <f t="shared" si="6"/>
        <v>1405806.2221518254</v>
      </c>
      <c r="R149" s="44">
        <f t="shared" si="6"/>
        <v>1197303.2956595214</v>
      </c>
      <c r="S149" s="44">
        <f t="shared" si="6"/>
        <v>957524.93019337184</v>
      </c>
      <c r="T149" s="44">
        <f t="shared" si="6"/>
        <v>681779.80990729993</v>
      </c>
      <c r="U149" s="60">
        <f t="shared" si="6"/>
        <v>364672.92157831712</v>
      </c>
      <c r="V149" s="65">
        <f t="shared" ref="V149:V166" si="7">SUM(B149:U149)</f>
        <v>38416514.642010279</v>
      </c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4">
      <c r="A150" s="51" t="s">
        <v>29</v>
      </c>
      <c r="B150" s="44">
        <f t="shared" ref="B150:K150" si="8">B148-B149</f>
        <v>170825.73210051842</v>
      </c>
      <c r="C150" s="44">
        <f t="shared" si="8"/>
        <v>196449.59191559581</v>
      </c>
      <c r="D150" s="44">
        <f t="shared" si="8"/>
        <v>225917.03070293553</v>
      </c>
      <c r="E150" s="44">
        <f t="shared" si="8"/>
        <v>259804.58530837623</v>
      </c>
      <c r="F150" s="44">
        <f>F148-F149</f>
        <v>298775.27310463274</v>
      </c>
      <c r="G150" s="44">
        <f>G148-G149</f>
        <v>343591.56407032721</v>
      </c>
      <c r="H150" s="44">
        <f>H148-H149</f>
        <v>395130.29868087638</v>
      </c>
      <c r="I150" s="44">
        <f t="shared" si="8"/>
        <v>454399.84348300798</v>
      </c>
      <c r="J150" s="44">
        <f t="shared" si="8"/>
        <v>522559.82000545925</v>
      </c>
      <c r="K150" s="44">
        <f t="shared" si="8"/>
        <v>600943.79300627811</v>
      </c>
      <c r="L150" s="44">
        <f t="shared" ref="L150:U150" si="9">L148-L149</f>
        <v>691085.36195721989</v>
      </c>
      <c r="M150" s="44">
        <f t="shared" si="9"/>
        <v>794748.16625080281</v>
      </c>
      <c r="N150" s="44">
        <f t="shared" si="9"/>
        <v>913960.39118842315</v>
      </c>
      <c r="O150" s="44">
        <f t="shared" si="9"/>
        <v>1051054.4498666867</v>
      </c>
      <c r="P150" s="44">
        <f t="shared" si="9"/>
        <v>1208712.6173466898</v>
      </c>
      <c r="Q150" s="44">
        <f t="shared" si="9"/>
        <v>1390019.509948693</v>
      </c>
      <c r="R150" s="44">
        <f t="shared" si="9"/>
        <v>1598522.4364409971</v>
      </c>
      <c r="S150" s="44">
        <f t="shared" si="9"/>
        <v>1838300.8019071466</v>
      </c>
      <c r="T150" s="44">
        <f t="shared" si="9"/>
        <v>2114045.9221932185</v>
      </c>
      <c r="U150" s="60">
        <f t="shared" si="9"/>
        <v>2431152.8105222015</v>
      </c>
      <c r="V150" s="65">
        <f t="shared" si="7"/>
        <v>17500000.000000086</v>
      </c>
      <c r="W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4">
      <c r="A151" s="51" t="s">
        <v>30</v>
      </c>
      <c r="B151" s="44">
        <f>B92-B150</f>
        <v>17329174.267899483</v>
      </c>
      <c r="C151" s="44">
        <f t="shared" ref="C151:K151" si="10">B151-C150</f>
        <v>17132724.675983887</v>
      </c>
      <c r="D151" s="44">
        <f t="shared" si="10"/>
        <v>16906807.64528095</v>
      </c>
      <c r="E151" s="44">
        <f t="shared" si="10"/>
        <v>16647003.059972573</v>
      </c>
      <c r="F151" s="44">
        <f>E151-F150</f>
        <v>16348227.786867941</v>
      </c>
      <c r="G151" s="44">
        <f>F151-G150</f>
        <v>16004636.222797614</v>
      </c>
      <c r="H151" s="44">
        <f>G151-H150</f>
        <v>15609505.924116738</v>
      </c>
      <c r="I151" s="44">
        <f>H151-I150</f>
        <v>15155106.08063373</v>
      </c>
      <c r="J151" s="44">
        <f t="shared" si="10"/>
        <v>14632546.26062827</v>
      </c>
      <c r="K151" s="44">
        <f t="shared" si="10"/>
        <v>14031602.467621991</v>
      </c>
      <c r="L151" s="44">
        <f>K151-L150</f>
        <v>13340517.105664771</v>
      </c>
      <c r="M151" s="44">
        <f t="shared" ref="M151:U151" si="11">L151-M150</f>
        <v>12545768.939413968</v>
      </c>
      <c r="N151" s="44">
        <f t="shared" si="11"/>
        <v>11631808.548225544</v>
      </c>
      <c r="O151" s="44">
        <f t="shared" si="11"/>
        <v>10580754.098358858</v>
      </c>
      <c r="P151" s="44">
        <f t="shared" si="11"/>
        <v>9372041.4810121693</v>
      </c>
      <c r="Q151" s="44">
        <f t="shared" si="11"/>
        <v>7982021.9710634761</v>
      </c>
      <c r="R151" s="44">
        <f t="shared" si="11"/>
        <v>6383499.5346224792</v>
      </c>
      <c r="S151" s="44">
        <f t="shared" si="11"/>
        <v>4545198.7327153329</v>
      </c>
      <c r="T151" s="44">
        <f t="shared" si="11"/>
        <v>2431152.8105221144</v>
      </c>
      <c r="U151" s="60">
        <f t="shared" si="11"/>
        <v>-8.7078660726547241E-8</v>
      </c>
      <c r="V151" s="66" t="s">
        <v>184</v>
      </c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4">
      <c r="A152" s="51" t="s">
        <v>31</v>
      </c>
      <c r="B152" s="44">
        <f t="shared" ref="B152:K152" si="12">$B$97</f>
        <v>4212735.8275112938</v>
      </c>
      <c r="C152" s="44">
        <f t="shared" si="12"/>
        <v>4212735.8275112938</v>
      </c>
      <c r="D152" s="44">
        <f t="shared" si="12"/>
        <v>4212735.8275112938</v>
      </c>
      <c r="E152" s="44">
        <f t="shared" si="12"/>
        <v>4212735.8275112938</v>
      </c>
      <c r="F152" s="44">
        <f t="shared" si="12"/>
        <v>4212735.8275112938</v>
      </c>
      <c r="G152" s="44">
        <f t="shared" si="12"/>
        <v>4212735.8275112938</v>
      </c>
      <c r="H152" s="44">
        <f t="shared" si="12"/>
        <v>4212735.8275112938</v>
      </c>
      <c r="I152" s="44">
        <f t="shared" si="12"/>
        <v>4212735.8275112938</v>
      </c>
      <c r="J152" s="44">
        <f t="shared" si="12"/>
        <v>4212735.8275112938</v>
      </c>
      <c r="K152" s="44">
        <f t="shared" si="12"/>
        <v>4212735.8275112938</v>
      </c>
      <c r="L152" s="44">
        <f t="shared" ref="L152:U152" si="13">$B$97</f>
        <v>4212735.8275112938</v>
      </c>
      <c r="M152" s="44">
        <f t="shared" si="13"/>
        <v>4212735.8275112938</v>
      </c>
      <c r="N152" s="44">
        <f t="shared" si="13"/>
        <v>4212735.8275112938</v>
      </c>
      <c r="O152" s="44">
        <f t="shared" si="13"/>
        <v>4212735.8275112938</v>
      </c>
      <c r="P152" s="44">
        <f t="shared" si="13"/>
        <v>4212735.8275112938</v>
      </c>
      <c r="Q152" s="44">
        <f t="shared" si="13"/>
        <v>4212735.8275112938</v>
      </c>
      <c r="R152" s="44">
        <f t="shared" si="13"/>
        <v>4212735.8275112938</v>
      </c>
      <c r="S152" s="44">
        <f t="shared" si="13"/>
        <v>4212735.8275112938</v>
      </c>
      <c r="T152" s="44">
        <f t="shared" si="13"/>
        <v>4212735.8275112938</v>
      </c>
      <c r="U152" s="60">
        <f t="shared" si="13"/>
        <v>4212735.8275112938</v>
      </c>
      <c r="V152" s="65">
        <f t="shared" si="7"/>
        <v>84254716.550225899</v>
      </c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4">
      <c r="A153" s="51" t="s">
        <v>32</v>
      </c>
      <c r="B153" s="44">
        <f>B87/100*B93</f>
        <v>2625000</v>
      </c>
      <c r="C153" s="44">
        <f t="shared" ref="C153:K153" si="14">$B$87/100*B155</f>
        <v>2545613.2086244356</v>
      </c>
      <c r="D153" s="44">
        <f t="shared" si="14"/>
        <v>2462257.0776800923</v>
      </c>
      <c r="E153" s="44">
        <f t="shared" si="14"/>
        <v>2374733.1401885324</v>
      </c>
      <c r="F153" s="44">
        <f>$B$87/100*E155</f>
        <v>2282833.0058223945</v>
      </c>
      <c r="G153" s="44">
        <f>$B$87/100*F155</f>
        <v>2186337.8647379498</v>
      </c>
      <c r="H153" s="44">
        <f>$B$87/100*G155</f>
        <v>2085017.9665992823</v>
      </c>
      <c r="I153" s="44">
        <f>$B$87/100*H155</f>
        <v>1978632.0735536818</v>
      </c>
      <c r="J153" s="44">
        <f t="shared" si="14"/>
        <v>1866926.8858558012</v>
      </c>
      <c r="K153" s="44">
        <f t="shared" si="14"/>
        <v>1749636.4387730265</v>
      </c>
      <c r="L153" s="44">
        <f>$B$87/100*K155</f>
        <v>1626481.469336113</v>
      </c>
      <c r="M153" s="44">
        <f t="shared" ref="M153:U153" si="15">$B$87/100*L155</f>
        <v>1497168.7514273541</v>
      </c>
      <c r="N153" s="44">
        <f t="shared" si="15"/>
        <v>1361390.3976231571</v>
      </c>
      <c r="O153" s="44">
        <f t="shared" si="15"/>
        <v>1218823.1261287502</v>
      </c>
      <c r="P153" s="44">
        <f t="shared" si="15"/>
        <v>1069127.491059623</v>
      </c>
      <c r="Q153" s="44">
        <f t="shared" si="15"/>
        <v>911947.07423703931</v>
      </c>
      <c r="R153" s="44">
        <f t="shared" si="15"/>
        <v>746907.63657332666</v>
      </c>
      <c r="S153" s="44">
        <f t="shared" si="15"/>
        <v>573616.22702642833</v>
      </c>
      <c r="T153" s="44">
        <f t="shared" si="15"/>
        <v>391660.24700218503</v>
      </c>
      <c r="U153" s="60">
        <f t="shared" si="15"/>
        <v>200606.46797672956</v>
      </c>
      <c r="V153" s="65">
        <f t="shared" si="7"/>
        <v>31754716.550225902</v>
      </c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spans="1:34">
      <c r="A154" s="51" t="s">
        <v>33</v>
      </c>
      <c r="B154" s="44">
        <f t="shared" ref="B154:K154" si="16">B152-B153</f>
        <v>1587735.8275112938</v>
      </c>
      <c r="C154" s="44">
        <f t="shared" si="16"/>
        <v>1667122.6188868582</v>
      </c>
      <c r="D154" s="44">
        <f t="shared" si="16"/>
        <v>1750478.7498312015</v>
      </c>
      <c r="E154" s="44">
        <f t="shared" si="16"/>
        <v>1838002.6873227614</v>
      </c>
      <c r="F154" s="44">
        <f>F152-F153</f>
        <v>1929902.8216888993</v>
      </c>
      <c r="G154" s="44">
        <f>G152-G153</f>
        <v>2026397.962773344</v>
      </c>
      <c r="H154" s="44">
        <f>H152-H153</f>
        <v>2127717.8609120115</v>
      </c>
      <c r="I154" s="44">
        <f t="shared" si="16"/>
        <v>2234103.753957612</v>
      </c>
      <c r="J154" s="44">
        <f t="shared" si="16"/>
        <v>2345808.9416554924</v>
      </c>
      <c r="K154" s="44">
        <f t="shared" si="16"/>
        <v>2463099.3887382671</v>
      </c>
      <c r="L154" s="44">
        <f t="shared" ref="L154:U154" si="17">L152-L153</f>
        <v>2586254.3581751809</v>
      </c>
      <c r="M154" s="44">
        <f t="shared" si="17"/>
        <v>2715567.0760839395</v>
      </c>
      <c r="N154" s="44">
        <f t="shared" si="17"/>
        <v>2851345.4298881367</v>
      </c>
      <c r="O154" s="44">
        <f t="shared" si="17"/>
        <v>2993912.7013825439</v>
      </c>
      <c r="P154" s="44">
        <f t="shared" si="17"/>
        <v>3143608.3364516711</v>
      </c>
      <c r="Q154" s="44">
        <f t="shared" si="17"/>
        <v>3300788.7532742545</v>
      </c>
      <c r="R154" s="44">
        <f t="shared" si="17"/>
        <v>3465828.190937967</v>
      </c>
      <c r="S154" s="44">
        <f t="shared" si="17"/>
        <v>3639119.6004848657</v>
      </c>
      <c r="T154" s="44">
        <f t="shared" si="17"/>
        <v>3821075.580509109</v>
      </c>
      <c r="U154" s="60">
        <f t="shared" si="17"/>
        <v>4012129.3595345644</v>
      </c>
      <c r="V154" s="65">
        <f t="shared" si="7"/>
        <v>52499999.99999997</v>
      </c>
      <c r="W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spans="1:34">
      <c r="A155" s="51" t="s">
        <v>34</v>
      </c>
      <c r="B155" s="44">
        <f>$B$93-B154</f>
        <v>50912264.172488704</v>
      </c>
      <c r="C155" s="44">
        <f t="shared" ref="C155:K155" si="18">B155-C154</f>
        <v>49245141.553601846</v>
      </c>
      <c r="D155" s="44">
        <f t="shared" si="18"/>
        <v>47494662.803770646</v>
      </c>
      <c r="E155" s="44">
        <f t="shared" si="18"/>
        <v>45656660.116447888</v>
      </c>
      <c r="F155" s="44">
        <f>E155-F154</f>
        <v>43726757.29475899</v>
      </c>
      <c r="G155" s="44">
        <f>F155-G154</f>
        <v>41700359.331985645</v>
      </c>
      <c r="H155" s="44">
        <f>G155-H154</f>
        <v>39572641.471073635</v>
      </c>
      <c r="I155" s="44">
        <f>H155-I154</f>
        <v>37338537.717116021</v>
      </c>
      <c r="J155" s="44">
        <f t="shared" si="18"/>
        <v>34992728.775460526</v>
      </c>
      <c r="K155" s="44">
        <f t="shared" si="18"/>
        <v>32529629.386722259</v>
      </c>
      <c r="L155" s="44">
        <f>K155-L154</f>
        <v>29943375.028547078</v>
      </c>
      <c r="M155" s="44">
        <f t="shared" ref="M155:U155" si="19">L155-M154</f>
        <v>27227807.952463139</v>
      </c>
      <c r="N155" s="44">
        <f t="shared" si="19"/>
        <v>24376462.522575002</v>
      </c>
      <c r="O155" s="44">
        <f t="shared" si="19"/>
        <v>21382549.821192458</v>
      </c>
      <c r="P155" s="44">
        <f t="shared" si="19"/>
        <v>18238941.484740786</v>
      </c>
      <c r="Q155" s="44">
        <f t="shared" si="19"/>
        <v>14938152.731466532</v>
      </c>
      <c r="R155" s="44">
        <f t="shared" si="19"/>
        <v>11472324.540528566</v>
      </c>
      <c r="S155" s="44">
        <f t="shared" si="19"/>
        <v>7833204.9400436999</v>
      </c>
      <c r="T155" s="44">
        <f t="shared" si="19"/>
        <v>4012129.359534591</v>
      </c>
      <c r="U155" s="60">
        <f t="shared" si="19"/>
        <v>2.6542693376541138E-8</v>
      </c>
      <c r="V155" s="66" t="s">
        <v>184</v>
      </c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spans="1:34">
      <c r="A156" s="51" t="s">
        <v>35</v>
      </c>
      <c r="B156" s="44">
        <f>B37*B54</f>
        <v>7940986.1349957027</v>
      </c>
      <c r="C156" s="44">
        <f t="shared" ref="C156:U156" si="20">$B$156*(1+$B$79/100)^(C147-1)</f>
        <v>8107746.8438306116</v>
      </c>
      <c r="D156" s="44">
        <f t="shared" si="20"/>
        <v>8278009.5275510531</v>
      </c>
      <c r="E156" s="44">
        <f t="shared" si="20"/>
        <v>8451847.7276296243</v>
      </c>
      <c r="F156" s="44">
        <f t="shared" si="20"/>
        <v>8629336.5299098454</v>
      </c>
      <c r="G156" s="44">
        <f t="shared" si="20"/>
        <v>8810552.5970379505</v>
      </c>
      <c r="H156" s="44">
        <f t="shared" si="20"/>
        <v>8995574.2015757468</v>
      </c>
      <c r="I156" s="44">
        <f t="shared" si="20"/>
        <v>9184481.2598088365</v>
      </c>
      <c r="J156" s="44">
        <f t="shared" si="20"/>
        <v>9377355.3662648201</v>
      </c>
      <c r="K156" s="44">
        <f t="shared" si="20"/>
        <v>9574279.8289563805</v>
      </c>
      <c r="L156" s="44">
        <f t="shared" si="20"/>
        <v>9775339.7053644639</v>
      </c>
      <c r="M156" s="44">
        <f t="shared" si="20"/>
        <v>9980621.8391771168</v>
      </c>
      <c r="N156" s="44">
        <f t="shared" si="20"/>
        <v>10190214.897799833</v>
      </c>
      <c r="O156" s="44">
        <f t="shared" si="20"/>
        <v>10404209.410653628</v>
      </c>
      <c r="P156" s="44">
        <f t="shared" si="20"/>
        <v>10622697.808277356</v>
      </c>
      <c r="Q156" s="44">
        <f t="shared" si="20"/>
        <v>10845774.462251177</v>
      </c>
      <c r="R156" s="44">
        <f t="shared" si="20"/>
        <v>11073535.725958452</v>
      </c>
      <c r="S156" s="44">
        <f t="shared" si="20"/>
        <v>11306079.976203579</v>
      </c>
      <c r="T156" s="44">
        <f t="shared" si="20"/>
        <v>11543507.65570385</v>
      </c>
      <c r="U156" s="60">
        <f t="shared" si="20"/>
        <v>11785921.316473631</v>
      </c>
      <c r="V156" s="65">
        <f t="shared" si="7"/>
        <v>194878072.81542367</v>
      </c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>
      <c r="A157" s="51" t="s">
        <v>36</v>
      </c>
      <c r="B157" s="44">
        <f>B62</f>
        <v>5800000</v>
      </c>
      <c r="C157" s="44">
        <f t="shared" ref="C157:U157" si="21">$B$157*(1+$B$82/100)^(C147-1)</f>
        <v>5921799.9999999991</v>
      </c>
      <c r="D157" s="44">
        <f t="shared" si="21"/>
        <v>6046157.7999999989</v>
      </c>
      <c r="E157" s="44">
        <f t="shared" si="21"/>
        <v>6173127.1137999985</v>
      </c>
      <c r="F157" s="44">
        <f t="shared" si="21"/>
        <v>6302762.7831897968</v>
      </c>
      <c r="G157" s="44">
        <f t="shared" si="21"/>
        <v>6435120.8016367815</v>
      </c>
      <c r="H157" s="44">
        <f t="shared" si="21"/>
        <v>6570258.3384711538</v>
      </c>
      <c r="I157" s="44">
        <f t="shared" si="21"/>
        <v>6708233.7635790473</v>
      </c>
      <c r="J157" s="44">
        <f t="shared" si="21"/>
        <v>6849106.6726142056</v>
      </c>
      <c r="K157" s="44">
        <f t="shared" si="21"/>
        <v>6992937.9127391027</v>
      </c>
      <c r="L157" s="44">
        <f t="shared" si="21"/>
        <v>7139789.608906623</v>
      </c>
      <c r="M157" s="44">
        <f t="shared" si="21"/>
        <v>7289725.1906936625</v>
      </c>
      <c r="N157" s="44">
        <f t="shared" si="21"/>
        <v>7442809.4196982272</v>
      </c>
      <c r="O157" s="44">
        <f t="shared" si="21"/>
        <v>7599108.4175118888</v>
      </c>
      <c r="P157" s="44">
        <f t="shared" si="21"/>
        <v>7758689.6942796391</v>
      </c>
      <c r="Q157" s="44">
        <f t="shared" si="21"/>
        <v>7921622.1778595094</v>
      </c>
      <c r="R157" s="44">
        <f t="shared" si="21"/>
        <v>8087976.2435945589</v>
      </c>
      <c r="S157" s="44">
        <f t="shared" si="21"/>
        <v>8257823.7447100449</v>
      </c>
      <c r="T157" s="44">
        <f t="shared" si="21"/>
        <v>8431238.0433489531</v>
      </c>
      <c r="U157" s="60">
        <f t="shared" si="21"/>
        <v>8608294.0422592815</v>
      </c>
      <c r="V157" s="65">
        <f t="shared" si="7"/>
        <v>142336581.76889247</v>
      </c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>
      <c r="A158" s="51" t="s">
        <v>37</v>
      </c>
      <c r="B158" s="44">
        <f>$B$98</f>
        <v>4212735.8275112938</v>
      </c>
      <c r="C158" s="44">
        <v>0</v>
      </c>
      <c r="D158" s="44">
        <v>0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  <c r="S158" s="44">
        <v>0</v>
      </c>
      <c r="T158" s="44">
        <v>0</v>
      </c>
      <c r="U158" s="60">
        <f>-B158</f>
        <v>-4212735.8275112938</v>
      </c>
      <c r="V158" s="65">
        <f t="shared" si="7"/>
        <v>0</v>
      </c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>
      <c r="A159" s="51" t="s">
        <v>38</v>
      </c>
      <c r="B159" s="44">
        <f>$B$91*$B102</f>
        <v>3500000</v>
      </c>
      <c r="C159" s="44">
        <f>$B$91*$B103</f>
        <v>6650000</v>
      </c>
      <c r="D159" s="44">
        <f>$B$91*$B104</f>
        <v>5985000</v>
      </c>
      <c r="E159" s="44">
        <f>$B$91*$B105</f>
        <v>5390000</v>
      </c>
      <c r="F159" s="44">
        <f>$B$91*$B106</f>
        <v>4851000</v>
      </c>
      <c r="G159" s="44">
        <f>$B$91*$B107</f>
        <v>4361000</v>
      </c>
      <c r="H159" s="44">
        <f>$B$91*$B108</f>
        <v>4130000</v>
      </c>
      <c r="I159" s="44">
        <f>$B$91*$B109</f>
        <v>4130000</v>
      </c>
      <c r="J159" s="44">
        <f>$B$91*$B110</f>
        <v>4137000</v>
      </c>
      <c r="K159" s="44">
        <f>$B$91*$B111</f>
        <v>4130000</v>
      </c>
      <c r="L159" s="44">
        <f>$B$91*$B112</f>
        <v>4137000</v>
      </c>
      <c r="M159" s="44">
        <f>$B$91*$B113</f>
        <v>4130000</v>
      </c>
      <c r="N159" s="44">
        <f>$B$91*$B114</f>
        <v>4137000</v>
      </c>
      <c r="O159" s="44">
        <f>$B$91*$B115</f>
        <v>4130000</v>
      </c>
      <c r="P159" s="44">
        <f>$B$91*$B116</f>
        <v>4137000</v>
      </c>
      <c r="Q159" s="44">
        <f>$B$91*$B117</f>
        <v>2065000</v>
      </c>
      <c r="R159" s="44">
        <f>$B$91*$B118</f>
        <v>0</v>
      </c>
      <c r="S159" s="44">
        <f>$B$91*$B119</f>
        <v>0</v>
      </c>
      <c r="T159" s="44">
        <f>$B$91*$B120</f>
        <v>0</v>
      </c>
      <c r="U159" s="60">
        <f>$B$91*$B121</f>
        <v>0</v>
      </c>
      <c r="V159" s="65">
        <f t="shared" si="7"/>
        <v>70000000</v>
      </c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spans="1:34">
      <c r="A160" s="51" t="s">
        <v>189</v>
      </c>
      <c r="B160" s="44">
        <f t="shared" ref="B160:U160" si="22">$B$74</f>
        <v>4150000</v>
      </c>
      <c r="C160" s="44">
        <f t="shared" si="22"/>
        <v>4150000</v>
      </c>
      <c r="D160" s="44">
        <f t="shared" si="22"/>
        <v>4150000</v>
      </c>
      <c r="E160" s="44">
        <f t="shared" si="22"/>
        <v>4150000</v>
      </c>
      <c r="F160" s="44">
        <f t="shared" si="22"/>
        <v>4150000</v>
      </c>
      <c r="G160" s="44">
        <f t="shared" si="22"/>
        <v>4150000</v>
      </c>
      <c r="H160" s="44">
        <f t="shared" si="22"/>
        <v>4150000</v>
      </c>
      <c r="I160" s="44">
        <f t="shared" si="22"/>
        <v>4150000</v>
      </c>
      <c r="J160" s="44">
        <f t="shared" si="22"/>
        <v>4150000</v>
      </c>
      <c r="K160" s="44">
        <f t="shared" si="22"/>
        <v>4150000</v>
      </c>
      <c r="L160" s="44">
        <f t="shared" si="22"/>
        <v>4150000</v>
      </c>
      <c r="M160" s="44">
        <f t="shared" si="22"/>
        <v>4150000</v>
      </c>
      <c r="N160" s="44">
        <f t="shared" si="22"/>
        <v>4150000</v>
      </c>
      <c r="O160" s="44">
        <f t="shared" si="22"/>
        <v>4150000</v>
      </c>
      <c r="P160" s="44">
        <f t="shared" si="22"/>
        <v>4150000</v>
      </c>
      <c r="Q160" s="44">
        <f t="shared" si="22"/>
        <v>4150000</v>
      </c>
      <c r="R160" s="44">
        <f t="shared" si="22"/>
        <v>4150000</v>
      </c>
      <c r="S160" s="44">
        <f t="shared" si="22"/>
        <v>4150000</v>
      </c>
      <c r="T160" s="44">
        <f t="shared" si="22"/>
        <v>4150000</v>
      </c>
      <c r="U160" s="60">
        <f t="shared" si="22"/>
        <v>4150000</v>
      </c>
      <c r="V160" s="65">
        <f t="shared" si="7"/>
        <v>83000000</v>
      </c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spans="1:35">
      <c r="A161" s="131" t="s">
        <v>223</v>
      </c>
      <c r="B161" s="44">
        <f>TotalIncomeFromHeatSales</f>
        <v>4420243.4400000004</v>
      </c>
      <c r="C161" s="44">
        <f>$B161*(1+$B$81/100)^(C147-1)</f>
        <v>4513068.5522400001</v>
      </c>
      <c r="D161" s="44">
        <f t="shared" ref="D161:U161" si="23">$B161*(1+$B$81/100)^(D147-1)</f>
        <v>4607842.9918370396</v>
      </c>
      <c r="E161" s="44">
        <f t="shared" si="23"/>
        <v>4704607.6946656164</v>
      </c>
      <c r="F161" s="44">
        <f t="shared" si="23"/>
        <v>4803404.4562535938</v>
      </c>
      <c r="G161" s="44">
        <f t="shared" si="23"/>
        <v>4904275.9498349186</v>
      </c>
      <c r="H161" s="44">
        <f t="shared" si="23"/>
        <v>5007265.7447814513</v>
      </c>
      <c r="I161" s="44">
        <f t="shared" si="23"/>
        <v>5112418.3254218614</v>
      </c>
      <c r="J161" s="44">
        <f t="shared" si="23"/>
        <v>5219779.1102557201</v>
      </c>
      <c r="K161" s="44">
        <f t="shared" si="23"/>
        <v>5329394.4715710888</v>
      </c>
      <c r="L161" s="44">
        <f t="shared" si="23"/>
        <v>5441311.7554740813</v>
      </c>
      <c r="M161" s="44">
        <f t="shared" si="23"/>
        <v>5555579.3023390369</v>
      </c>
      <c r="N161" s="44">
        <f t="shared" si="23"/>
        <v>5672246.4676881554</v>
      </c>
      <c r="O161" s="44">
        <f t="shared" si="23"/>
        <v>5791363.6435096059</v>
      </c>
      <c r="P161" s="44">
        <f t="shared" si="23"/>
        <v>5912982.2800233075</v>
      </c>
      <c r="Q161" s="44">
        <f t="shared" si="23"/>
        <v>6037154.9079037951</v>
      </c>
      <c r="R161" s="44">
        <f t="shared" si="23"/>
        <v>6163935.1609697752</v>
      </c>
      <c r="S161" s="44">
        <f t="shared" si="23"/>
        <v>6293377.7993501406</v>
      </c>
      <c r="T161" s="44">
        <f t="shared" si="23"/>
        <v>6425538.7331364909</v>
      </c>
      <c r="U161" s="60">
        <f t="shared" si="23"/>
        <v>6560475.046532358</v>
      </c>
      <c r="V161" s="65">
        <f t="shared" si="7"/>
        <v>108476265.83378805</v>
      </c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5">
      <c r="A162" s="51" t="s">
        <v>39</v>
      </c>
      <c r="B162" s="44">
        <f t="shared" ref="B162:U162" si="24">$B$75</f>
        <v>210636.7913755647</v>
      </c>
      <c r="C162" s="44">
        <f t="shared" si="24"/>
        <v>210636.7913755647</v>
      </c>
      <c r="D162" s="44">
        <f t="shared" si="24"/>
        <v>210636.7913755647</v>
      </c>
      <c r="E162" s="44">
        <f t="shared" si="24"/>
        <v>210636.7913755647</v>
      </c>
      <c r="F162" s="44">
        <f t="shared" si="24"/>
        <v>210636.7913755647</v>
      </c>
      <c r="G162" s="44">
        <f t="shared" si="24"/>
        <v>210636.7913755647</v>
      </c>
      <c r="H162" s="44">
        <f t="shared" si="24"/>
        <v>210636.7913755647</v>
      </c>
      <c r="I162" s="44">
        <f t="shared" si="24"/>
        <v>210636.7913755647</v>
      </c>
      <c r="J162" s="44">
        <f t="shared" si="24"/>
        <v>210636.7913755647</v>
      </c>
      <c r="K162" s="44">
        <f t="shared" si="24"/>
        <v>210636.7913755647</v>
      </c>
      <c r="L162" s="44">
        <f t="shared" si="24"/>
        <v>210636.7913755647</v>
      </c>
      <c r="M162" s="44">
        <f t="shared" si="24"/>
        <v>210636.7913755647</v>
      </c>
      <c r="N162" s="44">
        <f t="shared" si="24"/>
        <v>210636.7913755647</v>
      </c>
      <c r="O162" s="44">
        <f t="shared" si="24"/>
        <v>210636.7913755647</v>
      </c>
      <c r="P162" s="44">
        <f t="shared" si="24"/>
        <v>210636.7913755647</v>
      </c>
      <c r="Q162" s="44">
        <f t="shared" si="24"/>
        <v>210636.7913755647</v>
      </c>
      <c r="R162" s="44">
        <f t="shared" si="24"/>
        <v>210636.7913755647</v>
      </c>
      <c r="S162" s="44">
        <f t="shared" si="24"/>
        <v>210636.7913755647</v>
      </c>
      <c r="T162" s="44">
        <f t="shared" si="24"/>
        <v>210636.7913755647</v>
      </c>
      <c r="U162" s="60">
        <f t="shared" si="24"/>
        <v>210636.7913755647</v>
      </c>
      <c r="V162" s="65">
        <f t="shared" si="7"/>
        <v>4212735.8275112957</v>
      </c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5">
      <c r="A163" s="51" t="s">
        <v>125</v>
      </c>
      <c r="B163" s="44">
        <f>(($B$69/100)/(1-$B$69/100))*(B$150+B$154+B$149-B$159+B$158)</f>
        <v>3445364.9002245506</v>
      </c>
      <c r="C163" s="44">
        <f t="shared" ref="C163:U163" si="25">(($B$69/100)/(1-$B$69/100))*(C$150+C$154+C$149-C$159+C$158)</f>
        <v>-1478561.8683724385</v>
      </c>
      <c r="D163" s="44">
        <f t="shared" si="25"/>
        <v>-972633.78950124257</v>
      </c>
      <c r="E163" s="44">
        <f t="shared" si="25"/>
        <v>-511211.73361059534</v>
      </c>
      <c r="F163" s="44">
        <f t="shared" si="25"/>
        <v>-84690.082031878977</v>
      </c>
      <c r="G163" s="44">
        <f t="shared" si="25"/>
        <v>311811.46011719119</v>
      </c>
      <c r="H163" s="44">
        <f t="shared" si="25"/>
        <v>536477.17832785973</v>
      </c>
      <c r="I163" s="44">
        <f t="shared" si="25"/>
        <v>608399.63377649442</v>
      </c>
      <c r="J163" s="44">
        <f t="shared" si="25"/>
        <v>679185.84407050221</v>
      </c>
      <c r="K163" s="44">
        <f t="shared" si="25"/>
        <v>763212.71912968031</v>
      </c>
      <c r="L163" s="44">
        <f t="shared" si="25"/>
        <v>841739.58369134821</v>
      </c>
      <c r="M163" s="44">
        <f t="shared" si="25"/>
        <v>933894.14573156822</v>
      </c>
      <c r="N163" s="44">
        <f t="shared" si="25"/>
        <v>1020955.0816233304</v>
      </c>
      <c r="O163" s="44">
        <f t="shared" si="25"/>
        <v>1122070.4185601501</v>
      </c>
      <c r="P163" s="44">
        <f t="shared" si="25"/>
        <v>1218540.1680933412</v>
      </c>
      <c r="Q163" s="44">
        <f t="shared" si="25"/>
        <v>2725583.2978358278</v>
      </c>
      <c r="R163" s="44">
        <f t="shared" si="25"/>
        <v>4233207.1708179191</v>
      </c>
      <c r="S163" s="44">
        <f t="shared" si="25"/>
        <v>4350361.2720428398</v>
      </c>
      <c r="T163" s="44">
        <f t="shared" si="25"/>
        <v>4473373.0783290081</v>
      </c>
      <c r="U163" s="44">
        <f t="shared" si="25"/>
        <v>1754504.6298889974</v>
      </c>
      <c r="V163" s="65">
        <f t="shared" si="7"/>
        <v>25971583.108744454</v>
      </c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5">
      <c r="A164" s="51" t="s">
        <v>124</v>
      </c>
      <c r="B164" s="44">
        <f>$B$36*$B$68*$B125</f>
        <v>1675349.9999999998</v>
      </c>
      <c r="C164" s="44">
        <f>$B$36*$B$68*((1+$B$80/100)^(C147-1))*$B126</f>
        <v>1710532.3499999996</v>
      </c>
      <c r="D164" s="44">
        <f>$B$36*$B$68*((1+$B$80/100)^(D147-1))*$B127</f>
        <v>1746453.5293499993</v>
      </c>
      <c r="E164" s="44">
        <f>$B$36*$B$68*((1+$B$80/100)^(E147-1))*$B128</f>
        <v>1783129.0534663491</v>
      </c>
      <c r="F164" s="44">
        <f>$B$36*$B$68*((1+$B$80/100)^(F147-1))*$B129</f>
        <v>1820574.7635891421</v>
      </c>
      <c r="G164" s="44">
        <f>$B$36*$B$68*((1+$B$80/100)^(G147-1))*$B130</f>
        <v>0</v>
      </c>
      <c r="H164" s="44">
        <f>$B$36*$B$68*((1+$B$80/100)^(H147-1))*$B131</f>
        <v>0</v>
      </c>
      <c r="I164" s="44">
        <f>$B$36*$B$68*((1+$B$80/100)^(I147-1))*$B132</f>
        <v>0</v>
      </c>
      <c r="J164" s="44">
        <f>$B$36*$B$68*((1+$B$80/100)^(J147-1))*$B133</f>
        <v>0</v>
      </c>
      <c r="K164" s="44">
        <f>$B$36*$B$68*((1+$B$80/100)^(K147-1))*$B134</f>
        <v>0</v>
      </c>
      <c r="L164" s="44">
        <f>$B$36*$B$68*((1+$B$80/100)^(L147-1))*$B135</f>
        <v>0</v>
      </c>
      <c r="M164" s="44">
        <f>$B$36*$B$68*((1+$B$80/100)^(M147-1))*$B136</f>
        <v>0</v>
      </c>
      <c r="N164" s="44">
        <f>$B$36*$B$68*((1+$B$80/100)^(N147-1))*$B137</f>
        <v>0</v>
      </c>
      <c r="O164" s="44">
        <f>$B$36*$B$68*((1+$B$80/100)^(O147-1))*$B138</f>
        <v>0</v>
      </c>
      <c r="P164" s="44">
        <f>$B$36*$B$68*((1+$B$80/100)^(P147-1))*$B139</f>
        <v>0</v>
      </c>
      <c r="Q164" s="44">
        <f>$B$36*$B$68*((1+$B$80/100)^(Q147-1))*$B140</f>
        <v>0</v>
      </c>
      <c r="R164" s="44">
        <f>$B$36*$B$68*((1+$B$80/100)^(R147-1))*$B141</f>
        <v>0</v>
      </c>
      <c r="S164" s="44">
        <f>$B$36*$B$68*((1+$B$80/100)^(S147-1))*$B142</f>
        <v>0</v>
      </c>
      <c r="T164" s="44">
        <f>$B$36*$B$68*((1+$B$80/100)^(T147-1))*$B143</f>
        <v>0</v>
      </c>
      <c r="U164" s="60">
        <f>$B$36*$B$68*((1+$B$80/100)^(U147-1))*$B144</f>
        <v>0</v>
      </c>
      <c r="V164" s="65">
        <f t="shared" si="7"/>
        <v>8736039.6964054909</v>
      </c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5">
      <c r="A165" s="51" t="s">
        <v>40</v>
      </c>
      <c r="B165" s="44">
        <f>(($B$69/100)/(1-$B$69/100))*(B$150+B$154+B$149-B$159+B$158-B$164)</f>
        <v>2312740.2421392729</v>
      </c>
      <c r="C165" s="44">
        <f t="shared" ref="C165:U165" si="26">(($B$69/100)/(1-$B$69/100))*(C$150+C$154+C$149-C$159+C$158-C$164)</f>
        <v>-2634971.6442775065</v>
      </c>
      <c r="D165" s="44">
        <f t="shared" si="26"/>
        <v>-2153328.1707003168</v>
      </c>
      <c r="E165" s="44">
        <f t="shared" si="26"/>
        <v>-1716700.6968148497</v>
      </c>
      <c r="F165" s="44">
        <f t="shared" si="26"/>
        <v>-1315494.3134634227</v>
      </c>
      <c r="G165" s="44">
        <f t="shared" si="26"/>
        <v>311811.46011719119</v>
      </c>
      <c r="H165" s="44">
        <f t="shared" si="26"/>
        <v>536477.17832785973</v>
      </c>
      <c r="I165" s="44">
        <f t="shared" si="26"/>
        <v>608399.63377649442</v>
      </c>
      <c r="J165" s="44">
        <f t="shared" si="26"/>
        <v>679185.84407050221</v>
      </c>
      <c r="K165" s="44">
        <f t="shared" si="26"/>
        <v>763212.71912968031</v>
      </c>
      <c r="L165" s="44">
        <f t="shared" si="26"/>
        <v>841739.58369134821</v>
      </c>
      <c r="M165" s="44">
        <f t="shared" si="26"/>
        <v>933894.14573156822</v>
      </c>
      <c r="N165" s="44">
        <f t="shared" si="26"/>
        <v>1020955.0816233304</v>
      </c>
      <c r="O165" s="44">
        <f t="shared" si="26"/>
        <v>1122070.4185601501</v>
      </c>
      <c r="P165" s="44">
        <f t="shared" si="26"/>
        <v>1218540.1680933412</v>
      </c>
      <c r="Q165" s="44">
        <f t="shared" si="26"/>
        <v>2725583.2978358278</v>
      </c>
      <c r="R165" s="44">
        <f t="shared" si="26"/>
        <v>4233207.1708179191</v>
      </c>
      <c r="S165" s="44">
        <f t="shared" si="26"/>
        <v>4350361.2720428398</v>
      </c>
      <c r="T165" s="44">
        <f t="shared" si="26"/>
        <v>4473373.0783290081</v>
      </c>
      <c r="U165" s="44">
        <f t="shared" si="26"/>
        <v>1754504.6298889974</v>
      </c>
      <c r="V165" s="65">
        <f t="shared" si="7"/>
        <v>20065561.098919235</v>
      </c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5">
      <c r="A166" s="135" t="s">
        <v>41</v>
      </c>
      <c r="B166" s="61">
        <f>B148+B152+B156+B157+B165+B158-B160-B162-B161</f>
        <v>18494143.532882512</v>
      </c>
      <c r="C166" s="61">
        <f t="shared" ref="C166:U166" si="27">C148+C152+C156+C157+C165+C158-C160-C162-C161</f>
        <v>9529431.4155493528</v>
      </c>
      <c r="D166" s="61">
        <f t="shared" si="27"/>
        <v>10210920.933249945</v>
      </c>
      <c r="E166" s="61">
        <f t="shared" si="27"/>
        <v>10851591.218185402</v>
      </c>
      <c r="F166" s="61">
        <f t="shared" si="27"/>
        <v>11461125.311618872</v>
      </c>
      <c r="G166" s="61">
        <f t="shared" si="27"/>
        <v>13301133.677193252</v>
      </c>
      <c r="H166" s="61">
        <f t="shared" si="27"/>
        <v>13742968.741829554</v>
      </c>
      <c r="I166" s="61">
        <f t="shared" si="27"/>
        <v>14036621.09997876</v>
      </c>
      <c r="J166" s="61">
        <f t="shared" si="27"/>
        <v>14333793.540930053</v>
      </c>
      <c r="K166" s="61">
        <f t="shared" si="27"/>
        <v>14648960.757490322</v>
      </c>
      <c r="L166" s="61">
        <f t="shared" si="27"/>
        <v>14963481.910724601</v>
      </c>
      <c r="M166" s="61">
        <f t="shared" si="27"/>
        <v>15296586.641499557</v>
      </c>
      <c r="N166" s="61">
        <f t="shared" si="27"/>
        <v>15629657.699669484</v>
      </c>
      <c r="O166" s="61">
        <f t="shared" si="27"/>
        <v>15981949.371452307</v>
      </c>
      <c r="P166" s="61">
        <f t="shared" si="27"/>
        <v>16334870.158863276</v>
      </c>
      <c r="Q166" s="61">
        <f t="shared" si="27"/>
        <v>18103749.798278965</v>
      </c>
      <c r="R166" s="61">
        <f t="shared" si="27"/>
        <v>19878708.747637399</v>
      </c>
      <c r="S166" s="61">
        <f t="shared" si="27"/>
        <v>20268811.961842574</v>
      </c>
      <c r="T166" s="61">
        <f t="shared" si="27"/>
        <v>20670504.812481567</v>
      </c>
      <c r="U166" s="52">
        <f t="shared" si="27"/>
        <v>14023433.882814504</v>
      </c>
      <c r="V166" s="56">
        <f t="shared" si="7"/>
        <v>301762445.21417224</v>
      </c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5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spans="1:35">
      <c r="A168" s="18" t="s">
        <v>68</v>
      </c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spans="1:35">
      <c r="A169" s="53" t="s">
        <v>42</v>
      </c>
      <c r="B169" s="54">
        <f>B89/100</f>
        <v>0.15</v>
      </c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3"/>
      <c r="Y169" s="8"/>
      <c r="Z169" s="4"/>
      <c r="AA169" s="4"/>
      <c r="AB169" s="4"/>
      <c r="AC169" s="4"/>
      <c r="AD169" s="4"/>
      <c r="AE169" s="4"/>
      <c r="AF169" s="4"/>
      <c r="AG169" s="4"/>
      <c r="AH169" s="4"/>
    </row>
    <row r="170" spans="1:35">
      <c r="A170" s="33" t="s">
        <v>43</v>
      </c>
      <c r="B170" s="24">
        <f t="shared" ref="B170:U170" si="28">B166*(1+$B$169)^-B147</f>
        <v>16081863.941636968</v>
      </c>
      <c r="C170" s="24">
        <f t="shared" si="28"/>
        <v>7205619.217806695</v>
      </c>
      <c r="D170" s="24">
        <f t="shared" si="28"/>
        <v>6713846.2616914259</v>
      </c>
      <c r="E170" s="24">
        <f t="shared" si="28"/>
        <v>6204432.4988463633</v>
      </c>
      <c r="F170" s="24">
        <f t="shared" si="28"/>
        <v>5698204.8652752656</v>
      </c>
      <c r="G170" s="24">
        <f t="shared" si="28"/>
        <v>5750447.1455591992</v>
      </c>
      <c r="H170" s="24">
        <f t="shared" si="28"/>
        <v>5166490.9885589918</v>
      </c>
      <c r="I170" s="24">
        <f t="shared" si="28"/>
        <v>4588596.3363896003</v>
      </c>
      <c r="J170" s="24">
        <f t="shared" si="28"/>
        <v>4074558.7256302382</v>
      </c>
      <c r="K170" s="24">
        <f t="shared" si="28"/>
        <v>3620999.0598309906</v>
      </c>
      <c r="L170" s="24">
        <f t="shared" si="28"/>
        <v>3216299.0249237535</v>
      </c>
      <c r="M170" s="24">
        <f t="shared" si="28"/>
        <v>2859041.4167461079</v>
      </c>
      <c r="N170" s="24">
        <f t="shared" si="28"/>
        <v>2540256.3295985274</v>
      </c>
      <c r="O170" s="24">
        <f t="shared" si="28"/>
        <v>2258707.4566697394</v>
      </c>
      <c r="P170" s="24">
        <f t="shared" si="28"/>
        <v>2007465.4590695156</v>
      </c>
      <c r="Q170" s="24">
        <f t="shared" si="28"/>
        <v>1934653.0536919204</v>
      </c>
      <c r="R170" s="24">
        <f t="shared" si="28"/>
        <v>1847246.637495439</v>
      </c>
      <c r="S170" s="24">
        <f t="shared" si="28"/>
        <v>1637823.760515763</v>
      </c>
      <c r="T170" s="24">
        <f t="shared" si="28"/>
        <v>1452419.6513673717</v>
      </c>
      <c r="U170" s="48">
        <f t="shared" si="28"/>
        <v>856835.72194437124</v>
      </c>
      <c r="V170" s="67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spans="1:35">
      <c r="A171" s="55" t="s">
        <v>44</v>
      </c>
      <c r="B171" s="56">
        <f>SUM(B170:U170)</f>
        <v>85715807.553248256</v>
      </c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67"/>
    </row>
    <row r="172" spans="1:35">
      <c r="A172" s="33" t="s">
        <v>45</v>
      </c>
      <c r="B172" s="37">
        <f>B169*(1+B169)^B88/((1+B169)^B88-1)</f>
        <v>0.1597614704057439</v>
      </c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67"/>
    </row>
    <row r="173" spans="1:35" ht="12.75" thickBot="1">
      <c r="A173" s="53" t="s">
        <v>71</v>
      </c>
      <c r="B173" s="64">
        <f>B171*B172</f>
        <v>13694083.451722711</v>
      </c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65">
        <f>B173*B88</f>
        <v>273881669.03445423</v>
      </c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spans="1:35" ht="12.75" thickBot="1">
      <c r="A174" s="91" t="s">
        <v>185</v>
      </c>
      <c r="B174" s="141">
        <f>B173/B36</f>
        <v>7.3564778145166321E-2</v>
      </c>
      <c r="C174" s="62"/>
      <c r="D174" s="62"/>
      <c r="E174" s="62"/>
      <c r="F174" s="61"/>
      <c r="G174" s="61"/>
      <c r="H174" s="61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56">
        <f>B174*B88*B36</f>
        <v>273881669.03445423</v>
      </c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spans="1:35" s="25" customFormat="1">
      <c r="B175" s="26"/>
      <c r="F175" s="27"/>
      <c r="G175" s="27"/>
      <c r="H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</row>
    <row r="176" spans="1:35">
      <c r="A176" s="18" t="s">
        <v>69</v>
      </c>
      <c r="B176" s="20"/>
      <c r="F176" s="4"/>
      <c r="G176" s="4"/>
      <c r="H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spans="1:56">
      <c r="A177" s="33" t="s">
        <v>83</v>
      </c>
      <c r="B177" s="37">
        <f>(1+B169)/(1+B78/100)-1</f>
        <v>0.12634671890303628</v>
      </c>
      <c r="F177" s="4"/>
      <c r="G177" s="4"/>
      <c r="H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spans="1:56">
      <c r="A178" s="33" t="s">
        <v>46</v>
      </c>
      <c r="B178" s="37">
        <f>B177*(1+B177)^B88/((1+B177)^B88-1)</f>
        <v>0.13923864551402346</v>
      </c>
      <c r="F178" s="4"/>
      <c r="G178" s="4"/>
      <c r="H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spans="1:56" ht="12.75" thickBot="1">
      <c r="A179" s="53" t="s">
        <v>70</v>
      </c>
      <c r="B179" s="64">
        <f>B171*B178</f>
        <v>11934952.942854987</v>
      </c>
      <c r="F179" s="4"/>
      <c r="G179" s="4"/>
      <c r="H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spans="1:56" ht="12.75" thickBot="1">
      <c r="A180" s="91" t="s">
        <v>186</v>
      </c>
      <c r="B180" s="141">
        <f>B179/B36</f>
        <v>6.4114708261375164E-2</v>
      </c>
      <c r="F180" s="4"/>
      <c r="G180" s="4"/>
      <c r="H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spans="1:56">
      <c r="F181" s="4"/>
      <c r="G181" s="4"/>
      <c r="H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spans="1:56">
      <c r="F182" s="4"/>
      <c r="G182" s="4"/>
      <c r="H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spans="1:56">
      <c r="F183" s="4"/>
      <c r="G183" s="4"/>
      <c r="H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spans="1:56">
      <c r="F184" s="4"/>
      <c r="G184" s="4"/>
      <c r="H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spans="1:56">
      <c r="F185" s="4"/>
      <c r="G185" s="4"/>
      <c r="H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spans="1:56" s="3" customFormat="1" ht="15">
      <c r="A186" s="99" t="s">
        <v>205</v>
      </c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</row>
    <row r="187" spans="1:56">
      <c r="A187" s="11" t="s">
        <v>219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spans="1:56" ht="12.75" thickBot="1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Z188" s="4"/>
      <c r="AA188" s="4"/>
      <c r="AB188" s="4"/>
      <c r="AC188" s="4"/>
      <c r="AD188" s="4"/>
      <c r="AE188" s="4"/>
    </row>
    <row r="189" spans="1:56">
      <c r="B189" s="138" t="s">
        <v>129</v>
      </c>
      <c r="C189" s="139"/>
      <c r="D189" s="139"/>
      <c r="E189" s="139"/>
      <c r="F189" s="139"/>
      <c r="G189" s="140"/>
      <c r="I189" s="138" t="s">
        <v>207</v>
      </c>
      <c r="J189" s="139"/>
      <c r="K189" s="139"/>
      <c r="L189" s="139"/>
      <c r="M189" s="139"/>
      <c r="N189" s="140"/>
      <c r="P189" s="138" t="s">
        <v>209</v>
      </c>
      <c r="Q189" s="139"/>
      <c r="R189" s="139"/>
      <c r="S189" s="139"/>
      <c r="T189" s="139"/>
      <c r="U189" s="140"/>
      <c r="W189" s="138" t="s">
        <v>210</v>
      </c>
      <c r="X189" s="139"/>
      <c r="Y189" s="139"/>
      <c r="Z189" s="139"/>
      <c r="AA189" s="139"/>
      <c r="AB189" s="140"/>
      <c r="AD189" s="138" t="s">
        <v>213</v>
      </c>
      <c r="AE189" s="139"/>
      <c r="AF189" s="139"/>
      <c r="AG189" s="139"/>
      <c r="AH189" s="139"/>
      <c r="AI189" s="140"/>
      <c r="AK189" s="138" t="s">
        <v>214</v>
      </c>
      <c r="AL189" s="139"/>
      <c r="AM189" s="139"/>
      <c r="AN189" s="139"/>
      <c r="AO189" s="139"/>
      <c r="AP189" s="140"/>
      <c r="AR189" s="101" t="s">
        <v>212</v>
      </c>
      <c r="AS189" s="100"/>
      <c r="AT189" s="100"/>
      <c r="AU189" s="100"/>
      <c r="AV189" s="86"/>
      <c r="AW189" s="106">
        <f>B47</f>
        <v>1.0200000000000001E-2</v>
      </c>
      <c r="AY189" s="138" t="s">
        <v>215</v>
      </c>
      <c r="AZ189" s="139"/>
      <c r="BA189" s="139"/>
      <c r="BB189" s="139"/>
      <c r="BC189" s="139"/>
      <c r="BD189" s="140"/>
    </row>
    <row r="190" spans="1:56" ht="36">
      <c r="A190" s="107"/>
      <c r="B190" s="108" t="s">
        <v>197</v>
      </c>
      <c r="C190" s="109" t="s">
        <v>200</v>
      </c>
      <c r="D190" s="109" t="s">
        <v>129</v>
      </c>
      <c r="E190" s="109" t="s">
        <v>204</v>
      </c>
      <c r="F190" s="109" t="s">
        <v>202</v>
      </c>
      <c r="G190" s="102" t="s">
        <v>218</v>
      </c>
      <c r="I190" s="108" t="s">
        <v>197</v>
      </c>
      <c r="J190" s="109" t="s">
        <v>200</v>
      </c>
      <c r="K190" s="109" t="s">
        <v>207</v>
      </c>
      <c r="L190" s="109" t="s">
        <v>204</v>
      </c>
      <c r="M190" s="109" t="s">
        <v>202</v>
      </c>
      <c r="N190" s="102" t="s">
        <v>218</v>
      </c>
      <c r="P190" s="108" t="s">
        <v>197</v>
      </c>
      <c r="Q190" s="109" t="s">
        <v>200</v>
      </c>
      <c r="R190" s="109" t="s">
        <v>209</v>
      </c>
      <c r="S190" s="109" t="s">
        <v>204</v>
      </c>
      <c r="T190" s="109" t="s">
        <v>202</v>
      </c>
      <c r="U190" s="102" t="s">
        <v>218</v>
      </c>
      <c r="W190" s="108" t="s">
        <v>197</v>
      </c>
      <c r="X190" s="109" t="s">
        <v>200</v>
      </c>
      <c r="Y190" s="109" t="s">
        <v>210</v>
      </c>
      <c r="Z190" s="109" t="s">
        <v>204</v>
      </c>
      <c r="AA190" s="109" t="s">
        <v>202</v>
      </c>
      <c r="AB190" s="102" t="s">
        <v>218</v>
      </c>
      <c r="AD190" s="108" t="s">
        <v>197</v>
      </c>
      <c r="AE190" s="109" t="s">
        <v>200</v>
      </c>
      <c r="AF190" s="109" t="s">
        <v>213</v>
      </c>
      <c r="AG190" s="109" t="s">
        <v>204</v>
      </c>
      <c r="AH190" s="109" t="s">
        <v>202</v>
      </c>
      <c r="AI190" s="102" t="s">
        <v>218</v>
      </c>
      <c r="AK190" s="108" t="s">
        <v>197</v>
      </c>
      <c r="AL190" s="109" t="s">
        <v>200</v>
      </c>
      <c r="AM190" s="109" t="s">
        <v>214</v>
      </c>
      <c r="AN190" s="109" t="s">
        <v>204</v>
      </c>
      <c r="AO190" s="109" t="s">
        <v>202</v>
      </c>
      <c r="AP190" s="102" t="s">
        <v>218</v>
      </c>
      <c r="AR190" s="108" t="s">
        <v>197</v>
      </c>
      <c r="AS190" s="109" t="s">
        <v>200</v>
      </c>
      <c r="AT190" s="109" t="s">
        <v>211</v>
      </c>
      <c r="AU190" s="109" t="s">
        <v>204</v>
      </c>
      <c r="AV190" s="109" t="s">
        <v>202</v>
      </c>
      <c r="AW190" s="102" t="s">
        <v>218</v>
      </c>
      <c r="AY190" s="108" t="s">
        <v>197</v>
      </c>
      <c r="AZ190" s="109" t="s">
        <v>200</v>
      </c>
      <c r="BA190" s="109" t="s">
        <v>215</v>
      </c>
      <c r="BB190" s="109" t="s">
        <v>216</v>
      </c>
      <c r="BC190" s="109" t="s">
        <v>217</v>
      </c>
      <c r="BD190" s="102" t="s">
        <v>218</v>
      </c>
    </row>
    <row r="191" spans="1:56">
      <c r="A191" s="107"/>
      <c r="B191" s="108"/>
      <c r="C191" s="109" t="s">
        <v>201</v>
      </c>
      <c r="D191" s="109" t="s">
        <v>199</v>
      </c>
      <c r="E191" s="109" t="s">
        <v>203</v>
      </c>
      <c r="F191" s="109" t="s">
        <v>203</v>
      </c>
      <c r="G191" s="90" t="s">
        <v>201</v>
      </c>
      <c r="I191" s="108"/>
      <c r="J191" s="109" t="s">
        <v>201</v>
      </c>
      <c r="K191" s="109" t="s">
        <v>208</v>
      </c>
      <c r="L191" s="109" t="s">
        <v>203</v>
      </c>
      <c r="M191" s="109" t="s">
        <v>203</v>
      </c>
      <c r="N191" s="90" t="s">
        <v>201</v>
      </c>
      <c r="P191" s="108"/>
      <c r="Q191" s="109" t="s">
        <v>201</v>
      </c>
      <c r="R191" s="109" t="s">
        <v>203</v>
      </c>
      <c r="S191" s="109" t="s">
        <v>203</v>
      </c>
      <c r="T191" s="109" t="s">
        <v>203</v>
      </c>
      <c r="U191" s="90" t="s">
        <v>201</v>
      </c>
      <c r="W191" s="108"/>
      <c r="X191" s="109" t="s">
        <v>201</v>
      </c>
      <c r="Y191" s="109" t="s">
        <v>201</v>
      </c>
      <c r="Z191" s="109" t="s">
        <v>203</v>
      </c>
      <c r="AA191" s="109" t="s">
        <v>203</v>
      </c>
      <c r="AB191" s="90" t="s">
        <v>201</v>
      </c>
      <c r="AD191" s="108"/>
      <c r="AE191" s="109" t="s">
        <v>201</v>
      </c>
      <c r="AF191" s="109" t="s">
        <v>201</v>
      </c>
      <c r="AG191" s="109" t="s">
        <v>203</v>
      </c>
      <c r="AH191" s="109" t="s">
        <v>203</v>
      </c>
      <c r="AI191" s="90" t="s">
        <v>201</v>
      </c>
      <c r="AK191" s="108"/>
      <c r="AL191" s="109" t="s">
        <v>201</v>
      </c>
      <c r="AM191" s="109" t="s">
        <v>201</v>
      </c>
      <c r="AN191" s="109" t="s">
        <v>203</v>
      </c>
      <c r="AO191" s="109" t="s">
        <v>203</v>
      </c>
      <c r="AP191" s="90" t="s">
        <v>201</v>
      </c>
      <c r="AR191" s="108"/>
      <c r="AS191" s="109" t="s">
        <v>201</v>
      </c>
      <c r="AT191" s="109" t="s">
        <v>201</v>
      </c>
      <c r="AU191" s="109" t="s">
        <v>203</v>
      </c>
      <c r="AV191" s="109" t="s">
        <v>203</v>
      </c>
      <c r="AW191" s="90" t="s">
        <v>201</v>
      </c>
      <c r="AY191" s="108"/>
      <c r="AZ191" s="109" t="s">
        <v>201</v>
      </c>
      <c r="BA191" s="109" t="s">
        <v>201</v>
      </c>
      <c r="BB191" s="109" t="s">
        <v>203</v>
      </c>
      <c r="BC191" s="109" t="s">
        <v>203</v>
      </c>
      <c r="BD191" s="90" t="s">
        <v>201</v>
      </c>
    </row>
    <row r="192" spans="1:56" ht="21" customHeight="1">
      <c r="A192" s="107"/>
      <c r="B192" s="110" t="s">
        <v>206</v>
      </c>
      <c r="C192" s="111"/>
      <c r="D192" s="111"/>
      <c r="E192" s="112">
        <f>$B$174</f>
        <v>7.3564778145166321E-2</v>
      </c>
      <c r="F192" s="112">
        <f>$B$180</f>
        <v>6.4114708261375164E-2</v>
      </c>
      <c r="G192" s="103"/>
      <c r="I192" s="110" t="s">
        <v>206</v>
      </c>
      <c r="J192" s="111"/>
      <c r="K192" s="111"/>
      <c r="L192" s="112">
        <f>$B$174</f>
        <v>7.3564778145166321E-2</v>
      </c>
      <c r="M192" s="112">
        <f>$B$180</f>
        <v>6.4114708261375164E-2</v>
      </c>
      <c r="N192" s="103"/>
      <c r="P192" s="110" t="s">
        <v>206</v>
      </c>
      <c r="Q192" s="111"/>
      <c r="R192" s="111"/>
      <c r="S192" s="112">
        <f>$B$174</f>
        <v>7.3564778145166321E-2</v>
      </c>
      <c r="T192" s="112">
        <f>$B$180</f>
        <v>6.4114708261375164E-2</v>
      </c>
      <c r="U192" s="103"/>
      <c r="W192" s="110" t="s">
        <v>206</v>
      </c>
      <c r="X192" s="111"/>
      <c r="Y192" s="111"/>
      <c r="Z192" s="112">
        <f>$B$174</f>
        <v>7.3564778145166321E-2</v>
      </c>
      <c r="AA192" s="112">
        <f>$B$180</f>
        <v>6.4114708261375164E-2</v>
      </c>
      <c r="AB192" s="103"/>
      <c r="AD192" s="110" t="s">
        <v>206</v>
      </c>
      <c r="AE192" s="111"/>
      <c r="AF192" s="111"/>
      <c r="AG192" s="112">
        <f>$B$174</f>
        <v>7.3564778145166321E-2</v>
      </c>
      <c r="AH192" s="112">
        <f>$B$180</f>
        <v>6.4114708261375164E-2</v>
      </c>
      <c r="AI192" s="103"/>
      <c r="AK192" s="110" t="s">
        <v>206</v>
      </c>
      <c r="AL192" s="111"/>
      <c r="AM192" s="111"/>
      <c r="AN192" s="112">
        <f>$B$174</f>
        <v>7.3564778145166321E-2</v>
      </c>
      <c r="AO192" s="112">
        <f>$B$180</f>
        <v>6.4114708261375164E-2</v>
      </c>
      <c r="AP192" s="103"/>
      <c r="AR192" s="110" t="s">
        <v>206</v>
      </c>
      <c r="AS192" s="111"/>
      <c r="AT192" s="111"/>
      <c r="AU192" s="112">
        <f>$B$174</f>
        <v>7.3564778145166321E-2</v>
      </c>
      <c r="AV192" s="112">
        <f>$B$180</f>
        <v>6.4114708261375164E-2</v>
      </c>
      <c r="AW192" s="103"/>
      <c r="AY192" s="110" t="s">
        <v>206</v>
      </c>
      <c r="AZ192" s="111"/>
      <c r="BA192" s="111"/>
      <c r="BB192" s="112">
        <f>$B$174</f>
        <v>7.3564778145166321E-2</v>
      </c>
      <c r="BC192" s="112">
        <f>$B$180</f>
        <v>6.4114708261375164E-2</v>
      </c>
      <c r="BD192" s="103"/>
    </row>
    <row r="193" spans="2:56">
      <c r="B193" s="113">
        <f t="shared" ref="B193:B200" si="29">B194-1</f>
        <v>-10</v>
      </c>
      <c r="C193" s="114">
        <f>IF(ISERROR((D193-D203)/D203*100),"error",(D193-D203)/D203*100)</f>
        <v>-100</v>
      </c>
      <c r="D193" s="123">
        <v>0</v>
      </c>
      <c r="E193" s="115">
        <f t="dataTable" ref="E193:F213" dt2D="0" dtr="0" r1="B23" ca="1"/>
        <v>3.0597053074483765E-2</v>
      </c>
      <c r="F193" s="115">
        <v>2.6666581222568889E-2</v>
      </c>
      <c r="G193" s="104">
        <f>(F193-F203)/F203*100</f>
        <v>-58.40801284806949</v>
      </c>
      <c r="I193" s="113">
        <f t="shared" ref="I193:I200" si="30">I194-1</f>
        <v>-10</v>
      </c>
      <c r="J193" s="114">
        <f>IF(ISERROR((K193-K$203)/K$203*100),"error",(K193-K$203)/K$203*100)</f>
        <v>-100</v>
      </c>
      <c r="K193" s="116">
        <v>0</v>
      </c>
      <c r="L193" s="115">
        <f t="dataTable" ref="L193:M213" dt2D="0" dtr="0" r1="B54" ca="1"/>
        <v>2.5624790892304225E-2</v>
      </c>
      <c r="M193" s="115">
        <v>2.2333051682380149E-2</v>
      </c>
      <c r="N193" s="104">
        <f>(M193-M203)/M203*100</f>
        <v>-65.16703844095268</v>
      </c>
      <c r="P193" s="113">
        <f t="shared" ref="P193:P200" si="31">P194-1</f>
        <v>-10</v>
      </c>
      <c r="Q193" s="114" t="str">
        <f>IF(ISERROR((R193-R$203)/R$203*100),"error",(R193-R$203)/R$203*100)</f>
        <v>error</v>
      </c>
      <c r="R193" s="117">
        <v>0</v>
      </c>
      <c r="S193" s="115">
        <f t="dataTable" ref="S193:T213" dt2D="0" dtr="0" r1="B47" ca="1"/>
        <v>0.10024992915358852</v>
      </c>
      <c r="T193" s="115">
        <v>8.7371907086056841E-2</v>
      </c>
      <c r="U193" s="104">
        <f>(T193-T203)/T203*100</f>
        <v>0</v>
      </c>
      <c r="W193" s="113">
        <f t="shared" ref="W193:W200" si="32">W194-1</f>
        <v>-10</v>
      </c>
      <c r="X193" s="114">
        <f>IF(ISERROR((Y193-Y$203)/Y$203*100),"error",(Y193-Y$203)/Y$203*100)</f>
        <v>-100</v>
      </c>
      <c r="Y193" s="21">
        <v>0</v>
      </c>
      <c r="Z193" s="115">
        <f t="dataTable" ref="Z193:AA213" dt2D="0" dtr="0" r1="B85" ca="1"/>
        <v>0.11496641930670688</v>
      </c>
      <c r="AA193" s="115">
        <v>0.10019792922040867</v>
      </c>
      <c r="AB193" s="104">
        <f>(AA193-AA203)/AA203*100</f>
        <v>56.27916267190011</v>
      </c>
      <c r="AD193" s="113">
        <f t="shared" ref="AD193:AD200" si="33">AD194-1</f>
        <v>-10</v>
      </c>
      <c r="AE193" s="114">
        <f>IF(ISERROR((AF193-AF$203)/AF$203*100),"error",(AF193-AF$203)/AF$203*100)</f>
        <v>-80</v>
      </c>
      <c r="AF193" s="118">
        <v>1</v>
      </c>
      <c r="AG193" s="115">
        <f t="dataTable" ref="AG193:AH213" dt2D="0" dtr="0" r1="B87" ca="1"/>
        <v>6.6822992976307005E-2</v>
      </c>
      <c r="AH193" s="115">
        <v>5.8238967177655449E-2</v>
      </c>
      <c r="AI193" s="104">
        <f>(AH193-AH203)/AH203*100</f>
        <v>-9.1644199015399046</v>
      </c>
      <c r="AK193" s="113">
        <f t="shared" ref="AK193:AK200" si="34">AK194-1</f>
        <v>-10</v>
      </c>
      <c r="AL193" s="114">
        <f>IF(ISERROR((AM193-AM$203)/AM$203*100),"error",(AM193-AM$203)/AM$203*100)</f>
        <v>-93.333333333333329</v>
      </c>
      <c r="AM193" s="118">
        <v>1</v>
      </c>
      <c r="AN193" s="115">
        <f t="dataTable" ref="AN193:AO213" dt2D="0" dtr="0" r1="B89" ca="1"/>
        <v>6.3947587992817689E-2</v>
      </c>
      <c r="AO193" s="115">
        <v>5.1395091492137474E-2</v>
      </c>
      <c r="AP193" s="104">
        <f>(AO193-AO203)/AO203*100</f>
        <v>-19.838843713339351</v>
      </c>
      <c r="AR193" s="113">
        <f t="shared" ref="AR193:AR200" si="35">AR194-1</f>
        <v>-10</v>
      </c>
      <c r="AS193" s="114">
        <f>IF(ISERROR((AT193-AT$203)/AT$203*100),"error",(AT193-AT$203)/AT$203*100)</f>
        <v>-75</v>
      </c>
      <c r="AT193" s="118">
        <v>5</v>
      </c>
      <c r="AU193" s="115">
        <f t="dataTable" ref="AU193:AV213" dt2D="0" dtr="0" r1="B31" ca="1"/>
        <v>0.11422049631449153</v>
      </c>
      <c r="AV193" s="115">
        <v>9.9547826872013551E-2</v>
      </c>
      <c r="AW193" s="104">
        <f>(AV193-AV203)/AV203*100</f>
        <v>55.265195103421341</v>
      </c>
      <c r="AY193" s="113">
        <f t="shared" ref="AY193:AY200" si="36">AY194-1</f>
        <v>-10</v>
      </c>
      <c r="AZ193" s="114">
        <f>IF(ISERROR((BA193-BA$203)/BA$203*100),"error",(BA193-BA$203)/BA$203*100)</f>
        <v>-52.941176470588239</v>
      </c>
      <c r="BA193" s="118">
        <v>40</v>
      </c>
      <c r="BB193" s="115">
        <f t="dataTable" ref="BB193:BC213" dt2D="0" dtr="0" r1="B29"/>
        <v>0.13621452234450138</v>
      </c>
      <c r="BC193" s="115">
        <v>0.11871651871017183</v>
      </c>
      <c r="BD193" s="104">
        <f>(BC193-BC203)/BC203*100</f>
        <v>85.162690324040071</v>
      </c>
    </row>
    <row r="194" spans="2:56">
      <c r="B194" s="113">
        <f t="shared" si="29"/>
        <v>-9</v>
      </c>
      <c r="C194" s="114">
        <f>IF(ISERROR((D194-D203)/D203*100),"error",(D194-D203)/D203*100)</f>
        <v>-90</v>
      </c>
      <c r="D194" s="114">
        <f>D203+B194*(D203-D193)/10</f>
        <v>7000000</v>
      </c>
      <c r="E194" s="115">
        <v>3.4893825581552025E-2</v>
      </c>
      <c r="F194" s="115">
        <v>3.0411393926449523E-2</v>
      </c>
      <c r="G194" s="104">
        <f>(F194-F203)/F203*100</f>
        <v>-52.567211563262525</v>
      </c>
      <c r="I194" s="113">
        <f t="shared" si="30"/>
        <v>-9</v>
      </c>
      <c r="J194" s="114">
        <f t="shared" ref="J194:J213" si="37">IF(ISERROR((K194-K$203)/K$203*100),"error",(K194-K$203)/K$203*100)</f>
        <v>-90.000000000000014</v>
      </c>
      <c r="K194" s="119">
        <f>K203+I194*(K203-K193)/10</f>
        <v>2.2049999999999983</v>
      </c>
      <c r="L194" s="115">
        <v>3.0418789617590428E-2</v>
      </c>
      <c r="M194" s="115">
        <v>2.6511217340279641E-2</v>
      </c>
      <c r="N194" s="104">
        <f>(M194-M203)/M203*100</f>
        <v>-58.650334596857419</v>
      </c>
      <c r="P194" s="113">
        <f t="shared" si="31"/>
        <v>-9</v>
      </c>
      <c r="Q194" s="114" t="str">
        <f t="shared" ref="Q194:Q213" si="38">IF(ISERROR((R194-R$203)/R$203*100),"error",(R194-R$203)/R$203*100)</f>
        <v>error</v>
      </c>
      <c r="R194" s="120">
        <f>R203+P194*(R203-R193)/10</f>
        <v>0</v>
      </c>
      <c r="S194" s="115">
        <v>0.10024992915358852</v>
      </c>
      <c r="T194" s="115">
        <v>8.7371907086056841E-2</v>
      </c>
      <c r="U194" s="104">
        <f>(T194-T203)/T203*100</f>
        <v>0</v>
      </c>
      <c r="W194" s="113">
        <f t="shared" si="32"/>
        <v>-9</v>
      </c>
      <c r="X194" s="114">
        <f t="shared" ref="X194:X213" si="39">IF(ISERROR((Y194-Y$203)/Y$203*100),"error",(Y194-Y$203)/Y$203*100)</f>
        <v>-90</v>
      </c>
      <c r="Y194" s="114">
        <f>Y203+W194*(Y203-Y193)/10</f>
        <v>7.5</v>
      </c>
      <c r="Z194" s="115">
        <v>0.11082625519055282</v>
      </c>
      <c r="AA194" s="115">
        <v>9.6589607124505317E-2</v>
      </c>
      <c r="AB194" s="104">
        <f>(AA194-AA203)/AA203*100</f>
        <v>50.651246404710093</v>
      </c>
      <c r="AD194" s="113">
        <f t="shared" si="33"/>
        <v>-9</v>
      </c>
      <c r="AE194" s="114">
        <f t="shared" ref="AE194:AE213" si="40">IF(ISERROR((AF194-AF$203)/AF$203*100),"error",(AF194-AF$203)/AF$203*100)</f>
        <v>-72</v>
      </c>
      <c r="AF194" s="121">
        <f>AF203+AD194*(AF203-AF193)/10</f>
        <v>1.4</v>
      </c>
      <c r="AG194" s="115">
        <v>6.7413650799512725E-2</v>
      </c>
      <c r="AH194" s="115">
        <v>5.8753749590815231E-2</v>
      </c>
      <c r="AI194" s="104">
        <f>(AH194-AH203)/AH203*100</f>
        <v>-8.3615114471160332</v>
      </c>
      <c r="AK194" s="113">
        <f t="shared" si="34"/>
        <v>-9</v>
      </c>
      <c r="AL194" s="114">
        <f t="shared" ref="AL194:AL213" si="41">IF(ISERROR((AM194-AM$203)/AM$203*100),"error",(AM194-AM$203)/AM$203*100)</f>
        <v>-84</v>
      </c>
      <c r="AM194" s="121">
        <f>AM203+AK194*(AM203-AM193)/10</f>
        <v>2.4000000000000004</v>
      </c>
      <c r="AN194" s="115">
        <v>6.4324772672229233E-2</v>
      </c>
      <c r="AO194" s="115">
        <v>5.2191448750893626E-2</v>
      </c>
      <c r="AP194" s="104">
        <f>(AO194-AO203)/AO203*100</f>
        <v>-18.596761700722745</v>
      </c>
      <c r="AR194" s="113">
        <f t="shared" si="35"/>
        <v>-9</v>
      </c>
      <c r="AS194" s="114">
        <f t="shared" ref="AS194:AS213" si="42">IF(ISERROR((AT194-AT$203)/AT$203*100),"error",(AT194-AT$203)/AT$203*100)</f>
        <v>-67.5</v>
      </c>
      <c r="AT194" s="122">
        <f>AT203+AR194*(AT203-AT193)/10</f>
        <v>6.5</v>
      </c>
      <c r="AU194" s="115">
        <v>0.10171104457008374</v>
      </c>
      <c r="AV194" s="115">
        <v>8.8645328837970938E-2</v>
      </c>
      <c r="AW194" s="104">
        <f>(AV194-AV203)/AV203*100</f>
        <v>38.260519686983955</v>
      </c>
      <c r="AY194" s="113">
        <f t="shared" si="36"/>
        <v>-9</v>
      </c>
      <c r="AZ194" s="114">
        <f t="shared" ref="AZ194:AZ213" si="43">IF(ISERROR((BA194-BA$203)/BA$203*100),"error",(BA194-BA$203)/BA$203*100)</f>
        <v>-47.647058823529406</v>
      </c>
      <c r="BA194" s="121">
        <f>BA203+AY194*(BA203-BA193)/10</f>
        <v>44.5</v>
      </c>
      <c r="BB194" s="115">
        <v>0.12424771727271829</v>
      </c>
      <c r="BC194" s="115">
        <v>0.10828695941096346</v>
      </c>
      <c r="BD194" s="104">
        <f>(BC194-BC203)/BC203*100</f>
        <v>68.895659587987438</v>
      </c>
    </row>
    <row r="195" spans="2:56">
      <c r="B195" s="113">
        <f t="shared" si="29"/>
        <v>-8</v>
      </c>
      <c r="C195" s="114">
        <f>IF(ISERROR((D195-D203)/D203*100),"error",(D195-D203)/D203*100)</f>
        <v>-80</v>
      </c>
      <c r="D195" s="114">
        <f>D203+B195*(D203-D193)/10</f>
        <v>14000000</v>
      </c>
      <c r="E195" s="115">
        <v>3.9190598088620264E-2</v>
      </c>
      <c r="F195" s="115">
        <v>3.4156206630330144E-2</v>
      </c>
      <c r="G195" s="104">
        <f>(F195-F203)/F203*100</f>
        <v>-46.726410278455589</v>
      </c>
      <c r="I195" s="113">
        <f t="shared" si="30"/>
        <v>-8</v>
      </c>
      <c r="J195" s="114">
        <f t="shared" si="37"/>
        <v>-80</v>
      </c>
      <c r="K195" s="119">
        <f>K203+I195*(K203-K193)/10</f>
        <v>4.41</v>
      </c>
      <c r="L195" s="115">
        <v>3.5212788342876646E-2</v>
      </c>
      <c r="M195" s="115">
        <v>3.0689382998179155E-2</v>
      </c>
      <c r="N195" s="104">
        <f>(M195-M203)/M203*100</f>
        <v>-52.133630752762137</v>
      </c>
      <c r="P195" s="113">
        <f t="shared" si="31"/>
        <v>-8</v>
      </c>
      <c r="Q195" s="114" t="str">
        <f t="shared" si="38"/>
        <v>error</v>
      </c>
      <c r="R195" s="120">
        <f>R203+P195*(R203-R193)/10</f>
        <v>0</v>
      </c>
      <c r="S195" s="115">
        <v>0.10024992915358852</v>
      </c>
      <c r="T195" s="115">
        <v>8.7371907086056841E-2</v>
      </c>
      <c r="U195" s="104">
        <f>(T195-T203)/T203*100</f>
        <v>0</v>
      </c>
      <c r="W195" s="113">
        <f t="shared" si="32"/>
        <v>-8</v>
      </c>
      <c r="X195" s="114">
        <f t="shared" si="39"/>
        <v>-80</v>
      </c>
      <c r="Y195" s="114">
        <f>Y203+W195*(Y203-Y193)/10</f>
        <v>15</v>
      </c>
      <c r="Z195" s="115">
        <v>0.1066860910743988</v>
      </c>
      <c r="AA195" s="115">
        <v>9.2981285028601993E-2</v>
      </c>
      <c r="AB195" s="104">
        <f>(AA195-AA203)/AA203*100</f>
        <v>45.023330137520126</v>
      </c>
      <c r="AD195" s="113">
        <f t="shared" si="33"/>
        <v>-8</v>
      </c>
      <c r="AE195" s="114">
        <f t="shared" si="40"/>
        <v>-64</v>
      </c>
      <c r="AF195" s="121">
        <f>AF203+AD195*(AF203-AF193)/10</f>
        <v>1.7999999999999998</v>
      </c>
      <c r="AG195" s="115">
        <v>6.8023296310049775E-2</v>
      </c>
      <c r="AH195" s="115">
        <v>5.9285080548869759E-2</v>
      </c>
      <c r="AI195" s="104">
        <f>(AH195-AH203)/AH203*100</f>
        <v>-7.5327921524910595</v>
      </c>
      <c r="AK195" s="113">
        <f t="shared" si="34"/>
        <v>-8</v>
      </c>
      <c r="AL195" s="114">
        <f t="shared" si="41"/>
        <v>-74.666666666666657</v>
      </c>
      <c r="AM195" s="121">
        <f>AM203+AK195*(AM203-AM193)/10</f>
        <v>3.8000000000000007</v>
      </c>
      <c r="AN195" s="115">
        <v>6.483719930544711E-2</v>
      </c>
      <c r="AO195" s="115">
        <v>5.3098674079379349E-2</v>
      </c>
      <c r="AP195" s="104">
        <f>(AO195-AO203)/AO203*100</f>
        <v>-17.181758259098622</v>
      </c>
      <c r="AR195" s="113">
        <f t="shared" si="35"/>
        <v>-8</v>
      </c>
      <c r="AS195" s="114">
        <f t="shared" si="42"/>
        <v>-60</v>
      </c>
      <c r="AT195" s="122">
        <f>AT203+AR195*(AT203-AT193)/10</f>
        <v>8</v>
      </c>
      <c r="AU195" s="115">
        <v>9.3892637229828935E-2</v>
      </c>
      <c r="AV195" s="115">
        <v>8.1831267566694357E-2</v>
      </c>
      <c r="AW195" s="104">
        <f>(AV195-AV203)/AV203*100</f>
        <v>27.632597551710671</v>
      </c>
      <c r="AY195" s="113">
        <f t="shared" si="36"/>
        <v>-8</v>
      </c>
      <c r="AZ195" s="114">
        <f t="shared" si="43"/>
        <v>-42.352941176470587</v>
      </c>
      <c r="BA195" s="121">
        <f>BA203+AY195*(BA203-BA193)/10</f>
        <v>49</v>
      </c>
      <c r="BB195" s="115">
        <v>0.11447889680595659</v>
      </c>
      <c r="BC195" s="115">
        <v>9.9773033452426052E-2</v>
      </c>
      <c r="BD195" s="104">
        <f>(BC195-BC203)/BC203*100</f>
        <v>55.616450823862905</v>
      </c>
    </row>
    <row r="196" spans="2:56">
      <c r="B196" s="113">
        <f t="shared" si="29"/>
        <v>-7</v>
      </c>
      <c r="C196" s="114">
        <f>IF(ISERROR((D196-D203)/D203*100),"error",(D196-D203)/D203*100)</f>
        <v>-70</v>
      </c>
      <c r="D196" s="114">
        <f>D203+B196*(D203-D193)/10</f>
        <v>21000000</v>
      </c>
      <c r="E196" s="115">
        <v>4.3487370595688545E-2</v>
      </c>
      <c r="F196" s="115">
        <v>3.7901019334210785E-2</v>
      </c>
      <c r="G196" s="104">
        <f>(F196-F203)/F203*100</f>
        <v>-40.885608993648617</v>
      </c>
      <c r="I196" s="113">
        <f t="shared" si="30"/>
        <v>-7</v>
      </c>
      <c r="J196" s="114">
        <f t="shared" si="37"/>
        <v>-70</v>
      </c>
      <c r="K196" s="119">
        <f>K203+I196*(K203-K193)/10</f>
        <v>6.615000000000002</v>
      </c>
      <c r="L196" s="115">
        <v>4.0006787068162852E-2</v>
      </c>
      <c r="M196" s="115">
        <v>3.4867548656078648E-2</v>
      </c>
      <c r="N196" s="104">
        <f>(M196-M203)/M203*100</f>
        <v>-45.616926908666883</v>
      </c>
      <c r="P196" s="113">
        <f t="shared" si="31"/>
        <v>-7</v>
      </c>
      <c r="Q196" s="114" t="str">
        <f t="shared" si="38"/>
        <v>error</v>
      </c>
      <c r="R196" s="120">
        <f>R203+P196*(R203-R193)/10</f>
        <v>0</v>
      </c>
      <c r="S196" s="115">
        <v>0.10024992915358852</v>
      </c>
      <c r="T196" s="115">
        <v>8.7371907086056841E-2</v>
      </c>
      <c r="U196" s="104">
        <f>(T196-T203)/T203*100</f>
        <v>0</v>
      </c>
      <c r="W196" s="113">
        <f t="shared" si="32"/>
        <v>-7</v>
      </c>
      <c r="X196" s="114">
        <f t="shared" si="39"/>
        <v>-70</v>
      </c>
      <c r="Y196" s="114">
        <f>Y203+W196*(Y203-Y193)/10</f>
        <v>22.5</v>
      </c>
      <c r="Z196" s="115">
        <v>0.10254592695824474</v>
      </c>
      <c r="AA196" s="115">
        <v>8.9372962932698655E-2</v>
      </c>
      <c r="AB196" s="104">
        <f>(AA196-AA203)/AA203*100</f>
        <v>39.395413870330131</v>
      </c>
      <c r="AD196" s="113">
        <f t="shared" si="33"/>
        <v>-7</v>
      </c>
      <c r="AE196" s="114">
        <f t="shared" si="40"/>
        <v>-55.999999999999993</v>
      </c>
      <c r="AF196" s="121">
        <f>AF203+AD196*(AF203-AF193)/10</f>
        <v>2.2000000000000002</v>
      </c>
      <c r="AG196" s="115">
        <v>6.8651805912443839E-2</v>
      </c>
      <c r="AH196" s="115">
        <v>5.9832852333315985E-2</v>
      </c>
      <c r="AI196" s="104">
        <f>(AH196-AH203)/AH203*100</f>
        <v>-6.6784300267006156</v>
      </c>
      <c r="AK196" s="113">
        <f t="shared" si="34"/>
        <v>-7</v>
      </c>
      <c r="AL196" s="114">
        <f t="shared" si="41"/>
        <v>-65.333333333333343</v>
      </c>
      <c r="AM196" s="121">
        <f>AM203+AK196*(AM203-AM193)/10</f>
        <v>5.1999999999999993</v>
      </c>
      <c r="AN196" s="115">
        <v>6.5486286676131295E-2</v>
      </c>
      <c r="AO196" s="115">
        <v>5.4117448870640759E-2</v>
      </c>
      <c r="AP196" s="104">
        <f>(AO196-AO203)/AO203*100</f>
        <v>-15.592770616655971</v>
      </c>
      <c r="AR196" s="113">
        <f t="shared" si="35"/>
        <v>-7</v>
      </c>
      <c r="AS196" s="114">
        <f t="shared" si="42"/>
        <v>-52.5</v>
      </c>
      <c r="AT196" s="122">
        <f>AT203+AR196*(AT203-AT193)/10</f>
        <v>9.5</v>
      </c>
      <c r="AU196" s="115">
        <v>8.8543200628601909E-2</v>
      </c>
      <c r="AV196" s="115">
        <v>7.7169015117926135E-2</v>
      </c>
      <c r="AW196" s="104">
        <f>(AV196-AV203)/AV203*100</f>
        <v>20.360861353892052</v>
      </c>
      <c r="AY196" s="113">
        <f t="shared" si="36"/>
        <v>-7</v>
      </c>
      <c r="AZ196" s="114">
        <f t="shared" si="43"/>
        <v>-37.058823529411768</v>
      </c>
      <c r="BA196" s="121">
        <f>BA203+AY196*(BA203-BA193)/10</f>
        <v>53.5</v>
      </c>
      <c r="BB196" s="115">
        <v>0.10635342931491172</v>
      </c>
      <c r="BC196" s="115">
        <v>9.2691356720558421E-2</v>
      </c>
      <c r="BD196" s="104">
        <f>(BC196-BC203)/BC203*100</f>
        <v>44.571127646226508</v>
      </c>
    </row>
    <row r="197" spans="2:56">
      <c r="B197" s="113">
        <f t="shared" si="29"/>
        <v>-6</v>
      </c>
      <c r="C197" s="114">
        <f>IF(ISERROR((D197-D203)/D203*100),"error",(D197-D203)/D203*100)</f>
        <v>-60</v>
      </c>
      <c r="D197" s="114">
        <f>D203+B197*(D203-D193)/10</f>
        <v>28000000</v>
      </c>
      <c r="E197" s="115">
        <v>4.7784143102756811E-2</v>
      </c>
      <c r="F197" s="115">
        <v>4.164583203809142E-2</v>
      </c>
      <c r="G197" s="104">
        <f>(F197-F203)/F203*100</f>
        <v>-35.04480770884166</v>
      </c>
      <c r="I197" s="113">
        <f t="shared" si="30"/>
        <v>-6</v>
      </c>
      <c r="J197" s="114">
        <f t="shared" si="37"/>
        <v>-60</v>
      </c>
      <c r="K197" s="119">
        <f>K203+I197*(K203-K193)/10</f>
        <v>8.82</v>
      </c>
      <c r="L197" s="115">
        <v>4.4800785793449066E-2</v>
      </c>
      <c r="M197" s="115">
        <v>3.9045714313978158E-2</v>
      </c>
      <c r="N197" s="104">
        <f>(M197-M203)/M203*100</f>
        <v>-39.100223064571601</v>
      </c>
      <c r="P197" s="113">
        <f t="shared" si="31"/>
        <v>-6</v>
      </c>
      <c r="Q197" s="114" t="str">
        <f t="shared" si="38"/>
        <v>error</v>
      </c>
      <c r="R197" s="120">
        <f>R203+P197*(R203-R193)/10</f>
        <v>0</v>
      </c>
      <c r="S197" s="115">
        <v>0.10024992915358852</v>
      </c>
      <c r="T197" s="115">
        <v>8.7371907086056841E-2</v>
      </c>
      <c r="U197" s="104">
        <f>(T197-T203)/T203*100</f>
        <v>0</v>
      </c>
      <c r="W197" s="113">
        <f t="shared" si="32"/>
        <v>-6</v>
      </c>
      <c r="X197" s="114">
        <f t="shared" si="39"/>
        <v>-60</v>
      </c>
      <c r="Y197" s="114">
        <f>Y203+W197*(Y203-Y193)/10</f>
        <v>30</v>
      </c>
      <c r="Z197" s="115">
        <v>9.8405762842090669E-2</v>
      </c>
      <c r="AA197" s="115">
        <v>8.5764640836795261E-2</v>
      </c>
      <c r="AB197" s="104">
        <f>(AA197-AA203)/AA203*100</f>
        <v>33.767497603140058</v>
      </c>
      <c r="AD197" s="113">
        <f t="shared" si="33"/>
        <v>-6</v>
      </c>
      <c r="AE197" s="114">
        <f t="shared" si="40"/>
        <v>-48</v>
      </c>
      <c r="AF197" s="121">
        <f>AF203+AD197*(AF203-AF193)/10</f>
        <v>2.6</v>
      </c>
      <c r="AG197" s="115">
        <v>6.9299033836182911E-2</v>
      </c>
      <c r="AH197" s="115">
        <v>6.0396937899199976E-2</v>
      </c>
      <c r="AI197" s="104">
        <f>(AH197-AH203)/AH203*100</f>
        <v>-5.7986232223330516</v>
      </c>
      <c r="AK197" s="113">
        <f t="shared" si="34"/>
        <v>-6</v>
      </c>
      <c r="AL197" s="114">
        <f t="shared" si="41"/>
        <v>-56.000000000000007</v>
      </c>
      <c r="AM197" s="121">
        <f>AM203+AK197*(AM203-AM193)/10</f>
        <v>6.6</v>
      </c>
      <c r="AN197" s="115">
        <v>6.6271117767161089E-2</v>
      </c>
      <c r="AO197" s="115">
        <v>5.5246700181606372E-2</v>
      </c>
      <c r="AP197" s="104">
        <f>(AO197-AO203)/AO203*100</f>
        <v>-13.831472247548501</v>
      </c>
      <c r="AR197" s="113">
        <f t="shared" si="35"/>
        <v>-6</v>
      </c>
      <c r="AS197" s="114">
        <f t="shared" si="42"/>
        <v>-45</v>
      </c>
      <c r="AT197" s="122">
        <f>AT203+AR197*(AT203-AT193)/10</f>
        <v>11</v>
      </c>
      <c r="AU197" s="115">
        <v>8.4652701282254966E-2</v>
      </c>
      <c r="AV197" s="115">
        <v>7.3778286064276513E-2</v>
      </c>
      <c r="AW197" s="104">
        <f>(AV197-AV203)/AV203*100</f>
        <v>15.072325937296686</v>
      </c>
      <c r="AY197" s="113">
        <f t="shared" si="36"/>
        <v>-6</v>
      </c>
      <c r="AZ197" s="114">
        <f t="shared" si="43"/>
        <v>-31.764705882352938</v>
      </c>
      <c r="BA197" s="121">
        <f>BA203+AY197*(BA203-BA193)/10</f>
        <v>58</v>
      </c>
      <c r="BB197" s="115">
        <v>9.9488810227649799E-2</v>
      </c>
      <c r="BC197" s="115">
        <v>8.6708560860877221E-2</v>
      </c>
      <c r="BD197" s="104">
        <f>(BC197-BC203)/BC203*100</f>
        <v>35.239733927188979</v>
      </c>
    </row>
    <row r="198" spans="2:56">
      <c r="B198" s="113">
        <f t="shared" si="29"/>
        <v>-5</v>
      </c>
      <c r="C198" s="114">
        <f>IF(ISERROR((D198-D203)/D203*100),"error",(D198-D203)/D203*100)</f>
        <v>-50</v>
      </c>
      <c r="D198" s="114">
        <f>D203+B198*(D203-D193)/10</f>
        <v>35000000</v>
      </c>
      <c r="E198" s="115">
        <v>5.208091560982505E-2</v>
      </c>
      <c r="F198" s="115">
        <v>4.539064474197204E-2</v>
      </c>
      <c r="G198" s="104">
        <f>(F198-F203)/F203*100</f>
        <v>-29.204006424034723</v>
      </c>
      <c r="I198" s="113">
        <f t="shared" si="30"/>
        <v>-5</v>
      </c>
      <c r="J198" s="114">
        <f t="shared" si="37"/>
        <v>-50</v>
      </c>
      <c r="K198" s="119">
        <f>K203+I198*(K203-K193)/10</f>
        <v>11.025</v>
      </c>
      <c r="L198" s="115">
        <v>4.9594784518735266E-2</v>
      </c>
      <c r="M198" s="115">
        <v>4.3223879971877648E-2</v>
      </c>
      <c r="N198" s="104">
        <f>(M198-M203)/M203*100</f>
        <v>-32.583519220476354</v>
      </c>
      <c r="P198" s="113">
        <f t="shared" si="31"/>
        <v>-5</v>
      </c>
      <c r="Q198" s="114" t="str">
        <f t="shared" si="38"/>
        <v>error</v>
      </c>
      <c r="R198" s="120">
        <f>R203+P198*(R203-R193)/10</f>
        <v>0</v>
      </c>
      <c r="S198" s="115">
        <v>0.10024992915358852</v>
      </c>
      <c r="T198" s="115">
        <v>8.7371907086056841E-2</v>
      </c>
      <c r="U198" s="104">
        <f>(T198-T203)/T203*100</f>
        <v>0</v>
      </c>
      <c r="W198" s="113">
        <f t="shared" si="32"/>
        <v>-5</v>
      </c>
      <c r="X198" s="114">
        <f t="shared" si="39"/>
        <v>-50</v>
      </c>
      <c r="Y198" s="114">
        <f>Y203+W198*(Y203-Y193)/10</f>
        <v>37.5</v>
      </c>
      <c r="Z198" s="115">
        <v>9.4265598725936595E-2</v>
      </c>
      <c r="AA198" s="115">
        <v>8.2156318740891909E-2</v>
      </c>
      <c r="AB198" s="104">
        <f>(AA198-AA203)/AA203*100</f>
        <v>28.139581335950041</v>
      </c>
      <c r="AD198" s="113">
        <f t="shared" si="33"/>
        <v>-5</v>
      </c>
      <c r="AE198" s="114">
        <f t="shared" si="40"/>
        <v>-40</v>
      </c>
      <c r="AF198" s="121">
        <f>AF203+AD198*(AF203-AF193)/10</f>
        <v>3</v>
      </c>
      <c r="AG198" s="115">
        <v>6.9964813075284349E-2</v>
      </c>
      <c r="AH198" s="115">
        <v>6.0977191693987964E-2</v>
      </c>
      <c r="AI198" s="104">
        <f>(AH198-AH203)/AH203*100</f>
        <v>-4.893598758332562</v>
      </c>
      <c r="AK198" s="113">
        <f t="shared" si="34"/>
        <v>-5</v>
      </c>
      <c r="AL198" s="114">
        <f t="shared" si="41"/>
        <v>-46.666666666666664</v>
      </c>
      <c r="AM198" s="121">
        <f>AM203+AK198*(AM203-AM193)/10</f>
        <v>8</v>
      </c>
      <c r="AN198" s="115">
        <v>6.7188721635613236E-2</v>
      </c>
      <c r="AO198" s="115">
        <v>5.6483777403315033E-2</v>
      </c>
      <c r="AP198" s="104">
        <f>(AO198-AO203)/AO203*100</f>
        <v>-11.901997318542364</v>
      </c>
      <c r="AR198" s="113">
        <f t="shared" si="35"/>
        <v>-5</v>
      </c>
      <c r="AS198" s="114">
        <f t="shared" si="42"/>
        <v>-37.5</v>
      </c>
      <c r="AT198" s="122">
        <f>AT203+AR198*(AT203-AT193)/10</f>
        <v>12.5</v>
      </c>
      <c r="AU198" s="115">
        <v>8.169592177903133E-2</v>
      </c>
      <c r="AV198" s="115">
        <v>7.1201331983502814E-2</v>
      </c>
      <c r="AW198" s="104">
        <f>(AV198-AV203)/AV203*100</f>
        <v>11.053039020684226</v>
      </c>
      <c r="AY198" s="113">
        <f t="shared" si="36"/>
        <v>-5</v>
      </c>
      <c r="AZ198" s="114">
        <f t="shared" si="43"/>
        <v>-26.47058823529412</v>
      </c>
      <c r="BA198" s="121">
        <f>BA203+AY198*(BA203-BA193)/10</f>
        <v>62.5</v>
      </c>
      <c r="BB198" s="115">
        <v>9.3612696288953523E-2</v>
      </c>
      <c r="BC198" s="115">
        <v>8.158728760499008E-2</v>
      </c>
      <c r="BD198" s="104">
        <f>(BC198-BC203)/BC203*100</f>
        <v>27.252060903692797</v>
      </c>
    </row>
    <row r="199" spans="2:56">
      <c r="B199" s="113">
        <f t="shared" si="29"/>
        <v>-4</v>
      </c>
      <c r="C199" s="114">
        <f>IF(ISERROR((D199-D203)/D203*100),"error",(D199-D203)/D203*100)</f>
        <v>-40</v>
      </c>
      <c r="D199" s="114">
        <f>D203+B199*(D203-D193)/10</f>
        <v>42000000</v>
      </c>
      <c r="E199" s="115">
        <v>5.6377688116893303E-2</v>
      </c>
      <c r="F199" s="115">
        <v>4.9135457445852661E-2</v>
      </c>
      <c r="G199" s="104">
        <f>(F199-F203)/F203*100</f>
        <v>-23.363205139227787</v>
      </c>
      <c r="I199" s="113">
        <f t="shared" si="30"/>
        <v>-4</v>
      </c>
      <c r="J199" s="114">
        <f t="shared" si="37"/>
        <v>-40</v>
      </c>
      <c r="K199" s="119">
        <f>K203+I199*(K203-K193)/10</f>
        <v>13.23</v>
      </c>
      <c r="L199" s="115">
        <v>5.4388783244021487E-2</v>
      </c>
      <c r="M199" s="115">
        <v>4.7402045629777158E-2</v>
      </c>
      <c r="N199" s="104">
        <f>(M199-M203)/M203*100</f>
        <v>-26.066815376381069</v>
      </c>
      <c r="P199" s="113">
        <f t="shared" si="31"/>
        <v>-4</v>
      </c>
      <c r="Q199" s="114" t="str">
        <f t="shared" si="38"/>
        <v>error</v>
      </c>
      <c r="R199" s="120">
        <f>R203+P199*(R203-R193)/10</f>
        <v>0</v>
      </c>
      <c r="S199" s="115">
        <v>0.10024992915358852</v>
      </c>
      <c r="T199" s="115">
        <v>8.7371907086056841E-2</v>
      </c>
      <c r="U199" s="104">
        <f>(T199-T203)/T203*100</f>
        <v>0</v>
      </c>
      <c r="W199" s="113">
        <f t="shared" si="32"/>
        <v>-4</v>
      </c>
      <c r="X199" s="114">
        <f t="shared" si="39"/>
        <v>-40</v>
      </c>
      <c r="Y199" s="114">
        <f>Y203+W199*(Y203-Y193)/10</f>
        <v>45</v>
      </c>
      <c r="Z199" s="115">
        <v>9.012543460978252E-2</v>
      </c>
      <c r="AA199" s="115">
        <v>7.8547996644988557E-2</v>
      </c>
      <c r="AB199" s="104">
        <f>(AA199-AA203)/AA203*100</f>
        <v>22.511665068760028</v>
      </c>
      <c r="AD199" s="113">
        <f t="shared" si="33"/>
        <v>-4</v>
      </c>
      <c r="AE199" s="114">
        <f t="shared" si="40"/>
        <v>-32</v>
      </c>
      <c r="AF199" s="121">
        <f>AF203+AD199*(AF203-AF193)/10</f>
        <v>3.4</v>
      </c>
      <c r="AG199" s="115">
        <v>7.0648956392226112E-2</v>
      </c>
      <c r="AH199" s="115">
        <v>6.1573450532533408E-2</v>
      </c>
      <c r="AI199" s="104">
        <f>(AH199-AH203)/AH203*100</f>
        <v>-3.9636111553091076</v>
      </c>
      <c r="AK199" s="113">
        <f t="shared" si="34"/>
        <v>-4</v>
      </c>
      <c r="AL199" s="114">
        <f t="shared" si="41"/>
        <v>-37.333333333333329</v>
      </c>
      <c r="AM199" s="121">
        <f>AM203+AK199*(AM203-AM193)/10</f>
        <v>9.4</v>
      </c>
      <c r="AN199" s="115">
        <v>6.8234414514419944E-2</v>
      </c>
      <c r="AO199" s="115">
        <v>5.7824685561044864E-2</v>
      </c>
      <c r="AP199" s="104">
        <f>(AO199-AO203)/AO203*100</f>
        <v>-9.8105768097514972</v>
      </c>
      <c r="AR199" s="113">
        <f t="shared" si="35"/>
        <v>-4</v>
      </c>
      <c r="AS199" s="114">
        <f t="shared" si="42"/>
        <v>-30</v>
      </c>
      <c r="AT199" s="122">
        <f>AT203+AR199*(AT203-AT193)/10</f>
        <v>14</v>
      </c>
      <c r="AU199" s="115">
        <v>7.9372737883641339E-2</v>
      </c>
      <c r="AV199" s="115">
        <v>6.9176582348609211E-2</v>
      </c>
      <c r="AW199" s="104">
        <f>(AV199-AV203)/AV203*100</f>
        <v>7.8950278719173221</v>
      </c>
      <c r="AY199" s="113">
        <f t="shared" si="36"/>
        <v>-4</v>
      </c>
      <c r="AZ199" s="114">
        <f t="shared" si="43"/>
        <v>-21.176470588235293</v>
      </c>
      <c r="BA199" s="121">
        <f>BA203+AY199*(BA203-BA193)/10</f>
        <v>67</v>
      </c>
      <c r="BB199" s="115">
        <v>8.8525911088291095E-2</v>
      </c>
      <c r="BC199" s="115">
        <v>7.7153946577505697E-2</v>
      </c>
      <c r="BD199" s="104">
        <f>(BC199-BC203)/BC203*100</f>
        <v>20.337358883352831</v>
      </c>
    </row>
    <row r="200" spans="2:56">
      <c r="B200" s="113">
        <f t="shared" si="29"/>
        <v>-3</v>
      </c>
      <c r="C200" s="114">
        <f>IF(ISERROR((D200-D203)/D203*100),"error",(D200-D203)/D203*100)</f>
        <v>-30</v>
      </c>
      <c r="D200" s="114">
        <f>D203+B200*(D203-D193)/10</f>
        <v>49000000</v>
      </c>
      <c r="E200" s="115">
        <v>6.0674460623961562E-2</v>
      </c>
      <c r="F200" s="115">
        <v>5.2880270149733288E-2</v>
      </c>
      <c r="G200" s="104">
        <f>(F200-F203)/F203*100</f>
        <v>-17.522403854420833</v>
      </c>
      <c r="I200" s="113">
        <f t="shared" si="30"/>
        <v>-3</v>
      </c>
      <c r="J200" s="114">
        <f t="shared" si="37"/>
        <v>-30</v>
      </c>
      <c r="K200" s="119">
        <f>K203+I200*(K203-K193)/10</f>
        <v>15.435</v>
      </c>
      <c r="L200" s="115">
        <v>5.918278196930768E-2</v>
      </c>
      <c r="M200" s="115">
        <v>5.1580211287676654E-2</v>
      </c>
      <c r="N200" s="104">
        <f>(M200-M203)/M203*100</f>
        <v>-19.550111532285811</v>
      </c>
      <c r="P200" s="113">
        <f t="shared" si="31"/>
        <v>-3</v>
      </c>
      <c r="Q200" s="114" t="str">
        <f t="shared" si="38"/>
        <v>error</v>
      </c>
      <c r="R200" s="120">
        <f>R203+P200*(R203-R193)/10</f>
        <v>0</v>
      </c>
      <c r="S200" s="115">
        <v>0.10024992915358852</v>
      </c>
      <c r="T200" s="115">
        <v>8.7371907086056841E-2</v>
      </c>
      <c r="U200" s="104">
        <f>(T200-T203)/T203*100</f>
        <v>0</v>
      </c>
      <c r="W200" s="113">
        <f t="shared" si="32"/>
        <v>-3</v>
      </c>
      <c r="X200" s="114">
        <f t="shared" si="39"/>
        <v>-30</v>
      </c>
      <c r="Y200" s="114">
        <f>Y203+W200*(Y203-Y193)/10</f>
        <v>52.5</v>
      </c>
      <c r="Z200" s="115">
        <v>8.5985270493628502E-2</v>
      </c>
      <c r="AA200" s="115">
        <v>7.493967454908522E-2</v>
      </c>
      <c r="AB200" s="104">
        <f>(AA200-AA203)/AA203*100</f>
        <v>16.883748801570039</v>
      </c>
      <c r="AD200" s="113">
        <f t="shared" si="33"/>
        <v>-3</v>
      </c>
      <c r="AE200" s="114">
        <f t="shared" si="40"/>
        <v>-24.000000000000004</v>
      </c>
      <c r="AF200" s="121">
        <f>AF203+AD200*(AF203-AF193)/10</f>
        <v>3.8</v>
      </c>
      <c r="AG200" s="115">
        <v>7.1351257377378408E-2</v>
      </c>
      <c r="AH200" s="115">
        <v>6.2185534520414983E-2</v>
      </c>
      <c r="AI200" s="104">
        <f>(AH200-AH203)/AH203*100</f>
        <v>-3.0089409954039827</v>
      </c>
      <c r="AK200" s="113">
        <f t="shared" si="34"/>
        <v>-3</v>
      </c>
      <c r="AL200" s="114">
        <f t="shared" si="41"/>
        <v>-27.999999999999996</v>
      </c>
      <c r="AM200" s="121">
        <f>AM203+AK200*(AM203-AM193)/10</f>
        <v>10.8</v>
      </c>
      <c r="AN200" s="115">
        <v>6.94021670345637E-2</v>
      </c>
      <c r="AO200" s="115">
        <v>5.9264351373207208E-2</v>
      </c>
      <c r="AP200" s="104">
        <f>(AO200-AO203)/AO203*100</f>
        <v>-7.5651235413793065</v>
      </c>
      <c r="AR200" s="113">
        <f t="shared" si="35"/>
        <v>-3</v>
      </c>
      <c r="AS200" s="114">
        <f t="shared" si="42"/>
        <v>-22.5</v>
      </c>
      <c r="AT200" s="122">
        <f>AT203+AR200*(AT203-AT193)/10</f>
        <v>15.5</v>
      </c>
      <c r="AU200" s="115">
        <v>7.7499202484133264E-2</v>
      </c>
      <c r="AV200" s="115">
        <v>6.7543719739824051E-2</v>
      </c>
      <c r="AW200" s="104">
        <f>(AV200-AV203)/AV203*100</f>
        <v>5.3482446874278899</v>
      </c>
      <c r="AY200" s="113">
        <f t="shared" si="36"/>
        <v>-3</v>
      </c>
      <c r="AZ200" s="114">
        <f t="shared" si="43"/>
        <v>-15.882352941176469</v>
      </c>
      <c r="BA200" s="121">
        <f>BA203+AY200*(BA203-BA193)/10</f>
        <v>71.5</v>
      </c>
      <c r="BB200" s="115">
        <v>8.4079420528271498E-2</v>
      </c>
      <c r="BC200" s="115">
        <v>7.3278648476557823E-2</v>
      </c>
      <c r="BD200" s="104">
        <f>(BC200-BC203)/BC203*100</f>
        <v>14.29303893550323</v>
      </c>
    </row>
    <row r="201" spans="2:56">
      <c r="B201" s="113">
        <f>B202-1</f>
        <v>-2</v>
      </c>
      <c r="C201" s="114">
        <f>IF(ISERROR((D201-D203)/D203*100),"error",(D201-D203)/D203*100)</f>
        <v>-20</v>
      </c>
      <c r="D201" s="114">
        <f>D203+B201*(D203-D193)/10</f>
        <v>56000000</v>
      </c>
      <c r="E201" s="115">
        <v>6.4971233131029829E-2</v>
      </c>
      <c r="F201" s="115">
        <v>5.662508285361393E-2</v>
      </c>
      <c r="G201" s="104">
        <f>(F201-F203)/F203*100</f>
        <v>-11.681602569613865</v>
      </c>
      <c r="I201" s="113">
        <f>I202-1</f>
        <v>-2</v>
      </c>
      <c r="J201" s="114">
        <f t="shared" si="37"/>
        <v>-20</v>
      </c>
      <c r="K201" s="119">
        <f>K203+I201*(K203-K193)/10</f>
        <v>17.64</v>
      </c>
      <c r="L201" s="115">
        <v>6.3976780694593907E-2</v>
      </c>
      <c r="M201" s="115">
        <v>5.5758376945576171E-2</v>
      </c>
      <c r="N201" s="104">
        <f>(M201-M203)/M203*100</f>
        <v>-13.033407688190518</v>
      </c>
      <c r="P201" s="113">
        <f>P202-1</f>
        <v>-2</v>
      </c>
      <c r="Q201" s="114" t="str">
        <f t="shared" si="38"/>
        <v>error</v>
      </c>
      <c r="R201" s="120">
        <f>R203+P201*(R203-R193)/10</f>
        <v>0</v>
      </c>
      <c r="S201" s="115">
        <v>0.10024992915358852</v>
      </c>
      <c r="T201" s="115">
        <v>8.7371907086056841E-2</v>
      </c>
      <c r="U201" s="104">
        <f>(T201-T203)/T203*100</f>
        <v>0</v>
      </c>
      <c r="W201" s="113">
        <f>W202-1</f>
        <v>-2</v>
      </c>
      <c r="X201" s="114">
        <f t="shared" si="39"/>
        <v>-20</v>
      </c>
      <c r="Y201" s="114">
        <f>Y203+W201*(Y203-Y193)/10</f>
        <v>60</v>
      </c>
      <c r="Z201" s="115">
        <v>8.1845106377474428E-2</v>
      </c>
      <c r="AA201" s="115">
        <v>7.1331352453181868E-2</v>
      </c>
      <c r="AB201" s="104">
        <f>(AA201-AA203)/AA203*100</f>
        <v>11.255832534380025</v>
      </c>
      <c r="AD201" s="113">
        <f>AD202-1</f>
        <v>-2</v>
      </c>
      <c r="AE201" s="114">
        <f t="shared" si="40"/>
        <v>-15.999999999999998</v>
      </c>
      <c r="AF201" s="121">
        <f>AF203+AD201*(AF203-AF193)/10</f>
        <v>4.2</v>
      </c>
      <c r="AG201" s="115">
        <v>7.2071491555006417E-2</v>
      </c>
      <c r="AH201" s="115">
        <v>6.2813248017863005E-2</v>
      </c>
      <c r="AI201" s="104">
        <f>(AH201-AH203)/AH203*100</f>
        <v>-2.0298934188494191</v>
      </c>
      <c r="AK201" s="113">
        <f>AK202-1</f>
        <v>-2</v>
      </c>
      <c r="AL201" s="114">
        <f t="shared" si="41"/>
        <v>-18.666666666666671</v>
      </c>
      <c r="AM201" s="121">
        <f>AM203+AK201*(AM203-AM193)/10</f>
        <v>12.2</v>
      </c>
      <c r="AN201" s="115">
        <v>7.0684968980666521E-2</v>
      </c>
      <c r="AO201" s="115">
        <v>6.0796899401534557E-2</v>
      </c>
      <c r="AP201" s="104">
        <f>(AO201-AO203)/AO203*100</f>
        <v>-5.1748014610235167</v>
      </c>
      <c r="AR201" s="113">
        <f>AR202-1</f>
        <v>-2</v>
      </c>
      <c r="AS201" s="114">
        <f t="shared" si="42"/>
        <v>-15</v>
      </c>
      <c r="AT201" s="122">
        <f>AT203+AR201*(AT203-AT193)/10</f>
        <v>17</v>
      </c>
      <c r="AU201" s="115">
        <v>7.5956290978656027E-2</v>
      </c>
      <c r="AV201" s="115">
        <v>6.6199009356118596E-2</v>
      </c>
      <c r="AW201" s="104">
        <f>(AV201-AV203)/AV203*100</f>
        <v>3.2508938296130161</v>
      </c>
      <c r="AY201" s="113">
        <f>AY202-1</f>
        <v>-2</v>
      </c>
      <c r="AZ201" s="114">
        <f t="shared" si="43"/>
        <v>-10.588235294117647</v>
      </c>
      <c r="BA201" s="121">
        <f>BA203+AY201*(BA203-BA193)/10</f>
        <v>76</v>
      </c>
      <c r="BB201" s="115">
        <v>8.0159488060885797E-2</v>
      </c>
      <c r="BC201" s="115">
        <v>6.986226725598535E-2</v>
      </c>
      <c r="BD201" s="104">
        <f>(BC201-BC203)/BC203*100</f>
        <v>8.9644937183200248</v>
      </c>
    </row>
    <row r="202" spans="2:56">
      <c r="B202" s="113">
        <v>-1</v>
      </c>
      <c r="C202" s="114">
        <f>IF(ISERROR((D202-D203)/D203*100),"error",(D202-D203)/D203*100)</f>
        <v>-10</v>
      </c>
      <c r="D202" s="114">
        <f>D203+B202*(D203-D193)/10</f>
        <v>63000000</v>
      </c>
      <c r="E202" s="115">
        <v>6.926800563809804E-2</v>
      </c>
      <c r="F202" s="115">
        <v>6.036989555749453E-2</v>
      </c>
      <c r="G202" s="104">
        <f>(F202-F203)/F203*100</f>
        <v>-5.8408012848069593</v>
      </c>
      <c r="I202" s="113">
        <v>-1</v>
      </c>
      <c r="J202" s="114">
        <f t="shared" si="37"/>
        <v>-10.000000000000007</v>
      </c>
      <c r="K202" s="119">
        <f>K203+I202*(K203-K193)/10</f>
        <v>19.844999999999999</v>
      </c>
      <c r="L202" s="115">
        <v>6.8770779419880093E-2</v>
      </c>
      <c r="M202" s="115">
        <v>5.9936542603475661E-2</v>
      </c>
      <c r="N202" s="104">
        <f>(M202-M203)/M203*100</f>
        <v>-6.5167038440952698</v>
      </c>
      <c r="P202" s="113">
        <v>-1</v>
      </c>
      <c r="Q202" s="114" t="str">
        <f t="shared" si="38"/>
        <v>error</v>
      </c>
      <c r="R202" s="120">
        <f>R203+P202*(R203-R193)/10</f>
        <v>0</v>
      </c>
      <c r="S202" s="115">
        <v>0.10024992915358852</v>
      </c>
      <c r="T202" s="115">
        <v>8.7371907086056841E-2</v>
      </c>
      <c r="U202" s="104">
        <f>(T202-T203)/T203*100</f>
        <v>0</v>
      </c>
      <c r="W202" s="113">
        <v>-1</v>
      </c>
      <c r="X202" s="114">
        <f t="shared" si="39"/>
        <v>-10</v>
      </c>
      <c r="Y202" s="114">
        <f>Y203+W202*(Y203-Y193)/10</f>
        <v>67.5</v>
      </c>
      <c r="Z202" s="115">
        <v>7.7704942261320367E-2</v>
      </c>
      <c r="AA202" s="115">
        <v>6.7723030357278516E-2</v>
      </c>
      <c r="AB202" s="104">
        <f>(AA202-AA203)/AA203*100</f>
        <v>5.6279162671900123</v>
      </c>
      <c r="AD202" s="113">
        <v>-1</v>
      </c>
      <c r="AE202" s="114">
        <f t="shared" si="40"/>
        <v>-8.0000000000000071</v>
      </c>
      <c r="AF202" s="121">
        <f>AF203+AD202*(AF203-AF193)/10</f>
        <v>4.5999999999999996</v>
      </c>
      <c r="AG202" s="115">
        <v>7.280941752694399E-2</v>
      </c>
      <c r="AH202" s="115">
        <v>6.3456380636517928E-2</v>
      </c>
      <c r="AI202" s="104">
        <f>(AH202-AH203)/AH203*100</f>
        <v>-1.0267965693198577</v>
      </c>
      <c r="AK202" s="113">
        <v>-1</v>
      </c>
      <c r="AL202" s="114">
        <f t="shared" si="41"/>
        <v>-9.3333333333333357</v>
      </c>
      <c r="AM202" s="121">
        <f>AM203+AK202*(AM203-AM193)/10</f>
        <v>13.6</v>
      </c>
      <c r="AN202" s="115">
        <v>7.2075169535683201E-2</v>
      </c>
      <c r="AO202" s="115">
        <v>6.241591909325462E-2</v>
      </c>
      <c r="AP202" s="104">
        <f>(AO202-AO203)/AO203*100</f>
        <v>-2.6496091367913963</v>
      </c>
      <c r="AR202" s="113">
        <v>-1</v>
      </c>
      <c r="AS202" s="114">
        <f t="shared" si="42"/>
        <v>-7.5</v>
      </c>
      <c r="AT202" s="122">
        <f>AT203+AR202*(AT203-AT193)/10</f>
        <v>18.5</v>
      </c>
      <c r="AU202" s="115">
        <v>7.4663581338931875E-2</v>
      </c>
      <c r="AV202" s="115">
        <v>6.5072360115716765E-2</v>
      </c>
      <c r="AW202" s="104">
        <f>(AV202-AV203)/AV203*100</f>
        <v>1.4936539217141265</v>
      </c>
      <c r="AY202" s="113">
        <v>-1</v>
      </c>
      <c r="AZ202" s="114">
        <f t="shared" si="43"/>
        <v>-5.2941176470588234</v>
      </c>
      <c r="BA202" s="121">
        <f>BA203+AY202*(BA203-BA193)/10</f>
        <v>80.5</v>
      </c>
      <c r="BB202" s="115">
        <v>7.6677808912835141E-2</v>
      </c>
      <c r="BC202" s="115">
        <v>6.6827841699824697E-2</v>
      </c>
      <c r="BD202" s="104">
        <f>(BC202-BC203)/BC203*100</f>
        <v>4.231686475728714</v>
      </c>
    </row>
    <row r="203" spans="2:56">
      <c r="B203" s="113" t="s">
        <v>198</v>
      </c>
      <c r="C203" s="114">
        <f>IF(ISERROR((D203-D203)/D203*100),"error",(D203-D203)/D203*100)</f>
        <v>0</v>
      </c>
      <c r="D203" s="123">
        <v>70000000</v>
      </c>
      <c r="E203" s="115">
        <v>7.3564778145166321E-2</v>
      </c>
      <c r="F203" s="115">
        <v>6.4114708261375164E-2</v>
      </c>
      <c r="G203" s="104">
        <f>(F203-F203)/F203*100</f>
        <v>0</v>
      </c>
      <c r="I203" s="113" t="s">
        <v>198</v>
      </c>
      <c r="J203" s="114">
        <f t="shared" si="37"/>
        <v>0</v>
      </c>
      <c r="K203" s="116">
        <v>22.05</v>
      </c>
      <c r="L203" s="115">
        <v>7.3564778145166321E-2</v>
      </c>
      <c r="M203" s="115">
        <v>6.4114708261375164E-2</v>
      </c>
      <c r="N203" s="104">
        <f>(M203-M203)/M203*100</f>
        <v>0</v>
      </c>
      <c r="P203" s="113" t="s">
        <v>198</v>
      </c>
      <c r="Q203" s="114" t="str">
        <f t="shared" si="38"/>
        <v>error</v>
      </c>
      <c r="R203" s="117">
        <v>0</v>
      </c>
      <c r="S203" s="115">
        <v>0.10024992915358852</v>
      </c>
      <c r="T203" s="115">
        <v>8.7371907086056841E-2</v>
      </c>
      <c r="U203" s="104">
        <f>(T203-T203)/T203*100</f>
        <v>0</v>
      </c>
      <c r="W203" s="113" t="s">
        <v>198</v>
      </c>
      <c r="X203" s="114">
        <f t="shared" si="39"/>
        <v>0</v>
      </c>
      <c r="Y203" s="123">
        <v>75</v>
      </c>
      <c r="Z203" s="115">
        <v>7.3564778145166321E-2</v>
      </c>
      <c r="AA203" s="115">
        <v>6.4114708261375164E-2</v>
      </c>
      <c r="AB203" s="104">
        <f>(AA203-AA203)/AA203*100</f>
        <v>0</v>
      </c>
      <c r="AD203" s="113" t="s">
        <v>198</v>
      </c>
      <c r="AE203" s="114">
        <f t="shared" si="40"/>
        <v>0</v>
      </c>
      <c r="AF203" s="118">
        <v>5</v>
      </c>
      <c r="AG203" s="115">
        <v>7.3564778145166321E-2</v>
      </c>
      <c r="AH203" s="115">
        <v>6.4114708261375164E-2</v>
      </c>
      <c r="AI203" s="104">
        <f>(AH203-AH203)/AH203*100</f>
        <v>0</v>
      </c>
      <c r="AK203" s="113" t="s">
        <v>198</v>
      </c>
      <c r="AL203" s="114">
        <f t="shared" si="41"/>
        <v>0</v>
      </c>
      <c r="AM203" s="118">
        <v>15</v>
      </c>
      <c r="AN203" s="115">
        <v>7.3564778145166321E-2</v>
      </c>
      <c r="AO203" s="115">
        <v>6.4114708261375164E-2</v>
      </c>
      <c r="AP203" s="104">
        <f>(AO203-AO203)/AO203*100</f>
        <v>0</v>
      </c>
      <c r="AR203" s="113" t="s">
        <v>198</v>
      </c>
      <c r="AS203" s="114">
        <f t="shared" si="42"/>
        <v>0</v>
      </c>
      <c r="AT203" s="118">
        <v>20</v>
      </c>
      <c r="AU203" s="115">
        <v>7.3564778145166321E-2</v>
      </c>
      <c r="AV203" s="115">
        <v>6.4114708261375164E-2</v>
      </c>
      <c r="AW203" s="104">
        <f>(AV203-AV203)/AV203*100</f>
        <v>0</v>
      </c>
      <c r="AY203" s="113" t="s">
        <v>198</v>
      </c>
      <c r="AZ203" s="114">
        <f t="shared" si="43"/>
        <v>0</v>
      </c>
      <c r="BA203" s="118">
        <v>85</v>
      </c>
      <c r="BB203" s="115">
        <v>7.3564778145166321E-2</v>
      </c>
      <c r="BC203" s="115">
        <v>6.4114708261375164E-2</v>
      </c>
      <c r="BD203" s="104">
        <f>(BC203-BC203)/BC203*100</f>
        <v>0</v>
      </c>
    </row>
    <row r="204" spans="2:56">
      <c r="B204" s="113">
        <v>1</v>
      </c>
      <c r="C204" s="114">
        <f>IF(ISERROR((D204-D203)/D203*100),"error",(D204-D203)/D203*100)</f>
        <v>18.571428571428573</v>
      </c>
      <c r="D204" s="114">
        <f>D203+B204*(D213-D203)/10</f>
        <v>83000000</v>
      </c>
      <c r="E204" s="115">
        <v>8.1544498515435923E-2</v>
      </c>
      <c r="F204" s="115">
        <v>7.1069360425724912E-2</v>
      </c>
      <c r="G204" s="104">
        <f>(F204-F203)/F203*100</f>
        <v>10.847202386070066</v>
      </c>
      <c r="I204" s="113">
        <v>1</v>
      </c>
      <c r="J204" s="114">
        <f t="shared" si="37"/>
        <v>35.351473922902485</v>
      </c>
      <c r="K204" s="119">
        <f>K203+I204*(K213-K203)/10</f>
        <v>29.844999999999999</v>
      </c>
      <c r="L204" s="115">
        <v>9.0512270237504633E-2</v>
      </c>
      <c r="M204" s="115">
        <v>7.8885139691455275E-2</v>
      </c>
      <c r="N204" s="104">
        <f>(M204-M203)/M203*100</f>
        <v>23.037508600781251</v>
      </c>
      <c r="P204" s="113">
        <v>1</v>
      </c>
      <c r="Q204" s="114" t="str">
        <f t="shared" si="38"/>
        <v>error</v>
      </c>
      <c r="R204" s="120">
        <f>R203+P204*(R213-R203)/10</f>
        <v>5.0000000000000001E-3</v>
      </c>
      <c r="S204" s="115">
        <v>8.7168972776910977E-2</v>
      </c>
      <c r="T204" s="115">
        <v>7.5971319426899164E-2</v>
      </c>
      <c r="U204" s="104">
        <f>(T204-T203)/T203*100</f>
        <v>-13.048344759063898</v>
      </c>
      <c r="W204" s="113">
        <v>1</v>
      </c>
      <c r="X204" s="114">
        <f t="shared" si="39"/>
        <v>3.3333333333333335</v>
      </c>
      <c r="Y204" s="114">
        <f>Y203+W204*(Y213-Y203)/10</f>
        <v>77.5</v>
      </c>
      <c r="Z204" s="115">
        <v>7.2184723439781648E-2</v>
      </c>
      <c r="AA204" s="115">
        <v>6.2911934229407399E-2</v>
      </c>
      <c r="AB204" s="104">
        <f>(AA204-AA203)/AA203*100</f>
        <v>-1.8759720890633089</v>
      </c>
      <c r="AD204" s="113">
        <v>1</v>
      </c>
      <c r="AE204" s="114">
        <f t="shared" si="40"/>
        <v>20</v>
      </c>
      <c r="AF204" s="121">
        <f>AF203+AD204*(AF213-AF203)/10</f>
        <v>6</v>
      </c>
      <c r="AG204" s="115">
        <v>7.552764064362695E-2</v>
      </c>
      <c r="AH204" s="115">
        <v>6.5825423084679049E-2</v>
      </c>
      <c r="AI204" s="104">
        <f>(AH204-AH203)/AH203*100</f>
        <v>2.6682096350338962</v>
      </c>
      <c r="AK204" s="113">
        <v>1</v>
      </c>
      <c r="AL204" s="114">
        <f t="shared" si="41"/>
        <v>23.333333333333332</v>
      </c>
      <c r="AM204" s="121">
        <f>AM203+AK204*(AM213-AM203)/10</f>
        <v>18.5</v>
      </c>
      <c r="AN204" s="115">
        <v>7.7671031727165413E-2</v>
      </c>
      <c r="AO204" s="115">
        <v>6.8666417549558142E-2</v>
      </c>
      <c r="AP204" s="104">
        <f>(AO204-AO203)/AO203*100</f>
        <v>7.0993215310707098</v>
      </c>
      <c r="AR204" s="113">
        <v>1</v>
      </c>
      <c r="AS204" s="114">
        <f t="shared" si="42"/>
        <v>15</v>
      </c>
      <c r="AT204" s="122">
        <f>AT203+AR204*(AT213-AT203)/10</f>
        <v>23</v>
      </c>
      <c r="AU204" s="115">
        <v>7.1797138224760859E-2</v>
      </c>
      <c r="AV204" s="115">
        <v>6.2574137886999587E-2</v>
      </c>
      <c r="AW204" s="104">
        <f>(AV204-AV203)/AV203*100</f>
        <v>-2.4028345697139639</v>
      </c>
      <c r="AY204" s="113">
        <v>1</v>
      </c>
      <c r="AZ204" s="114">
        <f t="shared" si="43"/>
        <v>1.7647058823529411</v>
      </c>
      <c r="BA204" s="121">
        <f>BA203+AY204*(BA213-BA203)/10</f>
        <v>86.5</v>
      </c>
      <c r="BB204" s="115">
        <v>7.2599078812613918E-2</v>
      </c>
      <c r="BC204" s="115">
        <v>6.3273061857540142E-2</v>
      </c>
      <c r="BD204" s="104">
        <f>(BC204-BC203)/BC203*100</f>
        <v>-1.3127196967096835</v>
      </c>
    </row>
    <row r="205" spans="2:56">
      <c r="B205" s="113">
        <f>B204+1</f>
        <v>2</v>
      </c>
      <c r="C205" s="114">
        <f>IF(ISERROR((D205-D203)/D203*100),"error",(D205-D203)/D203*100)</f>
        <v>37.142857142857146</v>
      </c>
      <c r="D205" s="114">
        <f>D203+B205*(D213-D203)/10</f>
        <v>96000000</v>
      </c>
      <c r="E205" s="115">
        <v>8.9524218885705525E-2</v>
      </c>
      <c r="F205" s="115">
        <v>7.8024012590074618E-2</v>
      </c>
      <c r="G205" s="104">
        <f>(F205-F203)/F203*100</f>
        <v>21.694404772140064</v>
      </c>
      <c r="I205" s="113">
        <f>I204+1</f>
        <v>2</v>
      </c>
      <c r="J205" s="114">
        <f t="shared" si="37"/>
        <v>70.702947845804985</v>
      </c>
      <c r="K205" s="119">
        <f>K203+I205*(K213-K203)/10</f>
        <v>37.64</v>
      </c>
      <c r="L205" s="115">
        <v>0.10745976232984294</v>
      </c>
      <c r="M205" s="115">
        <v>9.3655571121535344E-2</v>
      </c>
      <c r="N205" s="104">
        <f>(M205-M203)/M203*100</f>
        <v>46.075017201562439</v>
      </c>
      <c r="P205" s="113">
        <f>P204+1</f>
        <v>2</v>
      </c>
      <c r="Q205" s="114" t="str">
        <f t="shared" si="38"/>
        <v>error</v>
      </c>
      <c r="R205" s="120">
        <f>R203+P205*(R213-R203)/10</f>
        <v>0.01</v>
      </c>
      <c r="S205" s="115">
        <v>7.4088016400233409E-2</v>
      </c>
      <c r="T205" s="115">
        <v>6.4570731767741474E-2</v>
      </c>
      <c r="U205" s="104">
        <f>(T205-T203)/T203*100</f>
        <v>-26.096689518127814</v>
      </c>
      <c r="W205" s="113">
        <f>W204+1</f>
        <v>2</v>
      </c>
      <c r="X205" s="114">
        <f t="shared" si="39"/>
        <v>6.666666666666667</v>
      </c>
      <c r="Y205" s="114">
        <f>Y203+W205*(Y213-Y203)/10</f>
        <v>80</v>
      </c>
      <c r="Z205" s="115">
        <v>7.0804668734396947E-2</v>
      </c>
      <c r="AA205" s="115">
        <v>6.1709160197439605E-2</v>
      </c>
      <c r="AB205" s="104">
        <f>(AA205-AA203)/AA203*100</f>
        <v>-3.7519441781266609</v>
      </c>
      <c r="AD205" s="113">
        <f>AD204+1</f>
        <v>2</v>
      </c>
      <c r="AE205" s="114">
        <f t="shared" si="40"/>
        <v>40</v>
      </c>
      <c r="AF205" s="121">
        <f>AF203+AD205*(AF213-AF203)/10</f>
        <v>7</v>
      </c>
      <c r="AG205" s="115">
        <v>7.7593149300372019E-2</v>
      </c>
      <c r="AH205" s="115">
        <v>6.7625598226609476E-2</v>
      </c>
      <c r="AI205" s="104">
        <f>(AH205-AH203)/AH203*100</f>
        <v>5.4759509330082832</v>
      </c>
      <c r="AK205" s="113">
        <f>AK204+1</f>
        <v>2</v>
      </c>
      <c r="AL205" s="114">
        <f t="shared" si="41"/>
        <v>46.666666666666664</v>
      </c>
      <c r="AM205" s="121">
        <f>AM203+AK205*(AM213-AM203)/10</f>
        <v>22</v>
      </c>
      <c r="AN205" s="115">
        <v>8.2228293724368823E-2</v>
      </c>
      <c r="AO205" s="115">
        <v>7.3573577285014041E-2</v>
      </c>
      <c r="AP205" s="104">
        <f>(AO205-AO203)/AO203*100</f>
        <v>14.753040729871362</v>
      </c>
      <c r="AR205" s="113">
        <f>AR204+1</f>
        <v>2</v>
      </c>
      <c r="AS205" s="114">
        <f t="shared" si="42"/>
        <v>30</v>
      </c>
      <c r="AT205" s="122">
        <f>AT203+AR205*(AT213-AT203)/10</f>
        <v>26</v>
      </c>
      <c r="AU205" s="115">
        <v>7.043741520906438E-2</v>
      </c>
      <c r="AV205" s="115">
        <v>6.1389083752864525E-2</v>
      </c>
      <c r="AW205" s="104">
        <f>(AV205-AV203)/AV203*100</f>
        <v>-4.2511688541093253</v>
      </c>
      <c r="AY205" s="113">
        <f>AY204+1</f>
        <v>2</v>
      </c>
      <c r="AZ205" s="114">
        <f t="shared" si="43"/>
        <v>3.5294117647058822</v>
      </c>
      <c r="BA205" s="121">
        <f>BA203+AY205*(BA213-BA203)/10</f>
        <v>88</v>
      </c>
      <c r="BB205" s="115">
        <v>7.1666301048216752E-2</v>
      </c>
      <c r="BC205" s="115">
        <v>6.246010794474495E-2</v>
      </c>
      <c r="BD205" s="104">
        <f>(BC205-BC203)/BC203*100</f>
        <v>-2.5806875855769911</v>
      </c>
    </row>
    <row r="206" spans="2:56">
      <c r="B206" s="113">
        <f t="shared" ref="B206:B213" si="44">B205+1</f>
        <v>3</v>
      </c>
      <c r="C206" s="114">
        <f>IF(ISERROR((D206-D203)/D203*100),"error",(D206-D203)/D203*100)</f>
        <v>55.714285714285715</v>
      </c>
      <c r="D206" s="114">
        <f>D203+B206*(D213-D203)/10</f>
        <v>109000000</v>
      </c>
      <c r="E206" s="115">
        <v>9.7503939255975142E-2</v>
      </c>
      <c r="F206" s="115">
        <v>8.4978664754424366E-2</v>
      </c>
      <c r="G206" s="104">
        <f>(F206-F203)/F203*100</f>
        <v>32.541607158210127</v>
      </c>
      <c r="I206" s="113">
        <f t="shared" ref="I206:I213" si="45">I205+1</f>
        <v>3</v>
      </c>
      <c r="J206" s="114">
        <f t="shared" si="37"/>
        <v>106.0544217687075</v>
      </c>
      <c r="K206" s="119">
        <f>K203+I206*(K213-K203)/10</f>
        <v>45.435000000000002</v>
      </c>
      <c r="L206" s="115">
        <v>0.12440725442218126</v>
      </c>
      <c r="M206" s="115">
        <v>0.10842600255161544</v>
      </c>
      <c r="N206" s="104">
        <f>(M206-M203)/M203*100</f>
        <v>69.112525802343669</v>
      </c>
      <c r="P206" s="113">
        <f t="shared" ref="P206:P213" si="46">P205+1</f>
        <v>3</v>
      </c>
      <c r="Q206" s="114" t="str">
        <f t="shared" si="38"/>
        <v>error</v>
      </c>
      <c r="R206" s="120">
        <f>R203+P206*(R213-R203)/10</f>
        <v>1.5000000000000003E-2</v>
      </c>
      <c r="S206" s="115">
        <v>6.1007060023555867E-2</v>
      </c>
      <c r="T206" s="115">
        <v>5.3170144108583783E-2</v>
      </c>
      <c r="U206" s="104">
        <f>(T206-T203)/T203*100</f>
        <v>-39.145034277191726</v>
      </c>
      <c r="W206" s="113">
        <f t="shared" ref="W206:W213" si="47">W205+1</f>
        <v>3</v>
      </c>
      <c r="X206" s="114">
        <f t="shared" si="39"/>
        <v>10</v>
      </c>
      <c r="Y206" s="114">
        <f>Y203+W206*(Y213-Y203)/10</f>
        <v>82.5</v>
      </c>
      <c r="Z206" s="115">
        <v>6.942461402901226E-2</v>
      </c>
      <c r="AA206" s="115">
        <v>6.0506386165471819E-2</v>
      </c>
      <c r="AB206" s="104">
        <f>(AA206-AA203)/AA203*100</f>
        <v>-5.6279162671900025</v>
      </c>
      <c r="AD206" s="113">
        <f t="shared" ref="AD206:AD213" si="48">AD205+1</f>
        <v>3</v>
      </c>
      <c r="AE206" s="114">
        <f t="shared" si="40"/>
        <v>60</v>
      </c>
      <c r="AF206" s="121">
        <f>AF203+AD206*(AF213-AF203)/10</f>
        <v>8</v>
      </c>
      <c r="AG206" s="115">
        <v>7.9756314131297884E-2</v>
      </c>
      <c r="AH206" s="115">
        <v>6.9510884712248006E-2</v>
      </c>
      <c r="AI206" s="104">
        <f>(AH206-AH203)/AH203*100</f>
        <v>8.4164407781040751</v>
      </c>
      <c r="AK206" s="113">
        <f t="shared" ref="AK206:AK213" si="49">AK205+1</f>
        <v>3</v>
      </c>
      <c r="AL206" s="114">
        <f t="shared" si="41"/>
        <v>70</v>
      </c>
      <c r="AM206" s="121">
        <f>AM203+AK206*(AM213-AM203)/10</f>
        <v>25.5</v>
      </c>
      <c r="AN206" s="115">
        <v>8.7131821029561837E-2</v>
      </c>
      <c r="AO206" s="115">
        <v>7.8748352215586348E-2</v>
      </c>
      <c r="AP206" s="104">
        <f>(AO206-AO203)/AO203*100</f>
        <v>22.82416055697313</v>
      </c>
      <c r="AR206" s="113">
        <f t="shared" ref="AR206:AR213" si="50">AR205+1</f>
        <v>3</v>
      </c>
      <c r="AS206" s="114">
        <f t="shared" si="42"/>
        <v>45</v>
      </c>
      <c r="AT206" s="122">
        <f>AT203+AR206*(AT213-AT203)/10</f>
        <v>29</v>
      </c>
      <c r="AU206" s="115">
        <v>6.9359014196615429E-2</v>
      </c>
      <c r="AV206" s="115">
        <v>6.044921323268844E-2</v>
      </c>
      <c r="AW206" s="104">
        <f>(AV206-AV203)/AV203*100</f>
        <v>-5.7170891486297855</v>
      </c>
      <c r="AY206" s="113">
        <f t="shared" ref="AY206:AY213" si="51">AY205+1</f>
        <v>3</v>
      </c>
      <c r="AZ206" s="114">
        <f t="shared" si="43"/>
        <v>5.2941176470588234</v>
      </c>
      <c r="BA206" s="121">
        <f>BA203+AY206*(BA213-BA203)/10</f>
        <v>89.5</v>
      </c>
      <c r="BB206" s="115">
        <v>7.0764789577598269E-2</v>
      </c>
      <c r="BC206" s="115">
        <v>6.1674403883775319E-2</v>
      </c>
      <c r="BD206" s="104">
        <f>(BC206-BC203)/BC203*100</f>
        <v>-3.8061537574989877</v>
      </c>
    </row>
    <row r="207" spans="2:56">
      <c r="B207" s="113">
        <f t="shared" si="44"/>
        <v>4</v>
      </c>
      <c r="C207" s="114">
        <f>IF(ISERROR((D207-D203)/D203*100),"error",(D207-D203)/D203*100)</f>
        <v>74.285714285714292</v>
      </c>
      <c r="D207" s="114">
        <f>D203+B207*(D213-D203)/10</f>
        <v>122000000</v>
      </c>
      <c r="E207" s="115">
        <v>0.10548365962624477</v>
      </c>
      <c r="F207" s="115">
        <v>9.19333169187741E-2</v>
      </c>
      <c r="G207" s="104">
        <f>(F207-F203)/F203*100</f>
        <v>43.388809544280171</v>
      </c>
      <c r="I207" s="113">
        <f t="shared" si="45"/>
        <v>4</v>
      </c>
      <c r="J207" s="114">
        <f t="shared" si="37"/>
        <v>141.40589569161</v>
      </c>
      <c r="K207" s="119">
        <f>K203+I207*(K213-K203)/10</f>
        <v>53.230000000000004</v>
      </c>
      <c r="L207" s="115">
        <v>0.1413547465145196</v>
      </c>
      <c r="M207" s="115">
        <v>0.12319643398169557</v>
      </c>
      <c r="N207" s="104">
        <f>(M207-M203)/M203*100</f>
        <v>92.150034403124934</v>
      </c>
      <c r="P207" s="113">
        <f t="shared" si="46"/>
        <v>4</v>
      </c>
      <c r="Q207" s="114" t="str">
        <f t="shared" si="38"/>
        <v>error</v>
      </c>
      <c r="R207" s="120">
        <f>R203+P207*(R213-R203)/10</f>
        <v>0.02</v>
      </c>
      <c r="S207" s="115">
        <v>4.7926103646878312E-2</v>
      </c>
      <c r="T207" s="115">
        <v>4.17695564494261E-2</v>
      </c>
      <c r="U207" s="104">
        <f>(T207-T203)/T203*100</f>
        <v>-52.193379036255635</v>
      </c>
      <c r="W207" s="113">
        <f t="shared" si="47"/>
        <v>4</v>
      </c>
      <c r="X207" s="114">
        <f t="shared" si="39"/>
        <v>13.333333333333334</v>
      </c>
      <c r="Y207" s="114">
        <f>Y203+W207*(Y213-Y203)/10</f>
        <v>85</v>
      </c>
      <c r="Z207" s="115">
        <v>6.8044559323627588E-2</v>
      </c>
      <c r="AA207" s="115">
        <v>5.930361213350404E-2</v>
      </c>
      <c r="AB207" s="104">
        <f>(AA207-AA203)/AA203*100</f>
        <v>-7.5038883562533325</v>
      </c>
      <c r="AD207" s="113">
        <f t="shared" si="48"/>
        <v>4</v>
      </c>
      <c r="AE207" s="114">
        <f t="shared" si="40"/>
        <v>80</v>
      </c>
      <c r="AF207" s="121">
        <f>AF203+AD207*(AF213-AF203)/10</f>
        <v>9</v>
      </c>
      <c r="AG207" s="115">
        <v>8.2011854872371406E-2</v>
      </c>
      <c r="AH207" s="115">
        <v>7.1476680575863719E-2</v>
      </c>
      <c r="AI207" s="104">
        <f>(AH207-AH203)/AH203*100</f>
        <v>11.482501463589522</v>
      </c>
      <c r="AK207" s="113">
        <f t="shared" si="49"/>
        <v>4</v>
      </c>
      <c r="AL207" s="114">
        <f t="shared" si="41"/>
        <v>93.333333333333329</v>
      </c>
      <c r="AM207" s="121">
        <f>AM203+AK207*(AM213-AM203)/10</f>
        <v>29</v>
      </c>
      <c r="AN207" s="115">
        <v>9.2296349860024357E-2</v>
      </c>
      <c r="AO207" s="115">
        <v>8.4119777520671651E-2</v>
      </c>
      <c r="AP207" s="104">
        <f>(AO207-AO203)/AO203*100</f>
        <v>31.201996861222884</v>
      </c>
      <c r="AR207" s="113">
        <f t="shared" si="50"/>
        <v>4</v>
      </c>
      <c r="AS207" s="114">
        <f t="shared" si="42"/>
        <v>60</v>
      </c>
      <c r="AT207" s="122">
        <f>AT203+AR207*(AT213-AT203)/10</f>
        <v>32</v>
      </c>
      <c r="AU207" s="115">
        <v>6.848281337400064E-2</v>
      </c>
      <c r="AV207" s="115">
        <v>5.9685568435045348E-2</v>
      </c>
      <c r="AW207" s="104">
        <f>(AV207-AV203)/AV203*100</f>
        <v>-6.9081493879276952</v>
      </c>
      <c r="AY207" s="113">
        <f t="shared" si="51"/>
        <v>4</v>
      </c>
      <c r="AZ207" s="114">
        <f t="shared" si="43"/>
        <v>7.0588235294117645</v>
      </c>
      <c r="BA207" s="121">
        <f>BA203+AY207*(BA213-BA203)/10</f>
        <v>91</v>
      </c>
      <c r="BB207" s="115">
        <v>6.9892998265351822E-2</v>
      </c>
      <c r="BC207" s="115">
        <v>6.0914602154486006E-2</v>
      </c>
      <c r="BD207" s="104">
        <f>(BC207-BC203)/BC203*100</f>
        <v>-4.9912199457312498</v>
      </c>
    </row>
    <row r="208" spans="2:56">
      <c r="B208" s="113">
        <f t="shared" si="44"/>
        <v>5</v>
      </c>
      <c r="C208" s="114">
        <f>IF(ISERROR((D208-D203)/D203*100),"error",(D208-D203)/D203*100)</f>
        <v>92.857142857142861</v>
      </c>
      <c r="D208" s="114">
        <f>D203+B208*(D213-D203)/10</f>
        <v>135000000</v>
      </c>
      <c r="E208" s="115">
        <v>0.11346337999651443</v>
      </c>
      <c r="F208" s="115">
        <v>9.8887969083123889E-2</v>
      </c>
      <c r="G208" s="104">
        <f>(F208-F203)/F203*100</f>
        <v>54.236011930350301</v>
      </c>
      <c r="I208" s="113">
        <f t="shared" si="45"/>
        <v>5</v>
      </c>
      <c r="J208" s="114">
        <f t="shared" si="37"/>
        <v>176.7573696145125</v>
      </c>
      <c r="K208" s="119">
        <f>K203+I208*(K213-K203)/10</f>
        <v>61.025000000000006</v>
      </c>
      <c r="L208" s="115">
        <v>0.15830223860685794</v>
      </c>
      <c r="M208" s="115">
        <v>0.13796686541177569</v>
      </c>
      <c r="N208" s="104">
        <f>(M208-M203)/M203*100</f>
        <v>115.18754300390621</v>
      </c>
      <c r="P208" s="113">
        <f t="shared" si="46"/>
        <v>5</v>
      </c>
      <c r="Q208" s="114" t="str">
        <f t="shared" si="38"/>
        <v>error</v>
      </c>
      <c r="R208" s="120">
        <f>R203+P208*(R213-R203)/10</f>
        <v>2.5000000000000001E-2</v>
      </c>
      <c r="S208" s="115">
        <v>3.4845147270200751E-2</v>
      </c>
      <c r="T208" s="115">
        <v>3.0368968790268399E-2</v>
      </c>
      <c r="U208" s="104">
        <f>(T208-T203)/T203*100</f>
        <v>-65.241723795319544</v>
      </c>
      <c r="W208" s="113">
        <f t="shared" si="47"/>
        <v>5</v>
      </c>
      <c r="X208" s="114">
        <f t="shared" si="39"/>
        <v>16.666666666666664</v>
      </c>
      <c r="Y208" s="114">
        <f>Y203+W208*(Y213-Y203)/10</f>
        <v>87.5</v>
      </c>
      <c r="Z208" s="115">
        <v>6.6664504618242873E-2</v>
      </c>
      <c r="AA208" s="115">
        <v>5.8100838101536233E-2</v>
      </c>
      <c r="AB208" s="104">
        <f>(AA208-AA203)/AA203*100</f>
        <v>-9.3798604453167052</v>
      </c>
      <c r="AD208" s="113">
        <f t="shared" si="48"/>
        <v>5</v>
      </c>
      <c r="AE208" s="114">
        <f t="shared" si="40"/>
        <v>100</v>
      </c>
      <c r="AF208" s="121">
        <f>AF203+AD208*(AF213-AF203)/10</f>
        <v>10</v>
      </c>
      <c r="AG208" s="115">
        <v>8.4354308280384524E-2</v>
      </c>
      <c r="AH208" s="115">
        <v>7.3518224377902536E-2</v>
      </c>
      <c r="AI208" s="104">
        <f>(AH208-AH203)/AH203*100</f>
        <v>14.666706550690744</v>
      </c>
      <c r="AK208" s="113">
        <f t="shared" si="49"/>
        <v>5</v>
      </c>
      <c r="AL208" s="114">
        <f t="shared" si="41"/>
        <v>116.66666666666667</v>
      </c>
      <c r="AM208" s="121">
        <f>AM203+AK208*(AM213-AM203)/10</f>
        <v>32.5</v>
      </c>
      <c r="AN208" s="115">
        <v>9.7655380789828022E-2</v>
      </c>
      <c r="AO208" s="115">
        <v>8.963320025601465E-2</v>
      </c>
      <c r="AP208" s="104">
        <f>(AO208-AO203)/AO203*100</f>
        <v>39.801307198667665</v>
      </c>
      <c r="AR208" s="113">
        <f t="shared" si="50"/>
        <v>5</v>
      </c>
      <c r="AS208" s="114">
        <f t="shared" si="42"/>
        <v>75</v>
      </c>
      <c r="AT208" s="122">
        <f>AT203+AR208*(AT213-AT203)/10</f>
        <v>35</v>
      </c>
      <c r="AU208" s="115">
        <v>6.7756818406691302E-2</v>
      </c>
      <c r="AV208" s="115">
        <v>5.9052834174141124E-2</v>
      </c>
      <c r="AW208" s="104">
        <f>(AV208-AV203)/AV203*100</f>
        <v>-7.8950278719173124</v>
      </c>
      <c r="AY208" s="113">
        <f t="shared" si="51"/>
        <v>5</v>
      </c>
      <c r="AZ208" s="114">
        <f t="shared" si="43"/>
        <v>8.8235294117647065</v>
      </c>
      <c r="BA208" s="121">
        <f>BA203+AY208*(BA213-BA203)/10</f>
        <v>92.5</v>
      </c>
      <c r="BB208" s="115">
        <v>6.9049481265934951E-2</v>
      </c>
      <c r="BC208" s="115">
        <v>6.0179442643443874E-2</v>
      </c>
      <c r="BD208" s="104">
        <f>(BC208-BC203)/BC203*100</f>
        <v>-6.1378515548857679</v>
      </c>
    </row>
    <row r="209" spans="2:56">
      <c r="B209" s="113">
        <f t="shared" si="44"/>
        <v>6</v>
      </c>
      <c r="C209" s="114">
        <f>IF(ISERROR((D209-D203)/D203*100),"error",(D209-D203)/D203*100)</f>
        <v>111.42857142857143</v>
      </c>
      <c r="D209" s="114">
        <f>D203+B209*(D213-D203)/10</f>
        <v>148000000</v>
      </c>
      <c r="E209" s="115">
        <v>0.12144310036678402</v>
      </c>
      <c r="F209" s="115">
        <v>0.1058426212474736</v>
      </c>
      <c r="G209" s="104">
        <f>(F209-F203)/F203*100</f>
        <v>65.083214316420296</v>
      </c>
      <c r="I209" s="113">
        <f t="shared" si="45"/>
        <v>6</v>
      </c>
      <c r="J209" s="114">
        <f t="shared" si="37"/>
        <v>212.108843537415</v>
      </c>
      <c r="K209" s="119">
        <f>K203+I209*(K213-K203)/10</f>
        <v>68.820000000000007</v>
      </c>
      <c r="L209" s="115">
        <v>0.17524973069919628</v>
      </c>
      <c r="M209" s="115">
        <v>0.15273729684185577</v>
      </c>
      <c r="N209" s="104">
        <f>(M209-M203)/M203*100</f>
        <v>138.22505160468742</v>
      </c>
      <c r="P209" s="113">
        <f t="shared" si="46"/>
        <v>6</v>
      </c>
      <c r="Q209" s="114" t="str">
        <f t="shared" si="38"/>
        <v>error</v>
      </c>
      <c r="R209" s="120">
        <f>R203+P209*(R213-R203)/10</f>
        <v>3.0000000000000006E-2</v>
      </c>
      <c r="S209" s="115">
        <v>2.1764190893523203E-2</v>
      </c>
      <c r="T209" s="115">
        <v>1.8968381131110712E-2</v>
      </c>
      <c r="U209" s="104">
        <f>(T209-T203)/T203*100</f>
        <v>-78.290068554383481</v>
      </c>
      <c r="W209" s="113">
        <f t="shared" si="47"/>
        <v>6</v>
      </c>
      <c r="X209" s="114">
        <f t="shared" si="39"/>
        <v>20</v>
      </c>
      <c r="Y209" s="114">
        <f>Y203+W209*(Y213-Y203)/10</f>
        <v>90</v>
      </c>
      <c r="Z209" s="115">
        <v>6.52844499128582E-2</v>
      </c>
      <c r="AA209" s="115">
        <v>5.6898064069568453E-2</v>
      </c>
      <c r="AB209" s="104">
        <f>(AA209-AA203)/AA203*100</f>
        <v>-11.255832534380037</v>
      </c>
      <c r="AD209" s="113">
        <f t="shared" si="48"/>
        <v>6</v>
      </c>
      <c r="AE209" s="114">
        <f t="shared" si="40"/>
        <v>120</v>
      </c>
      <c r="AF209" s="121">
        <f>AF203+AD209*(AF213-AF203)/10</f>
        <v>11</v>
      </c>
      <c r="AG209" s="115">
        <v>8.6778126078101953E-2</v>
      </c>
      <c r="AH209" s="115">
        <v>7.5630680568183214E-2</v>
      </c>
      <c r="AI209" s="104">
        <f>(AH209-AH203)/AH203*100</f>
        <v>17.961514009954023</v>
      </c>
      <c r="AK209" s="113">
        <f t="shared" si="49"/>
        <v>6</v>
      </c>
      <c r="AL209" s="114">
        <f t="shared" si="41"/>
        <v>140</v>
      </c>
      <c r="AM209" s="121">
        <f>AM203+AK209*(AM213-AM203)/10</f>
        <v>36</v>
      </c>
      <c r="AN209" s="115">
        <v>0.10315837517545824</v>
      </c>
      <c r="AO209" s="115">
        <v>9.5247785804530319E-2</v>
      </c>
      <c r="AP209" s="104">
        <f>(AO209-AO203)/AO203*100</f>
        <v>48.558401632641846</v>
      </c>
      <c r="AR209" s="113">
        <f t="shared" si="50"/>
        <v>6</v>
      </c>
      <c r="AS209" s="114">
        <f t="shared" si="42"/>
        <v>90</v>
      </c>
      <c r="AT209" s="122">
        <f>AT203+AR209*(AT213-AT203)/10</f>
        <v>38</v>
      </c>
      <c r="AU209" s="115">
        <v>6.7145454223693918E-2</v>
      </c>
      <c r="AV209" s="115">
        <v>5.8520005322853327E-2</v>
      </c>
      <c r="AW209" s="104">
        <f>(AV209-AV203)/AV203*100</f>
        <v>-8.7260834373822949</v>
      </c>
      <c r="AY209" s="113">
        <f t="shared" si="51"/>
        <v>6</v>
      </c>
      <c r="AZ209" s="114">
        <f t="shared" si="43"/>
        <v>10.588235294117647</v>
      </c>
      <c r="BA209" s="121">
        <f>BA203+AY209*(BA213-BA203)/10</f>
        <v>94</v>
      </c>
      <c r="BB209" s="115">
        <v>6.8232885021818637E-2</v>
      </c>
      <c r="BC209" s="115">
        <v>5.9467745669988206E-2</v>
      </c>
      <c r="BD209" s="104">
        <f>(BC209-BC203)/BC203*100</f>
        <v>-7.2478885382161877</v>
      </c>
    </row>
    <row r="210" spans="2:56">
      <c r="B210" s="113">
        <f t="shared" si="44"/>
        <v>7</v>
      </c>
      <c r="C210" s="114">
        <f>IF(ISERROR((D210-D203)/D203*100),"error",(D210-D203)/D203*100)</f>
        <v>130</v>
      </c>
      <c r="D210" s="114">
        <f>D203+B210*(D213-D203)/10</f>
        <v>161000000</v>
      </c>
      <c r="E210" s="115">
        <v>0.12942282073705366</v>
      </c>
      <c r="F210" s="115">
        <v>0.11279727341182334</v>
      </c>
      <c r="G210" s="104">
        <f>(F210-F203)/F203*100</f>
        <v>75.930416702490362</v>
      </c>
      <c r="I210" s="113">
        <f t="shared" si="45"/>
        <v>7</v>
      </c>
      <c r="J210" s="114">
        <f t="shared" si="37"/>
        <v>247.46031746031741</v>
      </c>
      <c r="K210" s="119">
        <f>K203+I210*(K213-K203)/10</f>
        <v>76.614999999999995</v>
      </c>
      <c r="L210" s="115">
        <v>0.19219722279153453</v>
      </c>
      <c r="M210" s="115">
        <v>0.16750772827193586</v>
      </c>
      <c r="N210" s="104">
        <f>(M210-M203)/M203*100</f>
        <v>161.26256020546862</v>
      </c>
      <c r="P210" s="113">
        <f t="shared" si="46"/>
        <v>7</v>
      </c>
      <c r="Q210" s="114" t="str">
        <f t="shared" si="38"/>
        <v>error</v>
      </c>
      <c r="R210" s="120">
        <f>R203+P210*(R213-R203)/10</f>
        <v>3.5000000000000003E-2</v>
      </c>
      <c r="S210" s="115">
        <v>8.6832345168456494E-3</v>
      </c>
      <c r="T210" s="115">
        <v>7.5677934719530181E-3</v>
      </c>
      <c r="U210" s="104">
        <f>(T210-T203)/T203*100</f>
        <v>-91.33841331344739</v>
      </c>
      <c r="W210" s="113">
        <f t="shared" si="47"/>
        <v>7</v>
      </c>
      <c r="X210" s="114">
        <f t="shared" si="39"/>
        <v>23.333333333333332</v>
      </c>
      <c r="Y210" s="114">
        <f>Y203+W210*(Y213-Y203)/10</f>
        <v>92.5</v>
      </c>
      <c r="Z210" s="115">
        <v>6.3904395207473527E-2</v>
      </c>
      <c r="AA210" s="115">
        <v>5.5695290037600688E-2</v>
      </c>
      <c r="AB210" s="104">
        <f>(AA210-AA203)/AA203*100</f>
        <v>-13.131804623443344</v>
      </c>
      <c r="AD210" s="113">
        <f t="shared" si="48"/>
        <v>7</v>
      </c>
      <c r="AE210" s="114">
        <f t="shared" si="40"/>
        <v>140</v>
      </c>
      <c r="AF210" s="121">
        <f>AF203+AD210*(AF213-AF203)/10</f>
        <v>12</v>
      </c>
      <c r="AG210" s="115">
        <v>8.927776173408554E-2</v>
      </c>
      <c r="AH210" s="115">
        <v>7.7809215118057995E-2</v>
      </c>
      <c r="AI210" s="104">
        <f>(AH210-AH203)/AH203*100</f>
        <v>21.359384185068279</v>
      </c>
      <c r="AK210" s="113">
        <f t="shared" si="49"/>
        <v>7</v>
      </c>
      <c r="AL210" s="114">
        <f t="shared" si="41"/>
        <v>163.33333333333334</v>
      </c>
      <c r="AM210" s="121">
        <f>AM203+AK210*(AM213-AM203)/10</f>
        <v>39.5</v>
      </c>
      <c r="AN210" s="115">
        <v>0.10876747511118763</v>
      </c>
      <c r="AO210" s="115">
        <v>0.10093356762016603</v>
      </c>
      <c r="AP210" s="104">
        <f>(AO210-AO203)/AO203*100</f>
        <v>57.4265412059463</v>
      </c>
      <c r="AR210" s="113">
        <f t="shared" si="50"/>
        <v>7</v>
      </c>
      <c r="AS210" s="114">
        <f t="shared" si="42"/>
        <v>105</v>
      </c>
      <c r="AT210" s="122">
        <f>AT203+AR210*(AT213-AT203)/10</f>
        <v>41</v>
      </c>
      <c r="AU210" s="115">
        <v>6.6623557969915675E-2</v>
      </c>
      <c r="AV210" s="115">
        <v>5.8065151425412527E-2</v>
      </c>
      <c r="AW210" s="104">
        <f>(AV210-AV203)/AV203*100</f>
        <v>-9.4355211152182559</v>
      </c>
      <c r="AY210" s="113">
        <f t="shared" si="51"/>
        <v>7</v>
      </c>
      <c r="AZ210" s="114">
        <f t="shared" si="43"/>
        <v>12.352941176470589</v>
      </c>
      <c r="BA210" s="121">
        <f>BA203+AY210*(BA213-BA203)/10</f>
        <v>95.5</v>
      </c>
      <c r="BB210" s="115">
        <v>6.7441941015737444E-2</v>
      </c>
      <c r="BC210" s="115">
        <v>5.8778405669520722E-2</v>
      </c>
      <c r="BD210" s="104">
        <f>(BC210-BC203)/BC203*100</f>
        <v>-8.323055249818875</v>
      </c>
    </row>
    <row r="211" spans="2:56">
      <c r="B211" s="113">
        <f t="shared" si="44"/>
        <v>8</v>
      </c>
      <c r="C211" s="114">
        <f>IF(ISERROR((D211-D203)/D203*100),"error",(D211-D203)/D203*100)</f>
        <v>148.57142857142858</v>
      </c>
      <c r="D211" s="114">
        <f>D203+B211*(D213-D203)/10</f>
        <v>174000000</v>
      </c>
      <c r="E211" s="115">
        <v>0.1374025411073232</v>
      </c>
      <c r="F211" s="115">
        <v>0.11975192557617302</v>
      </c>
      <c r="G211" s="104">
        <f>(F211-F203)/F203*100</f>
        <v>86.777619088560314</v>
      </c>
      <c r="I211" s="113">
        <f t="shared" si="45"/>
        <v>8</v>
      </c>
      <c r="J211" s="114">
        <f t="shared" si="37"/>
        <v>282.81179138321994</v>
      </c>
      <c r="K211" s="119">
        <f>K203+I211*(K213-K203)/10</f>
        <v>84.41</v>
      </c>
      <c r="L211" s="115">
        <v>0.20914471488387293</v>
      </c>
      <c r="M211" s="115">
        <v>0.182278159702016</v>
      </c>
      <c r="N211" s="104">
        <f>(M211-M203)/M203*100</f>
        <v>184.30006880624993</v>
      </c>
      <c r="P211" s="113">
        <f t="shared" si="46"/>
        <v>8</v>
      </c>
      <c r="Q211" s="114" t="str">
        <f t="shared" si="38"/>
        <v>error</v>
      </c>
      <c r="R211" s="120">
        <f>R203+P211*(R213-R203)/10</f>
        <v>0.04</v>
      </c>
      <c r="S211" s="115">
        <v>-4.3977218598318909E-3</v>
      </c>
      <c r="T211" s="115">
        <v>-3.8327941872046602E-3</v>
      </c>
      <c r="U211" s="104">
        <f>(T211-T203)/T203*100</f>
        <v>-104.38675807251127</v>
      </c>
      <c r="W211" s="113">
        <f t="shared" si="47"/>
        <v>8</v>
      </c>
      <c r="X211" s="114">
        <f t="shared" si="39"/>
        <v>26.666666666666668</v>
      </c>
      <c r="Y211" s="114">
        <f>Y203+W211*(Y213-Y203)/10</f>
        <v>95</v>
      </c>
      <c r="Z211" s="115">
        <v>6.2524340502088813E-2</v>
      </c>
      <c r="AA211" s="115">
        <v>5.4492516005632888E-2</v>
      </c>
      <c r="AB211" s="104">
        <f>(AA211-AA203)/AA203*100</f>
        <v>-15.007776712506708</v>
      </c>
      <c r="AD211" s="113">
        <f t="shared" si="48"/>
        <v>8</v>
      </c>
      <c r="AE211" s="114">
        <f t="shared" si="40"/>
        <v>160</v>
      </c>
      <c r="AF211" s="121">
        <f>AF203+AD211*(AF213-AF203)/10</f>
        <v>13</v>
      </c>
      <c r="AG211" s="115">
        <v>9.1847745065703534E-2</v>
      </c>
      <c r="AH211" s="115">
        <v>8.0049060539981717E-2</v>
      </c>
      <c r="AI211" s="104">
        <f>(AH211-AH203)/AH203*100</f>
        <v>24.85288120418063</v>
      </c>
      <c r="AK211" s="113">
        <f t="shared" si="49"/>
        <v>8</v>
      </c>
      <c r="AL211" s="114">
        <f t="shared" si="41"/>
        <v>186.66666666666666</v>
      </c>
      <c r="AM211" s="121">
        <f>AM203+AK211*(AM213-AM203)/10</f>
        <v>43</v>
      </c>
      <c r="AN211" s="115">
        <v>0.11445450803225173</v>
      </c>
      <c r="AO211" s="115">
        <v>0.10666875824487891</v>
      </c>
      <c r="AP211" s="104">
        <f>(AO211-AO203)/AO203*100</f>
        <v>66.371743921885269</v>
      </c>
      <c r="AR211" s="113">
        <f t="shared" si="50"/>
        <v>8</v>
      </c>
      <c r="AS211" s="114">
        <f t="shared" si="42"/>
        <v>120</v>
      </c>
      <c r="AT211" s="122">
        <f>AT203+AR211*(AT213-AT203)/10</f>
        <v>44</v>
      </c>
      <c r="AU211" s="115">
        <v>6.6172829387107182E-2</v>
      </c>
      <c r="AV211" s="115">
        <v>5.7672323059440922E-2</v>
      </c>
      <c r="AW211" s="104">
        <f>(AV211-AV203)/AV203*100</f>
        <v>-10.048217291531138</v>
      </c>
      <c r="AY211" s="113">
        <f t="shared" si="51"/>
        <v>8</v>
      </c>
      <c r="AZ211" s="114">
        <f t="shared" si="43"/>
        <v>14.117647058823529</v>
      </c>
      <c r="BA211" s="121">
        <f>BA203+AY211*(BA213-BA203)/10</f>
        <v>97</v>
      </c>
      <c r="BB211" s="115">
        <v>6.6675459195411263E-2</v>
      </c>
      <c r="BC211" s="115">
        <v>5.8110385462882073E-2</v>
      </c>
      <c r="BD211" s="104">
        <f>(BC211-BC203)/BC203*100</f>
        <v>-9.3649693827122888</v>
      </c>
    </row>
    <row r="212" spans="2:56">
      <c r="B212" s="113">
        <f t="shared" si="44"/>
        <v>9</v>
      </c>
      <c r="C212" s="114">
        <f>IF(ISERROR((D212-D203)/D203*100),"error",(D212-D203)/D203*100)</f>
        <v>167.14285714285714</v>
      </c>
      <c r="D212" s="114">
        <f>D203+B212*(D213-D203)/10</f>
        <v>187000000</v>
      </c>
      <c r="E212" s="115">
        <v>0.14538226147759287</v>
      </c>
      <c r="F212" s="115">
        <v>0.1267065777405228</v>
      </c>
      <c r="G212" s="104">
        <f>(F212-F203)/F203*100</f>
        <v>97.624821474630437</v>
      </c>
      <c r="I212" s="113">
        <f t="shared" si="45"/>
        <v>9</v>
      </c>
      <c r="J212" s="114">
        <f t="shared" si="37"/>
        <v>318.16326530612241</v>
      </c>
      <c r="K212" s="119">
        <f>K203+I212*(K213-K203)/10</f>
        <v>92.204999999999998</v>
      </c>
      <c r="L212" s="115">
        <v>0.22609220697621127</v>
      </c>
      <c r="M212" s="115">
        <v>0.19704859113209611</v>
      </c>
      <c r="N212" s="104">
        <f>(M212-M203)/M203*100</f>
        <v>207.33757740703118</v>
      </c>
      <c r="P212" s="113">
        <f t="shared" si="46"/>
        <v>9</v>
      </c>
      <c r="Q212" s="114" t="str">
        <f t="shared" si="38"/>
        <v>error</v>
      </c>
      <c r="R212" s="120">
        <f>R203+P212*(R213-R203)/10</f>
        <v>4.4999999999999998E-2</v>
      </c>
      <c r="S212" s="115">
        <v>-1.7478678236509445E-2</v>
      </c>
      <c r="T212" s="115">
        <v>-1.5233381846362351E-2</v>
      </c>
      <c r="U212" s="104">
        <f>(T212-T203)/T203*100</f>
        <v>-117.43510283157519</v>
      </c>
      <c r="W212" s="113">
        <f t="shared" si="47"/>
        <v>9</v>
      </c>
      <c r="X212" s="114">
        <f t="shared" si="39"/>
        <v>30</v>
      </c>
      <c r="Y212" s="114">
        <f>Y203+W212*(Y213-Y203)/10</f>
        <v>97.5</v>
      </c>
      <c r="Z212" s="115">
        <v>6.1144285796704133E-2</v>
      </c>
      <c r="AA212" s="115">
        <v>5.3289741973665102E-2</v>
      </c>
      <c r="AB212" s="104">
        <f>(AA212-AA203)/AA203*100</f>
        <v>-16.88374880157005</v>
      </c>
      <c r="AD212" s="113">
        <f t="shared" si="48"/>
        <v>9</v>
      </c>
      <c r="AE212" s="114">
        <f t="shared" si="40"/>
        <v>180</v>
      </c>
      <c r="AF212" s="121">
        <f>AF203+AD212*(AF213-AF203)/10</f>
        <v>14</v>
      </c>
      <c r="AG212" s="115">
        <v>9.4482744349596692E-2</v>
      </c>
      <c r="AH212" s="115">
        <v>8.2345570019319331E-2</v>
      </c>
      <c r="AI212" s="104">
        <f>(AH212-AH203)/AH203*100</f>
        <v>28.434757409521033</v>
      </c>
      <c r="AK212" s="113">
        <f t="shared" si="49"/>
        <v>9</v>
      </c>
      <c r="AL212" s="114">
        <f t="shared" si="41"/>
        <v>210</v>
      </c>
      <c r="AM212" s="121">
        <f>AM203+AK212*(AM213-AM203)/10</f>
        <v>46.5</v>
      </c>
      <c r="AN212" s="115">
        <v>0.12019853556907092</v>
      </c>
      <c r="AO212" s="115">
        <v>0.11243756881959076</v>
      </c>
      <c r="AP212" s="104">
        <f>(AO212-AO203)/AO203*100</f>
        <v>75.369383825656271</v>
      </c>
      <c r="AR212" s="113">
        <f t="shared" si="50"/>
        <v>9</v>
      </c>
      <c r="AS212" s="114">
        <f t="shared" si="42"/>
        <v>135</v>
      </c>
      <c r="AT212" s="122">
        <f>AT203+AR212*(AT213-AT203)/10</f>
        <v>47</v>
      </c>
      <c r="AU212" s="115">
        <v>6.5779640623380625E-2</v>
      </c>
      <c r="AV212" s="115">
        <v>5.7329642995508238E-2</v>
      </c>
      <c r="AW212" s="104">
        <f>(AV212-AV203)/AV203*100</f>
        <v>-10.582696934697704</v>
      </c>
      <c r="AY212" s="113">
        <f t="shared" si="51"/>
        <v>9</v>
      </c>
      <c r="AZ212" s="114">
        <f t="shared" si="43"/>
        <v>15.882352941176469</v>
      </c>
      <c r="BA212" s="121">
        <f>BA203+AY212*(BA213-BA203)/10</f>
        <v>98.5</v>
      </c>
      <c r="BB212" s="115">
        <v>6.5932321999054425E-2</v>
      </c>
      <c r="BC212" s="115">
        <v>5.7462711049339026E-2</v>
      </c>
      <c r="BD212" s="104">
        <f>(BC212-BC203)/BC203*100</f>
        <v>-10.375150090238378</v>
      </c>
    </row>
    <row r="213" spans="2:56" ht="12.75" thickBot="1">
      <c r="B213" s="124">
        <f t="shared" si="44"/>
        <v>10</v>
      </c>
      <c r="C213" s="125">
        <f>IF(ISERROR((D213-D203)/D203*100),"error",(D213-D203)/D203*100)</f>
        <v>185.71428571428572</v>
      </c>
      <c r="D213" s="126">
        <v>200000000</v>
      </c>
      <c r="E213" s="127">
        <v>0.15336198184786243</v>
      </c>
      <c r="F213" s="127">
        <v>0.1336612299048725</v>
      </c>
      <c r="G213" s="105">
        <f>(F213-F203)/F203*100</f>
        <v>108.47202386070043</v>
      </c>
      <c r="I213" s="124">
        <f t="shared" si="45"/>
        <v>10</v>
      </c>
      <c r="J213" s="125">
        <f t="shared" si="37"/>
        <v>353.51473922902494</v>
      </c>
      <c r="K213" s="128">
        <v>100</v>
      </c>
      <c r="L213" s="127">
        <v>0.24303969906854955</v>
      </c>
      <c r="M213" s="127">
        <v>0.21181902256217616</v>
      </c>
      <c r="N213" s="105">
        <f>(M213-M203)/M203*100</f>
        <v>230.37508600781234</v>
      </c>
      <c r="P213" s="124">
        <f t="shared" si="46"/>
        <v>10</v>
      </c>
      <c r="Q213" s="125" t="str">
        <f t="shared" si="38"/>
        <v>error</v>
      </c>
      <c r="R213" s="129">
        <v>0.05</v>
      </c>
      <c r="S213" s="127">
        <v>-3.0559634613187E-2</v>
      </c>
      <c r="T213" s="127">
        <v>-2.6633969505520043E-2</v>
      </c>
      <c r="U213" s="105">
        <f>(T213-T203)/T203*100</f>
        <v>-130.48344759063909</v>
      </c>
      <c r="W213" s="124">
        <f t="shared" si="47"/>
        <v>10</v>
      </c>
      <c r="X213" s="125">
        <f t="shared" si="39"/>
        <v>33.333333333333329</v>
      </c>
      <c r="Y213" s="126">
        <v>100</v>
      </c>
      <c r="Z213" s="127">
        <v>5.976423109131946E-2</v>
      </c>
      <c r="AA213" s="127">
        <v>5.2086967941697336E-2</v>
      </c>
      <c r="AB213" s="105">
        <f>(AA213-AA203)/AA203*100</f>
        <v>-18.759720890633357</v>
      </c>
      <c r="AD213" s="124">
        <f t="shared" si="48"/>
        <v>10</v>
      </c>
      <c r="AE213" s="125">
        <f t="shared" si="40"/>
        <v>200</v>
      </c>
      <c r="AF213" s="130">
        <v>15</v>
      </c>
      <c r="AG213" s="127">
        <v>9.7177616193585406E-2</v>
      </c>
      <c r="AH213" s="127">
        <v>8.4694260879749572E-2</v>
      </c>
      <c r="AI213" s="105">
        <f>(AH213-AH203)/AH203*100</f>
        <v>32.09802115058865</v>
      </c>
      <c r="AK213" s="124">
        <f t="shared" si="49"/>
        <v>10</v>
      </c>
      <c r="AL213" s="125">
        <f t="shared" si="41"/>
        <v>233.33333333333334</v>
      </c>
      <c r="AM213" s="130">
        <v>50</v>
      </c>
      <c r="AN213" s="127">
        <v>0.1259839616207083</v>
      </c>
      <c r="AO213" s="127">
        <v>0.11822854946779465</v>
      </c>
      <c r="AP213" s="105">
        <f>(AO213-AO203)/AO203*100</f>
        <v>84.401602493166877</v>
      </c>
      <c r="AR213" s="124">
        <f t="shared" si="50"/>
        <v>10</v>
      </c>
      <c r="AS213" s="125">
        <f t="shared" si="42"/>
        <v>150</v>
      </c>
      <c r="AT213" s="130">
        <v>50</v>
      </c>
      <c r="AU213" s="127">
        <v>6.5433634511301283E-2</v>
      </c>
      <c r="AV213" s="127">
        <v>5.7028084539247501E-2</v>
      </c>
      <c r="AW213" s="105">
        <f>(AV213-AV203)/AV203*100</f>
        <v>-11.053039020684247</v>
      </c>
      <c r="AY213" s="124">
        <f t="shared" si="51"/>
        <v>10</v>
      </c>
      <c r="AZ213" s="125">
        <f t="shared" si="43"/>
        <v>17.647058823529413</v>
      </c>
      <c r="BA213" s="130">
        <v>100</v>
      </c>
      <c r="BB213" s="127">
        <v>6.5211478918588292E-2</v>
      </c>
      <c r="BC213" s="127">
        <v>5.6834466868202267E-2</v>
      </c>
      <c r="BD213" s="105">
        <f>(BC213-BC203)/BC203*100</f>
        <v>-11.355025376538688</v>
      </c>
    </row>
    <row r="214" spans="2:56">
      <c r="B214" s="4"/>
      <c r="I214" s="4"/>
      <c r="J214" s="4"/>
      <c r="K214" s="4"/>
      <c r="L214" s="4"/>
    </row>
    <row r="215" spans="2:56">
      <c r="B215" s="4"/>
      <c r="I215" s="4"/>
      <c r="J215" s="4"/>
      <c r="K215" s="4"/>
      <c r="L215" s="4"/>
    </row>
    <row r="216" spans="2:56">
      <c r="B216" s="4"/>
      <c r="I216" s="4"/>
      <c r="J216" s="4"/>
      <c r="K216" s="4"/>
      <c r="L216" s="4"/>
    </row>
    <row r="217" spans="2:56">
      <c r="B217" s="4"/>
      <c r="I217" s="4"/>
      <c r="J217" s="4"/>
      <c r="K217" s="4"/>
      <c r="L217" s="4"/>
    </row>
    <row r="218" spans="2:56">
      <c r="B218" s="4"/>
      <c r="L218" s="4"/>
    </row>
    <row r="219" spans="2:56">
      <c r="B219" s="4"/>
      <c r="C219" s="4"/>
      <c r="D219" s="4"/>
      <c r="E219" s="4"/>
      <c r="L219" s="4"/>
    </row>
    <row r="220" spans="2:56">
      <c r="B220" s="4"/>
      <c r="C220" s="4"/>
      <c r="D220" s="4"/>
      <c r="E220" s="4"/>
      <c r="L220" s="4"/>
    </row>
    <row r="222" spans="2:56">
      <c r="B222" s="4"/>
    </row>
    <row r="223" spans="2:56">
      <c r="B223" s="8"/>
    </row>
    <row r="224" spans="2:56">
      <c r="B224" s="4"/>
    </row>
    <row r="225" spans="2:4">
      <c r="B225" s="8"/>
    </row>
    <row r="226" spans="2:4">
      <c r="B226" s="8"/>
    </row>
    <row r="227" spans="2:4">
      <c r="B227" s="8"/>
    </row>
    <row r="228" spans="2:4">
      <c r="B228" s="4"/>
    </row>
    <row r="229" spans="2:4">
      <c r="B229" s="8"/>
    </row>
    <row r="234" spans="2:4">
      <c r="B234" s="4"/>
      <c r="D234" s="4"/>
    </row>
    <row r="235" spans="2:4">
      <c r="B235" s="4"/>
      <c r="D235" s="4"/>
    </row>
    <row r="236" spans="2:4">
      <c r="B236" s="4"/>
      <c r="D236" s="4"/>
    </row>
    <row r="237" spans="2:4">
      <c r="B237" s="4"/>
      <c r="D237" s="4"/>
    </row>
    <row r="238" spans="2:4">
      <c r="B238" s="4"/>
      <c r="D238" s="4"/>
    </row>
    <row r="239" spans="2:4">
      <c r="B239" s="4"/>
      <c r="D239" s="4"/>
    </row>
    <row r="240" spans="2:4">
      <c r="B240" s="4"/>
      <c r="D240" s="4"/>
    </row>
    <row r="241" spans="2:4">
      <c r="B241" s="4"/>
      <c r="D241" s="4"/>
    </row>
    <row r="242" spans="2:4">
      <c r="B242" s="4"/>
      <c r="D242" s="4"/>
    </row>
    <row r="243" spans="2:4">
      <c r="B243" s="4"/>
      <c r="D243" s="4"/>
    </row>
    <row r="244" spans="2:4">
      <c r="B244" s="4"/>
      <c r="D244" s="4"/>
    </row>
    <row r="245" spans="2:4">
      <c r="B245" s="4"/>
      <c r="D245" s="4"/>
    </row>
    <row r="246" spans="2:4">
      <c r="B246" s="4"/>
      <c r="D246" s="4"/>
    </row>
    <row r="247" spans="2:4">
      <c r="B247" s="4"/>
      <c r="D247" s="4"/>
    </row>
    <row r="248" spans="2:4">
      <c r="B248" s="4"/>
      <c r="D248" s="4"/>
    </row>
    <row r="249" spans="2:4">
      <c r="B249" s="4"/>
      <c r="D249" s="4"/>
    </row>
    <row r="250" spans="2:4">
      <c r="B250" s="8"/>
      <c r="D250" s="4"/>
    </row>
    <row r="251" spans="2:4">
      <c r="B251" s="4"/>
      <c r="D251" s="4"/>
    </row>
  </sheetData>
  <sheetProtection selectLockedCells="1"/>
  <mergeCells count="7">
    <mergeCell ref="AD189:AI189"/>
    <mergeCell ref="AK189:AP189"/>
    <mergeCell ref="AY189:BD189"/>
    <mergeCell ref="B189:G189"/>
    <mergeCell ref="I189:N189"/>
    <mergeCell ref="P189:U189"/>
    <mergeCell ref="W189:AB189"/>
  </mergeCells>
  <phoneticPr fontId="0" type="noConversion"/>
  <printOptions horizontalCentered="1" verticalCentered="1"/>
  <pageMargins left="0.5" right="0.5" top="1" bottom="1" header="0.5" footer="0.5"/>
  <pageSetup orientation="portrait" r:id="rId1"/>
  <headerFooter alignWithMargins="0"/>
  <ignoredErrors>
    <ignoredError sqref="B122" unlockedFormula="1"/>
    <ignoredError sqref="B6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1" baseType="lpstr">
      <vt:lpstr>CHP_EconomicExample</vt:lpstr>
      <vt:lpstr>SensitivityDiagram_COE</vt:lpstr>
      <vt:lpstr>SensitivityDiagram_Relative</vt:lpstr>
      <vt:lpstr>AggregateFractionOfHeatRecovered</vt:lpstr>
      <vt:lpstr>AggregateSalesPriceForHeat</vt:lpstr>
      <vt:lpstr>AnnualAshDisposal</vt:lpstr>
      <vt:lpstr>AnnualFuelConsumption</vt:lpstr>
      <vt:lpstr>AnnualHeatSales</vt:lpstr>
      <vt:lpstr>AnnualHours</vt:lpstr>
      <vt:lpstr>AnnualNetGeneration</vt:lpstr>
      <vt:lpstr>CapacityFactor</vt:lpstr>
      <vt:lpstr>CapitalCost</vt:lpstr>
      <vt:lpstr>CapitalCostPerNEC</vt:lpstr>
      <vt:lpstr>EscalationHeatSales</vt:lpstr>
      <vt:lpstr>FuelAshConcentration</vt:lpstr>
      <vt:lpstr>FuelConsumptionRate</vt:lpstr>
      <vt:lpstr>FuelHeatingValue</vt:lpstr>
      <vt:lpstr>FuelPower</vt:lpstr>
      <vt:lpstr>GrossElectricalCapacity</vt:lpstr>
      <vt:lpstr>GrossStationElectricalEfficiency</vt:lpstr>
      <vt:lpstr>HeatIncomePerUnitNEE</vt:lpstr>
      <vt:lpstr>IncomeHeatSales</vt:lpstr>
      <vt:lpstr>NetElectricalCapacity</vt:lpstr>
      <vt:lpstr>NetStationElectricalEfficiency</vt:lpstr>
      <vt:lpstr>OverallCHPefficiencyGross</vt:lpstr>
      <vt:lpstr>OverallCHPefficiencyNet</vt:lpstr>
      <vt:lpstr>ParasiticLoad</vt:lpstr>
      <vt:lpstr>CHP_EconomicExample!Print_Area</vt:lpstr>
      <vt:lpstr>RecoveredHeat</vt:lpstr>
      <vt:lpstr>TotalHeatProductionRate</vt:lpstr>
      <vt:lpstr>TotalIncomeFromHeatSales</vt:lpstr>
    </vt:vector>
  </TitlesOfParts>
  <Company>ucd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bmj</dc:creator>
  <cp:lastModifiedBy>Kaiyan Li</cp:lastModifiedBy>
  <dcterms:created xsi:type="dcterms:W3CDTF">2003-01-23T02:19:24Z</dcterms:created>
  <dcterms:modified xsi:type="dcterms:W3CDTF">2022-02-13T02:41:58Z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-1365171762</vt:i4>
  </property>
  <property fmtid="{D5CDD505-2E9C-101B-9397-08002B2CF9AE}" pid="3" name="_EmailSubject">
    <vt:lpwstr/>
  </property>
  <property fmtid="{D5CDD505-2E9C-101B-9397-08002B2CF9AE}" pid="4" name="_AuthorEmail">
    <vt:lpwstr>Bryan.Jenkins@SEN.CA.GOV</vt:lpwstr>
  </property>
  <property fmtid="{D5CDD505-2E9C-101B-9397-08002B2CF9AE}" pid="5" name="_AuthorEmailDisplayName">
    <vt:lpwstr>Jenkins, Bryan</vt:lpwstr>
  </property>
  <property fmtid="{D5CDD505-2E9C-101B-9397-08002B2CF9AE}" pid="6" name="_ReviewingToolsShownOnce">
    <vt:lpwstr/>
  </property>
</Properties>
</file>