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omkai\Documents\Github\technoeconomic-assessment\docs\"/>
    </mc:Choice>
  </mc:AlternateContent>
  <xr:revisionPtr revIDLastSave="0" documentId="13_ncr:1_{375C81FB-7737-4B2D-8ED1-90DC84457AA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Power_EconomicExample" sheetId="1" r:id="rId1"/>
    <sheet name="SensitivityDiagram_COE" sheetId="2" r:id="rId2"/>
    <sheet name="SensitivityDiagram_Relative" sheetId="3" r:id="rId3"/>
  </sheets>
  <definedNames>
    <definedName name="AnnualAshDisposal">Power_EconomicExample!$B$34</definedName>
    <definedName name="AnnualCapacityPayment">Power_EconomicExample!$B$57</definedName>
    <definedName name="AnnualDebtPayment">Power_EconomicExample!$B$79</definedName>
    <definedName name="AnnualDebtReserveInterest">Power_EconomicExample!$B$58</definedName>
    <definedName name="AnnualEquityRecovery">Power_EconomicExample!$B$78</definedName>
    <definedName name="AnnualFuelConsumption">Power_EconomicExample!$B$33</definedName>
    <definedName name="AnnualGeneration">Power_EconomicExample!$B$31</definedName>
    <definedName name="AnnualHours">Power_EconomicExample!$B$26</definedName>
    <definedName name="AshDisposal">Power_EconomicExample!$B$42</definedName>
    <definedName name="AshDisposalKwh">Power_EconomicExample!$C$42</definedName>
    <definedName name="CapacityFactor">Power_EconomicExample!$B$25</definedName>
    <definedName name="CapacityIncome">Power_EconomicExample!$B$143</definedName>
    <definedName name="CapacityPayment">Power_EconomicExample!$B$55</definedName>
    <definedName name="CapitalCost">Power_EconomicExample!$B$21</definedName>
    <definedName name="CapitalCostNEC">Power_EconomicExample!$B$32</definedName>
    <definedName name="CapitalRecoveryFactorConstant">Power_EconomicExample!$B$160</definedName>
    <definedName name="CapitalRecoveryFactorCurrent">Power_EconomicExample!$B$154</definedName>
    <definedName name="CapitalRecoveryFactorDebt">Power_EconomicExample!$B$77</definedName>
    <definedName name="CapitalRecoveryFactorEquity">Power_EconomicExample!$B$76</definedName>
    <definedName name="CombinedTaxRate">Power_EconomicExample!$B$52</definedName>
    <definedName name="ConstantLACofEnergy">Power_EconomicExample!$B$162</definedName>
    <definedName name="ConstantLevelAnnualRevenueRequirements">Power_EconomicExample!$B$161</definedName>
    <definedName name="CostOfEquity">Power_EconomicExample!$B$71</definedName>
    <definedName name="CostOfMoney">Power_EconomicExample!$B$72</definedName>
    <definedName name="CostOfMoney2">Power_EconomicExample!$B$151</definedName>
    <definedName name="CurrentLACofEnergy">Power_EconomicExample!$B$156</definedName>
    <definedName name="CurrentLevelAnnualRevenueRequirements">Power_EconomicExample!$B$155</definedName>
    <definedName name="DebtInterest1">Power_EconomicExample!$B$136</definedName>
    <definedName name="DebtInterest2">Power_EconomicExample!$C$136</definedName>
    <definedName name="DebtPrincipalPaid1">Power_EconomicExample!$B$137</definedName>
    <definedName name="DebtPrincipalPaid2">Power_EconomicExample!$C$137</definedName>
    <definedName name="DebtPrincipalRemaining1">Power_EconomicExample!$B$138</definedName>
    <definedName name="DebtPrincipalRemaining2">Power_EconomicExample!$C$138</definedName>
    <definedName name="DebtRatio">Power_EconomicExample!$B$67</definedName>
    <definedName name="DebtRecovery">Power_EconomicExample!$B$135</definedName>
    <definedName name="DebtReserve">Power_EconomicExample!$B$80</definedName>
    <definedName name="DebtReserve1">Power_EconomicExample!$B$141</definedName>
    <definedName name="DebtReserve2">Power_EconomicExample!$C$141</definedName>
    <definedName name="Depreciation">Power_EconomicExample!$B$142</definedName>
    <definedName name="DepreciationFraction">Power_EconomicExample!$G$85</definedName>
    <definedName name="EconomicLife">Power_EconomicExample!$B$70</definedName>
    <definedName name="EnergyRevenueRequired1">Power_EconomicExample!$B$148</definedName>
    <definedName name="EnergyRevenueRequired2">Power_EconomicExample!$C$148</definedName>
    <definedName name="EquityInterest1">Power_EconomicExample!$B$132</definedName>
    <definedName name="EquityInterest2">Power_EconomicExample!$C$132</definedName>
    <definedName name="EquityPrincipalPaid1">Power_EconomicExample!$B$133</definedName>
    <definedName name="EquityPrincipalPaid2">Power_EconomicExample!$C$133</definedName>
    <definedName name="EquityPrincipalRemaining1">Power_EconomicExample!$B$134</definedName>
    <definedName name="EquityPrincipalRemaining2">Power_EconomicExample!$C$134</definedName>
    <definedName name="EquityRatio">Power_EconomicExample!$B$68</definedName>
    <definedName name="EquityRecovery">Power_EconomicExample!$B$131</definedName>
    <definedName name="EscalationFuel">Power_EconomicExample!$B$62</definedName>
    <definedName name="EscalationOther">Power_EconomicExample!$B$64</definedName>
    <definedName name="EscalationProductionTaxCredit">Power_EconomicExample!$B$63</definedName>
    <definedName name="FederalTaxRate">Power_EconomicExample!$B$49</definedName>
    <definedName name="FuelAshConcentration">Power_EconomicExample!$B$30</definedName>
    <definedName name="FuelConsumptionRate">Power_EconomicExample!$B$29</definedName>
    <definedName name="FuelCost">Power_EconomicExample!$B$37</definedName>
    <definedName name="FuelCost1">Power_EconomicExample!$B$139</definedName>
    <definedName name="FuelCost2">Power_EconomicExample!$C$139</definedName>
    <definedName name="FuelCostKwh">Power_EconomicExample!$C$37</definedName>
    <definedName name="FuelHeatingValue">Power_EconomicExample!$B$28</definedName>
    <definedName name="GeneralInflation">Power_EconomicExample!$B$61</definedName>
    <definedName name="InsurancePropertyTax">Power_EconomicExample!$B$40</definedName>
    <definedName name="InsurancePropertyTaxKwh">Power_EconomicExample!$C$40</definedName>
    <definedName name="InterestOnDebtReserve">Power_EconomicExample!$B$144</definedName>
    <definedName name="InterestRateOnDebt">Power_EconomicExample!$B$69</definedName>
    <definedName name="InterestRateonDebtReserve">Power_EconomicExample!$B$56</definedName>
    <definedName name="LaborCost">Power_EconomicExample!$B$38</definedName>
    <definedName name="LaborCostKwh">Power_EconomicExample!$C$38</definedName>
    <definedName name="MaintenanceCost">Power_EconomicExample!$B$39</definedName>
    <definedName name="MaintenanceCostKwh">Power_EconomicExample!$C$39</definedName>
    <definedName name="Management">Power_EconomicExample!$B$43</definedName>
    <definedName name="ManagementKwh">Power_EconomicExample!$C$43</definedName>
    <definedName name="NetPlantCapacity">Power_EconomicExample!$B$24</definedName>
    <definedName name="NetStationEfficiency">Power_EconomicExample!$B$27</definedName>
    <definedName name="NonFuelExpenses1">Power_EconomicExample!$B$140</definedName>
    <definedName name="NonFuelExpenses2">Power_EconomicExample!$C$140</definedName>
    <definedName name="OtherOperatingExpenses">Power_EconomicExample!$B$44</definedName>
    <definedName name="OtherOperatingExpensesKwh">Power_EconomicExample!$C$44</definedName>
    <definedName name="PresentWorth1">Power_EconomicExample!$B$152</definedName>
    <definedName name="_xlnm.Print_Area" localSheetId="0">Power_EconomicExample!$A$169:$K$193</definedName>
    <definedName name="ProductionTaxCredit">Power_EconomicExample!$B$51</definedName>
    <definedName name="RealCostOfMoney">Power_EconomicExample!$B$159</definedName>
    <definedName name="StateTaxRate">Power_EconomicExample!$B$50</definedName>
    <definedName name="TaxCredit1">Power_EconomicExample!$B$146</definedName>
    <definedName name="TaxCredit2">Power_EconomicExample!$C$146</definedName>
    <definedName name="TaxCreditFrac">Power_EconomicExample!$G$125</definedName>
    <definedName name="TaxCreditFrac1">Power_EconomicExample!$B$108</definedName>
    <definedName name="TaxCreditFrac2">Power_EconomicExample!$B$109</definedName>
    <definedName name="TaxCreditFrac3">Power_EconomicExample!$B$110</definedName>
    <definedName name="Taxes1">Power_EconomicExample!$B$147</definedName>
    <definedName name="Taxes2">Power_EconomicExample!$C$147</definedName>
    <definedName name="TaxesWoCredit1">Power_EconomicExample!$B$145</definedName>
    <definedName name="TaxesWoCredit2">Power_EconomicExample!$C$145</definedName>
    <definedName name="TotalCostOfPlant">Power_EconomicExample!$B$73</definedName>
    <definedName name="TotalDebtCost">Power_EconomicExample!$B$75</definedName>
    <definedName name="TotalEquityCost">Power_EconomicExample!$B$74</definedName>
    <definedName name="TotalExpensesIncludingFuel">Power_EconomicExample!$B$46</definedName>
    <definedName name="TotalExpensesIncludingFuelKwh">Power_EconomicExample!$C$46</definedName>
    <definedName name="TotalNonFuelExpenses">Power_EconomicExample!$B$45</definedName>
    <definedName name="TotalNonFuelExpensesKwh">Power_EconomicExample!$C$45</definedName>
    <definedName name="TotalPresentWorth">Power_EconomicExample!$B$153</definedName>
    <definedName name="Utilities">Power_EconomicExample!$B$41</definedName>
    <definedName name="UtilitiesKwh">Power_EconomicExample!$C$41</definedName>
    <definedName name="Year">Power_EconomicExample!$C$130</definedName>
  </definedNames>
  <calcPr calcId="191029" iterate="1" iterateCount="1000" iterateDelta="1000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1" i="1" l="1"/>
  <c r="B159" i="1" l="1"/>
  <c r="B160" i="1" s="1"/>
  <c r="B154" i="1"/>
  <c r="B29" i="1"/>
  <c r="C140" i="1"/>
  <c r="G85" i="1"/>
  <c r="B140" i="1"/>
  <c r="B77" i="1"/>
  <c r="B76" i="1"/>
  <c r="B73" i="1"/>
  <c r="B75" i="1" s="1"/>
  <c r="B136" i="1" s="1"/>
  <c r="B68" i="1"/>
  <c r="B72" i="1" s="1"/>
  <c r="B57" i="1"/>
  <c r="B52" i="1"/>
  <c r="B45" i="1"/>
  <c r="B32" i="1"/>
  <c r="B31" i="1"/>
  <c r="E146" i="1" s="1"/>
  <c r="B26" i="1"/>
  <c r="B85" i="1"/>
  <c r="C130" i="1"/>
  <c r="D130" i="1" s="1"/>
  <c r="E130" i="1" s="1"/>
  <c r="B86" i="1"/>
  <c r="B87" i="1"/>
  <c r="B88" i="1"/>
  <c r="E143" i="1"/>
  <c r="F130" i="1"/>
  <c r="G130" i="1" s="1"/>
  <c r="B89" i="1"/>
  <c r="B90" i="1"/>
  <c r="B91" i="1"/>
  <c r="B92" i="1"/>
  <c r="I143" i="1"/>
  <c r="B93" i="1"/>
  <c r="B94" i="1"/>
  <c r="B95" i="1"/>
  <c r="B96" i="1"/>
  <c r="M143" i="1"/>
  <c r="B97" i="1"/>
  <c r="B98" i="1"/>
  <c r="B99" i="1"/>
  <c r="B100" i="1"/>
  <c r="Q143" i="1"/>
  <c r="B101" i="1"/>
  <c r="R143" i="1"/>
  <c r="B102" i="1"/>
  <c r="B103" i="1"/>
  <c r="T143" i="1"/>
  <c r="B104" i="1"/>
  <c r="AW196" i="1"/>
  <c r="AS196" i="1"/>
  <c r="AR188" i="1"/>
  <c r="AR189" i="1"/>
  <c r="AT189" i="1" s="1"/>
  <c r="AR190" i="1"/>
  <c r="AR191" i="1" s="1"/>
  <c r="AR192" i="1"/>
  <c r="AT192" i="1" s="1"/>
  <c r="AS192" i="1" s="1"/>
  <c r="AP196" i="1"/>
  <c r="AL196" i="1"/>
  <c r="AK188" i="1"/>
  <c r="AK189" i="1"/>
  <c r="AK190" i="1" s="1"/>
  <c r="AI196" i="1"/>
  <c r="AE196" i="1"/>
  <c r="AD188" i="1"/>
  <c r="AD189" i="1"/>
  <c r="AD190" i="1" s="1"/>
  <c r="AD191" i="1" s="1"/>
  <c r="AB196" i="1"/>
  <c r="X196" i="1"/>
  <c r="W188" i="1"/>
  <c r="U196" i="1"/>
  <c r="Q196" i="1"/>
  <c r="P188" i="1"/>
  <c r="P189" i="1" s="1"/>
  <c r="P190" i="1" s="1"/>
  <c r="N196" i="1"/>
  <c r="J196" i="1"/>
  <c r="I188" i="1"/>
  <c r="I189" i="1"/>
  <c r="I190" i="1" s="1"/>
  <c r="K190" i="1" s="1"/>
  <c r="J190" i="1" s="1"/>
  <c r="I191" i="1"/>
  <c r="I192" i="1" s="1"/>
  <c r="I193" i="1" s="1"/>
  <c r="G196" i="1"/>
  <c r="C196" i="1"/>
  <c r="B188" i="1"/>
  <c r="B189" i="1"/>
  <c r="D189" i="1" s="1"/>
  <c r="C189" i="1" s="1"/>
  <c r="AW195" i="1"/>
  <c r="AP195" i="1"/>
  <c r="AI195" i="1"/>
  <c r="AB195" i="1"/>
  <c r="U195" i="1"/>
  <c r="N195" i="1"/>
  <c r="G195" i="1"/>
  <c r="AW194" i="1"/>
  <c r="AP194" i="1"/>
  <c r="AI194" i="1"/>
  <c r="AB194" i="1"/>
  <c r="U194" i="1"/>
  <c r="N194" i="1"/>
  <c r="G194" i="1"/>
  <c r="AW193" i="1"/>
  <c r="AP193" i="1"/>
  <c r="AI193" i="1"/>
  <c r="AB193" i="1"/>
  <c r="U193" i="1"/>
  <c r="N193" i="1"/>
  <c r="G193" i="1"/>
  <c r="AW192" i="1"/>
  <c r="AP192" i="1"/>
  <c r="AI192" i="1"/>
  <c r="AB192" i="1"/>
  <c r="U192" i="1"/>
  <c r="N192" i="1"/>
  <c r="G192" i="1"/>
  <c r="AW191" i="1"/>
  <c r="AP191" i="1"/>
  <c r="AI191" i="1"/>
  <c r="AB191" i="1"/>
  <c r="U191" i="1"/>
  <c r="N191" i="1"/>
  <c r="G191" i="1"/>
  <c r="AW190" i="1"/>
  <c r="AT190" i="1"/>
  <c r="AS190" i="1"/>
  <c r="AP190" i="1"/>
  <c r="AI190" i="1"/>
  <c r="AB190" i="1"/>
  <c r="U190" i="1"/>
  <c r="N190" i="1"/>
  <c r="G190" i="1"/>
  <c r="AW189" i="1"/>
  <c r="AS189" i="1"/>
  <c r="AP189" i="1"/>
  <c r="AI189" i="1"/>
  <c r="AF189" i="1"/>
  <c r="AE189" i="1" s="1"/>
  <c r="AB189" i="1"/>
  <c r="U189" i="1"/>
  <c r="R189" i="1"/>
  <c r="Q189" i="1" s="1"/>
  <c r="N189" i="1"/>
  <c r="K189" i="1"/>
  <c r="J189" i="1"/>
  <c r="G189" i="1"/>
  <c r="AW188" i="1"/>
  <c r="AT188" i="1"/>
  <c r="AS188" i="1" s="1"/>
  <c r="AP188" i="1"/>
  <c r="AM188" i="1"/>
  <c r="AL188" i="1"/>
  <c r="AI188" i="1"/>
  <c r="AF188" i="1"/>
  <c r="AE188" i="1"/>
  <c r="AB188" i="1"/>
  <c r="U188" i="1"/>
  <c r="N188" i="1"/>
  <c r="K188" i="1"/>
  <c r="J188" i="1" s="1"/>
  <c r="G188" i="1"/>
  <c r="D188" i="1"/>
  <c r="C188" i="1"/>
  <c r="AW187" i="1"/>
  <c r="AT187" i="1"/>
  <c r="AS187" i="1"/>
  <c r="AP187" i="1"/>
  <c r="AM187" i="1"/>
  <c r="AL187" i="1" s="1"/>
  <c r="AI187" i="1"/>
  <c r="AF187" i="1"/>
  <c r="AE187" i="1"/>
  <c r="AB187" i="1"/>
  <c r="Y187" i="1"/>
  <c r="X187" i="1"/>
  <c r="U187" i="1"/>
  <c r="R187" i="1"/>
  <c r="Q187" i="1"/>
  <c r="N187" i="1"/>
  <c r="K187" i="1"/>
  <c r="J187" i="1" s="1"/>
  <c r="G187" i="1"/>
  <c r="D187" i="1"/>
  <c r="C187" i="1"/>
  <c r="AW186" i="1"/>
  <c r="AS186" i="1"/>
  <c r="AP186" i="1"/>
  <c r="AL186" i="1"/>
  <c r="AI186" i="1"/>
  <c r="AE186" i="1"/>
  <c r="AB186" i="1"/>
  <c r="X186" i="1"/>
  <c r="U186" i="1"/>
  <c r="Q186" i="1"/>
  <c r="N186" i="1"/>
  <c r="J186" i="1"/>
  <c r="G186" i="1"/>
  <c r="C186" i="1"/>
  <c r="AW185" i="1"/>
  <c r="AT185" i="1"/>
  <c r="AS185" i="1" s="1"/>
  <c r="AP185" i="1"/>
  <c r="AM185" i="1"/>
  <c r="AL185" i="1"/>
  <c r="AI185" i="1"/>
  <c r="AF185" i="1"/>
  <c r="AE185" i="1" s="1"/>
  <c r="AB185" i="1"/>
  <c r="Y185" i="1"/>
  <c r="X185" i="1"/>
  <c r="U185" i="1"/>
  <c r="R185" i="1"/>
  <c r="Q185" i="1" s="1"/>
  <c r="N185" i="1"/>
  <c r="K185" i="1"/>
  <c r="J185" i="1" s="1"/>
  <c r="G185" i="1"/>
  <c r="D185" i="1"/>
  <c r="C185" i="1"/>
  <c r="AW184" i="1"/>
  <c r="AR184" i="1"/>
  <c r="AT184" i="1"/>
  <c r="AS184" i="1"/>
  <c r="AP184" i="1"/>
  <c r="AK184" i="1"/>
  <c r="AM184" i="1"/>
  <c r="AL184" i="1"/>
  <c r="AI184" i="1"/>
  <c r="AD184" i="1"/>
  <c r="AF184" i="1"/>
  <c r="AE184" i="1"/>
  <c r="AB184" i="1"/>
  <c r="W184" i="1"/>
  <c r="Y184" i="1"/>
  <c r="X184" i="1"/>
  <c r="U184" i="1"/>
  <c r="P184" i="1"/>
  <c r="R184" i="1"/>
  <c r="Q184" i="1"/>
  <c r="N184" i="1"/>
  <c r="I184" i="1"/>
  <c r="K184" i="1"/>
  <c r="J184" i="1"/>
  <c r="G184" i="1"/>
  <c r="B184" i="1"/>
  <c r="D184" i="1"/>
  <c r="C184" i="1"/>
  <c r="AW183" i="1"/>
  <c r="AR183" i="1"/>
  <c r="AT183" i="1"/>
  <c r="AS183" i="1"/>
  <c r="AP183" i="1"/>
  <c r="AK183" i="1"/>
  <c r="AM183" i="1"/>
  <c r="AL183" i="1"/>
  <c r="AI183" i="1"/>
  <c r="AD183" i="1"/>
  <c r="AF183" i="1"/>
  <c r="AE183" i="1"/>
  <c r="AB183" i="1"/>
  <c r="W183" i="1"/>
  <c r="Y183" i="1"/>
  <c r="X183" i="1"/>
  <c r="U183" i="1"/>
  <c r="P183" i="1"/>
  <c r="R183" i="1"/>
  <c r="Q183" i="1"/>
  <c r="N183" i="1"/>
  <c r="I183" i="1"/>
  <c r="K183" i="1"/>
  <c r="J183" i="1"/>
  <c r="G183" i="1"/>
  <c r="B183" i="1"/>
  <c r="D183" i="1"/>
  <c r="C183" i="1"/>
  <c r="AW182" i="1"/>
  <c r="AR182" i="1"/>
  <c r="AT182" i="1"/>
  <c r="AS182" i="1"/>
  <c r="AP182" i="1"/>
  <c r="AK182" i="1"/>
  <c r="AM182" i="1"/>
  <c r="AL182" i="1"/>
  <c r="AI182" i="1"/>
  <c r="AD182" i="1"/>
  <c r="AF182" i="1"/>
  <c r="AE182" i="1"/>
  <c r="AB182" i="1"/>
  <c r="W182" i="1"/>
  <c r="Y182" i="1"/>
  <c r="X182" i="1"/>
  <c r="U182" i="1"/>
  <c r="P182" i="1"/>
  <c r="R182" i="1"/>
  <c r="Q182" i="1"/>
  <c r="N182" i="1"/>
  <c r="I182" i="1"/>
  <c r="K182" i="1"/>
  <c r="J182" i="1"/>
  <c r="G182" i="1"/>
  <c r="B182" i="1"/>
  <c r="D182" i="1"/>
  <c r="C182" i="1"/>
  <c r="AW181" i="1"/>
  <c r="AR181" i="1"/>
  <c r="AT181" i="1"/>
  <c r="AS181" i="1"/>
  <c r="AP181" i="1"/>
  <c r="AK181" i="1"/>
  <c r="AM181" i="1"/>
  <c r="AL181" i="1"/>
  <c r="AI181" i="1"/>
  <c r="AD181" i="1"/>
  <c r="AF181" i="1"/>
  <c r="AE181" i="1"/>
  <c r="AB181" i="1"/>
  <c r="W181" i="1"/>
  <c r="Y181" i="1"/>
  <c r="X181" i="1"/>
  <c r="U181" i="1"/>
  <c r="P181" i="1"/>
  <c r="R181" i="1"/>
  <c r="Q181" i="1"/>
  <c r="N181" i="1"/>
  <c r="I181" i="1"/>
  <c r="K181" i="1"/>
  <c r="J181" i="1"/>
  <c r="G181" i="1"/>
  <c r="B181" i="1"/>
  <c r="D181" i="1"/>
  <c r="C181" i="1"/>
  <c r="AW180" i="1"/>
  <c r="AR180" i="1"/>
  <c r="AT180" i="1"/>
  <c r="AS180" i="1"/>
  <c r="AP180" i="1"/>
  <c r="AK180" i="1"/>
  <c r="AM180" i="1"/>
  <c r="AL180" i="1"/>
  <c r="AI180" i="1"/>
  <c r="AD180" i="1"/>
  <c r="AF180" i="1"/>
  <c r="AE180" i="1"/>
  <c r="AB180" i="1"/>
  <c r="W180" i="1"/>
  <c r="Y180" i="1"/>
  <c r="X180" i="1"/>
  <c r="U180" i="1"/>
  <c r="P180" i="1"/>
  <c r="R180" i="1"/>
  <c r="Q180" i="1"/>
  <c r="N180" i="1"/>
  <c r="I180" i="1"/>
  <c r="K180" i="1"/>
  <c r="J180" i="1"/>
  <c r="G180" i="1"/>
  <c r="B180" i="1"/>
  <c r="D180" i="1"/>
  <c r="C180" i="1"/>
  <c r="AW179" i="1"/>
  <c r="AR179" i="1"/>
  <c r="AT179" i="1"/>
  <c r="AS179" i="1"/>
  <c r="AP179" i="1"/>
  <c r="AK179" i="1"/>
  <c r="AM179" i="1"/>
  <c r="AL179" i="1"/>
  <c r="AI179" i="1"/>
  <c r="AD179" i="1"/>
  <c r="AF179" i="1"/>
  <c r="AE179" i="1"/>
  <c r="AB179" i="1"/>
  <c r="W179" i="1"/>
  <c r="Y179" i="1"/>
  <c r="X179" i="1"/>
  <c r="U179" i="1"/>
  <c r="P179" i="1"/>
  <c r="R179" i="1"/>
  <c r="Q179" i="1"/>
  <c r="N179" i="1"/>
  <c r="I179" i="1"/>
  <c r="K179" i="1"/>
  <c r="J179" i="1"/>
  <c r="G179" i="1"/>
  <c r="B179" i="1"/>
  <c r="D179" i="1"/>
  <c r="C179" i="1"/>
  <c r="AW178" i="1"/>
  <c r="AR178" i="1"/>
  <c r="AT178" i="1"/>
  <c r="AS178" i="1"/>
  <c r="AP178" i="1"/>
  <c r="AK178" i="1"/>
  <c r="AM178" i="1"/>
  <c r="AL178" i="1"/>
  <c r="AI178" i="1"/>
  <c r="AD178" i="1"/>
  <c r="AF178" i="1"/>
  <c r="AE178" i="1"/>
  <c r="AB178" i="1"/>
  <c r="W178" i="1"/>
  <c r="Y178" i="1"/>
  <c r="X178" i="1"/>
  <c r="U178" i="1"/>
  <c r="P178" i="1"/>
  <c r="R178" i="1"/>
  <c r="Q178" i="1"/>
  <c r="N178" i="1"/>
  <c r="I178" i="1"/>
  <c r="K178" i="1"/>
  <c r="J178" i="1"/>
  <c r="G178" i="1"/>
  <c r="B178" i="1"/>
  <c r="D178" i="1"/>
  <c r="C178" i="1"/>
  <c r="AW177" i="1"/>
  <c r="AR177" i="1"/>
  <c r="AT177" i="1"/>
  <c r="AS177" i="1"/>
  <c r="AP177" i="1"/>
  <c r="AK177" i="1"/>
  <c r="AM177" i="1"/>
  <c r="AL177" i="1"/>
  <c r="AI177" i="1"/>
  <c r="AD177" i="1"/>
  <c r="AD176" i="1"/>
  <c r="AB177" i="1"/>
  <c r="W177" i="1"/>
  <c r="Y177" i="1" s="1"/>
  <c r="X177" i="1"/>
  <c r="U177" i="1"/>
  <c r="P177" i="1"/>
  <c r="R177" i="1" s="1"/>
  <c r="Q177" i="1" s="1"/>
  <c r="N177" i="1"/>
  <c r="I177" i="1"/>
  <c r="K177" i="1" s="1"/>
  <c r="J177" i="1"/>
  <c r="G177" i="1"/>
  <c r="B177" i="1"/>
  <c r="B176" i="1" s="1"/>
  <c r="AW176" i="1"/>
  <c r="AS176" i="1"/>
  <c r="AP176" i="1"/>
  <c r="AL176" i="1"/>
  <c r="AK176" i="1"/>
  <c r="AI176" i="1"/>
  <c r="AE176" i="1"/>
  <c r="AB176" i="1"/>
  <c r="X176" i="1"/>
  <c r="W176" i="1"/>
  <c r="U176" i="1"/>
  <c r="Q176" i="1"/>
  <c r="N176" i="1"/>
  <c r="J176" i="1"/>
  <c r="G176" i="1"/>
  <c r="C176" i="1"/>
  <c r="F105" i="1"/>
  <c r="E105" i="1"/>
  <c r="D105" i="1"/>
  <c r="D12" i="1"/>
  <c r="B14" i="1"/>
  <c r="D16" i="1"/>
  <c r="AR176" i="1"/>
  <c r="D177" i="1"/>
  <c r="C177" i="1" s="1"/>
  <c r="AF177" i="1"/>
  <c r="AE177" i="1"/>
  <c r="AR193" i="1"/>
  <c r="AT193" i="1" s="1"/>
  <c r="AS193" i="1" s="1"/>
  <c r="AF190" i="1"/>
  <c r="AE190" i="1"/>
  <c r="AT191" i="1"/>
  <c r="AS191" i="1" s="1"/>
  <c r="K191" i="1"/>
  <c r="J191" i="1" s="1"/>
  <c r="AR194" i="1"/>
  <c r="AT194" i="1" s="1"/>
  <c r="AS194" i="1" s="1"/>
  <c r="AR195" i="1"/>
  <c r="AR196" i="1" s="1"/>
  <c r="AT195" i="1"/>
  <c r="AS195" i="1" s="1"/>
  <c r="E140" i="1"/>
  <c r="Q142" i="1"/>
  <c r="I142" i="1"/>
  <c r="G142" i="1"/>
  <c r="U142" i="1"/>
  <c r="E142" i="1"/>
  <c r="C142" i="1"/>
  <c r="R142" i="1"/>
  <c r="M142" i="1"/>
  <c r="J142" i="1"/>
  <c r="P142" i="1"/>
  <c r="O142" i="1"/>
  <c r="T142" i="1" l="1"/>
  <c r="K142" i="1"/>
  <c r="H142" i="1"/>
  <c r="D142" i="1"/>
  <c r="C39" i="1"/>
  <c r="C43" i="1"/>
  <c r="B146" i="1"/>
  <c r="P191" i="1"/>
  <c r="R190" i="1"/>
  <c r="Q190" i="1" s="1"/>
  <c r="H130" i="1"/>
  <c r="G140" i="1"/>
  <c r="AF191" i="1"/>
  <c r="AE191" i="1" s="1"/>
  <c r="AD192" i="1"/>
  <c r="AM190" i="1"/>
  <c r="AL190" i="1" s="1"/>
  <c r="AK191" i="1"/>
  <c r="I194" i="1"/>
  <c r="K193" i="1"/>
  <c r="J193" i="1" s="1"/>
  <c r="F146" i="1"/>
  <c r="K192" i="1"/>
  <c r="J192" i="1" s="1"/>
  <c r="B105" i="1"/>
  <c r="C44" i="1"/>
  <c r="D146" i="1"/>
  <c r="C40" i="1"/>
  <c r="B143" i="1"/>
  <c r="C143" i="1"/>
  <c r="G143" i="1"/>
  <c r="K143" i="1"/>
  <c r="O143" i="1"/>
  <c r="S143" i="1"/>
  <c r="F143" i="1"/>
  <c r="J143" i="1"/>
  <c r="N143" i="1"/>
  <c r="H146" i="1"/>
  <c r="C146" i="1"/>
  <c r="C42" i="1"/>
  <c r="P176" i="1"/>
  <c r="R188" i="1"/>
  <c r="Q188" i="1" s="1"/>
  <c r="AM189" i="1"/>
  <c r="AL189" i="1" s="1"/>
  <c r="U143" i="1"/>
  <c r="P143" i="1"/>
  <c r="F140" i="1"/>
  <c r="C38" i="1"/>
  <c r="C41" i="1"/>
  <c r="G146" i="1"/>
  <c r="D140" i="1"/>
  <c r="I176" i="1"/>
  <c r="B190" i="1"/>
  <c r="W189" i="1"/>
  <c r="Y188" i="1"/>
  <c r="X188" i="1" s="1"/>
  <c r="L143" i="1"/>
  <c r="H143" i="1"/>
  <c r="D143" i="1"/>
  <c r="S142" i="1"/>
  <c r="F142" i="1"/>
  <c r="B74" i="1"/>
  <c r="B132" i="1" s="1"/>
  <c r="B142" i="1"/>
  <c r="L142" i="1"/>
  <c r="N142" i="1"/>
  <c r="B33" i="1"/>
  <c r="C37" i="1" s="1"/>
  <c r="B79" i="1"/>
  <c r="B135" i="1" s="1"/>
  <c r="C45" i="1" l="1"/>
  <c r="C46" i="1" s="1"/>
  <c r="V142" i="1"/>
  <c r="AK192" i="1"/>
  <c r="AM191" i="1"/>
  <c r="AL191" i="1" s="1"/>
  <c r="Y189" i="1"/>
  <c r="X189" i="1" s="1"/>
  <c r="W190" i="1"/>
  <c r="I130" i="1"/>
  <c r="H140" i="1"/>
  <c r="D190" i="1"/>
  <c r="C190" i="1" s="1"/>
  <c r="B191" i="1"/>
  <c r="AD193" i="1"/>
  <c r="AF192" i="1"/>
  <c r="AE192" i="1" s="1"/>
  <c r="B78" i="1"/>
  <c r="M131" i="1" s="1"/>
  <c r="V143" i="1"/>
  <c r="K194" i="1"/>
  <c r="J194" i="1" s="1"/>
  <c r="I195" i="1"/>
  <c r="R191" i="1"/>
  <c r="Q191" i="1" s="1"/>
  <c r="P192" i="1"/>
  <c r="B46" i="1"/>
  <c r="B34" i="1"/>
  <c r="E135" i="1"/>
  <c r="B139" i="1"/>
  <c r="C135" i="1"/>
  <c r="U135" i="1"/>
  <c r="J135" i="1"/>
  <c r="S135" i="1"/>
  <c r="R135" i="1"/>
  <c r="B80" i="1"/>
  <c r="M135" i="1"/>
  <c r="D135" i="1"/>
  <c r="N135" i="1"/>
  <c r="F135" i="1"/>
  <c r="L135" i="1"/>
  <c r="P135" i="1"/>
  <c r="T135" i="1"/>
  <c r="K135" i="1"/>
  <c r="H135" i="1"/>
  <c r="G135" i="1"/>
  <c r="I135" i="1"/>
  <c r="Q135" i="1"/>
  <c r="O135" i="1"/>
  <c r="B137" i="1"/>
  <c r="L131" i="1" l="1"/>
  <c r="H131" i="1"/>
  <c r="I131" i="1"/>
  <c r="S131" i="1"/>
  <c r="B131" i="1"/>
  <c r="B133" i="1" s="1"/>
  <c r="B134" i="1" s="1"/>
  <c r="Q131" i="1"/>
  <c r="N131" i="1"/>
  <c r="R131" i="1"/>
  <c r="P131" i="1"/>
  <c r="E131" i="1"/>
  <c r="K131" i="1"/>
  <c r="J131" i="1"/>
  <c r="G131" i="1"/>
  <c r="U131" i="1"/>
  <c r="D131" i="1"/>
  <c r="AD194" i="1"/>
  <c r="AF193" i="1"/>
  <c r="AE193" i="1" s="1"/>
  <c r="J130" i="1"/>
  <c r="I140" i="1"/>
  <c r="I146" i="1"/>
  <c r="AM192" i="1"/>
  <c r="AL192" i="1" s="1"/>
  <c r="AK193" i="1"/>
  <c r="P193" i="1"/>
  <c r="R192" i="1"/>
  <c r="Q192" i="1" s="1"/>
  <c r="D191" i="1"/>
  <c r="C191" i="1" s="1"/>
  <c r="B192" i="1"/>
  <c r="W191" i="1"/>
  <c r="Y190" i="1"/>
  <c r="X190" i="1" s="1"/>
  <c r="T131" i="1"/>
  <c r="C131" i="1"/>
  <c r="O131" i="1"/>
  <c r="F131" i="1"/>
  <c r="I196" i="1"/>
  <c r="K195" i="1"/>
  <c r="J195" i="1" s="1"/>
  <c r="E139" i="1"/>
  <c r="H139" i="1"/>
  <c r="C139" i="1"/>
  <c r="D139" i="1"/>
  <c r="G139" i="1"/>
  <c r="I139" i="1"/>
  <c r="F139" i="1"/>
  <c r="V135" i="1"/>
  <c r="B141" i="1"/>
  <c r="U141" i="1" s="1"/>
  <c r="V141" i="1" s="1"/>
  <c r="B58" i="1"/>
  <c r="B138" i="1"/>
  <c r="V131" i="1" l="1"/>
  <c r="Y191" i="1"/>
  <c r="X191" i="1" s="1"/>
  <c r="W192" i="1"/>
  <c r="P194" i="1"/>
  <c r="R193" i="1"/>
  <c r="Q193" i="1" s="1"/>
  <c r="D192" i="1"/>
  <c r="C192" i="1" s="1"/>
  <c r="B193" i="1"/>
  <c r="AK194" i="1"/>
  <c r="AM193" i="1"/>
  <c r="AL193" i="1" s="1"/>
  <c r="K130" i="1"/>
  <c r="J140" i="1"/>
  <c r="J146" i="1"/>
  <c r="J139" i="1"/>
  <c r="AD195" i="1"/>
  <c r="AF194" i="1"/>
  <c r="AE194" i="1" s="1"/>
  <c r="B145" i="1"/>
  <c r="B147" i="1"/>
  <c r="T144" i="1"/>
  <c r="U144" i="1"/>
  <c r="J144" i="1"/>
  <c r="R144" i="1"/>
  <c r="C144" i="1"/>
  <c r="D144" i="1"/>
  <c r="H144" i="1"/>
  <c r="S144" i="1"/>
  <c r="K144" i="1"/>
  <c r="G144" i="1"/>
  <c r="M144" i="1"/>
  <c r="P144" i="1"/>
  <c r="I144" i="1"/>
  <c r="F144" i="1"/>
  <c r="L144" i="1"/>
  <c r="B144" i="1"/>
  <c r="E144" i="1"/>
  <c r="N144" i="1"/>
  <c r="Q144" i="1"/>
  <c r="O144" i="1"/>
  <c r="C136" i="1"/>
  <c r="C132" i="1"/>
  <c r="AM194" i="1" l="1"/>
  <c r="AL194" i="1" s="1"/>
  <c r="AK195" i="1"/>
  <c r="AD196" i="1"/>
  <c r="AF195" i="1"/>
  <c r="AE195" i="1" s="1"/>
  <c r="D193" i="1"/>
  <c r="C193" i="1" s="1"/>
  <c r="B194" i="1"/>
  <c r="L130" i="1"/>
  <c r="K146" i="1"/>
  <c r="K140" i="1"/>
  <c r="K139" i="1"/>
  <c r="W193" i="1"/>
  <c r="Y192" i="1"/>
  <c r="X192" i="1" s="1"/>
  <c r="P195" i="1"/>
  <c r="R194" i="1"/>
  <c r="Q194" i="1" s="1"/>
  <c r="V144" i="1"/>
  <c r="B148" i="1"/>
  <c r="B152" i="1" s="1"/>
  <c r="C137" i="1"/>
  <c r="C133" i="1"/>
  <c r="M130" i="1" l="1"/>
  <c r="L140" i="1"/>
  <c r="L146" i="1"/>
  <c r="L139" i="1"/>
  <c r="B195" i="1"/>
  <c r="D194" i="1"/>
  <c r="C194" i="1" s="1"/>
  <c r="AK196" i="1"/>
  <c r="AM195" i="1"/>
  <c r="AL195" i="1" s="1"/>
  <c r="R195" i="1"/>
  <c r="Q195" i="1" s="1"/>
  <c r="P196" i="1"/>
  <c r="W194" i="1"/>
  <c r="Y193" i="1"/>
  <c r="X193" i="1" s="1"/>
  <c r="C138" i="1"/>
  <c r="C147" i="1"/>
  <c r="C145" i="1"/>
  <c r="C134" i="1"/>
  <c r="Y194" i="1" l="1"/>
  <c r="X194" i="1" s="1"/>
  <c r="W195" i="1"/>
  <c r="D195" i="1"/>
  <c r="C195" i="1" s="1"/>
  <c r="B196" i="1"/>
  <c r="N130" i="1"/>
  <c r="M140" i="1"/>
  <c r="M146" i="1"/>
  <c r="M139" i="1"/>
  <c r="D136" i="1"/>
  <c r="D132" i="1"/>
  <c r="C148" i="1"/>
  <c r="W196" i="1" l="1"/>
  <c r="Y195" i="1"/>
  <c r="X195" i="1" s="1"/>
  <c r="O130" i="1"/>
  <c r="N140" i="1"/>
  <c r="N146" i="1"/>
  <c r="N139" i="1"/>
  <c r="D137" i="1"/>
  <c r="C152" i="1"/>
  <c r="D133" i="1"/>
  <c r="O140" i="1" l="1"/>
  <c r="O146" i="1"/>
  <c r="P130" i="1"/>
  <c r="O139" i="1"/>
  <c r="D138" i="1"/>
  <c r="D147" i="1"/>
  <c r="D145" i="1"/>
  <c r="D134" i="1"/>
  <c r="Q130" i="1" l="1"/>
  <c r="P146" i="1"/>
  <c r="P140" i="1"/>
  <c r="P139" i="1"/>
  <c r="E136" i="1"/>
  <c r="E132" i="1"/>
  <c r="D148" i="1"/>
  <c r="R130" i="1" l="1"/>
  <c r="Q140" i="1"/>
  <c r="Q146" i="1"/>
  <c r="Q139" i="1"/>
  <c r="E137" i="1"/>
  <c r="D152" i="1"/>
  <c r="E133" i="1"/>
  <c r="R140" i="1" l="1"/>
  <c r="S130" i="1"/>
  <c r="R146" i="1"/>
  <c r="R139" i="1"/>
  <c r="E138" i="1"/>
  <c r="E147" i="1"/>
  <c r="E145" i="1"/>
  <c r="E134" i="1"/>
  <c r="T130" i="1" l="1"/>
  <c r="S146" i="1"/>
  <c r="S140" i="1"/>
  <c r="S139" i="1"/>
  <c r="F136" i="1"/>
  <c r="F132" i="1"/>
  <c r="F133" i="1" s="1"/>
  <c r="E148" i="1"/>
  <c r="U130" i="1" l="1"/>
  <c r="T140" i="1"/>
  <c r="T146" i="1"/>
  <c r="T139" i="1"/>
  <c r="F137" i="1"/>
  <c r="F145" i="1" s="1"/>
  <c r="E152" i="1"/>
  <c r="F134" i="1"/>
  <c r="U140" i="1" l="1"/>
  <c r="V140" i="1" s="1"/>
  <c r="U146" i="1"/>
  <c r="V146" i="1" s="1"/>
  <c r="U139" i="1"/>
  <c r="V139" i="1" s="1"/>
  <c r="F147" i="1"/>
  <c r="F148" i="1" s="1"/>
  <c r="F138" i="1"/>
  <c r="G132" i="1"/>
  <c r="G133" i="1" s="1"/>
  <c r="G136" i="1" l="1"/>
  <c r="G134" i="1"/>
  <c r="F152" i="1"/>
  <c r="G137" i="1" l="1"/>
  <c r="H132" i="1"/>
  <c r="H133" i="1" s="1"/>
  <c r="G138" i="1" l="1"/>
  <c r="G147" i="1"/>
  <c r="G148" i="1" s="1"/>
  <c r="G152" i="1" s="1"/>
  <c r="G145" i="1"/>
  <c r="H134" i="1"/>
  <c r="H136" i="1" l="1"/>
  <c r="H137" i="1" s="1"/>
  <c r="I132" i="1"/>
  <c r="I133" i="1" s="1"/>
  <c r="H145" i="1" l="1"/>
  <c r="H147" i="1"/>
  <c r="H148" i="1" s="1"/>
  <c r="H152" i="1" s="1"/>
  <c r="H138" i="1"/>
  <c r="I134" i="1"/>
  <c r="I136" i="1" l="1"/>
  <c r="I137" i="1" s="1"/>
  <c r="I138" i="1" s="1"/>
  <c r="J132" i="1"/>
  <c r="J133" i="1" s="1"/>
  <c r="J134" i="1" s="1"/>
  <c r="J136" i="1" l="1"/>
  <c r="J137" i="1" s="1"/>
  <c r="J138" i="1" s="1"/>
  <c r="I147" i="1"/>
  <c r="I148" i="1" s="1"/>
  <c r="I152" i="1" s="1"/>
  <c r="I145" i="1"/>
  <c r="K132" i="1"/>
  <c r="K133" i="1" s="1"/>
  <c r="J147" i="1" l="1"/>
  <c r="J148" i="1" s="1"/>
  <c r="J152" i="1" s="1"/>
  <c r="J145" i="1"/>
  <c r="K136" i="1"/>
  <c r="K137" i="1" s="1"/>
  <c r="K138" i="1" s="1"/>
  <c r="K134" i="1"/>
  <c r="K147" i="1" l="1"/>
  <c r="K148" i="1" s="1"/>
  <c r="K152" i="1" s="1"/>
  <c r="K145" i="1"/>
  <c r="L136" i="1"/>
  <c r="L137" i="1" s="1"/>
  <c r="L138" i="1" s="1"/>
  <c r="L132" i="1"/>
  <c r="L133" i="1" s="1"/>
  <c r="M136" i="1" l="1"/>
  <c r="M137" i="1" s="1"/>
  <c r="M138" i="1" s="1"/>
  <c r="L147" i="1"/>
  <c r="L148" i="1" s="1"/>
  <c r="L152" i="1" s="1"/>
  <c r="L145" i="1"/>
  <c r="L134" i="1"/>
  <c r="N136" i="1" l="1"/>
  <c r="N137" i="1" s="1"/>
  <c r="N138" i="1" s="1"/>
  <c r="M132" i="1"/>
  <c r="M133" i="1" s="1"/>
  <c r="M134" i="1" s="1"/>
  <c r="O136" i="1" l="1"/>
  <c r="O137" i="1" s="1"/>
  <c r="O138" i="1" s="1"/>
  <c r="N132" i="1"/>
  <c r="N133" i="1" s="1"/>
  <c r="N134" i="1" s="1"/>
  <c r="M147" i="1"/>
  <c r="M148" i="1" s="1"/>
  <c r="M152" i="1" s="1"/>
  <c r="M145" i="1"/>
  <c r="P136" i="1" l="1"/>
  <c r="P137" i="1" s="1"/>
  <c r="P138" i="1" s="1"/>
  <c r="O132" i="1"/>
  <c r="O133" i="1" s="1"/>
  <c r="O134" i="1" s="1"/>
  <c r="N145" i="1"/>
  <c r="N147" i="1"/>
  <c r="N148" i="1" s="1"/>
  <c r="N152" i="1" s="1"/>
  <c r="Q136" i="1" l="1"/>
  <c r="Q137" i="1" s="1"/>
  <c r="Q138" i="1" s="1"/>
  <c r="P132" i="1"/>
  <c r="P133" i="1" s="1"/>
  <c r="P134" i="1" s="1"/>
  <c r="O147" i="1"/>
  <c r="O148" i="1" s="1"/>
  <c r="O152" i="1" s="1"/>
  <c r="O145" i="1"/>
  <c r="R136" i="1" l="1"/>
  <c r="R137" i="1" s="1"/>
  <c r="R138" i="1" s="1"/>
  <c r="Q132" i="1"/>
  <c r="Q133" i="1" s="1"/>
  <c r="Q134" i="1" s="1"/>
  <c r="P145" i="1"/>
  <c r="P147" i="1"/>
  <c r="P148" i="1" s="1"/>
  <c r="P152" i="1" s="1"/>
  <c r="S136" i="1" l="1"/>
  <c r="S137" i="1" s="1"/>
  <c r="S138" i="1" s="1"/>
  <c r="R132" i="1"/>
  <c r="R133" i="1" s="1"/>
  <c r="R134" i="1" s="1"/>
  <c r="Q145" i="1"/>
  <c r="Q147" i="1"/>
  <c r="Q148" i="1" s="1"/>
  <c r="Q152" i="1" s="1"/>
  <c r="T136" i="1" l="1"/>
  <c r="T137" i="1" s="1"/>
  <c r="T138" i="1" s="1"/>
  <c r="S132" i="1"/>
  <c r="S133" i="1" s="1"/>
  <c r="R147" i="1"/>
  <c r="R148" i="1" s="1"/>
  <c r="R152" i="1" s="1"/>
  <c r="R145" i="1"/>
  <c r="U136" i="1" l="1"/>
  <c r="S145" i="1"/>
  <c r="S147" i="1"/>
  <c r="S148" i="1" s="1"/>
  <c r="S152" i="1" s="1"/>
  <c r="S134" i="1"/>
  <c r="U137" i="1" l="1"/>
  <c r="V136" i="1"/>
  <c r="T132" i="1"/>
  <c r="T133" i="1" s="1"/>
  <c r="V137" i="1" l="1"/>
  <c r="U138" i="1"/>
  <c r="T147" i="1"/>
  <c r="T148" i="1" s="1"/>
  <c r="T152" i="1" s="1"/>
  <c r="T145" i="1"/>
  <c r="T134" i="1"/>
  <c r="U132" i="1" l="1"/>
  <c r="U133" i="1" l="1"/>
  <c r="V132" i="1"/>
  <c r="U145" i="1" l="1"/>
  <c r="V145" i="1" s="1"/>
  <c r="U147" i="1"/>
  <c r="V133" i="1"/>
  <c r="U134" i="1"/>
  <c r="U148" i="1" l="1"/>
  <c r="V147" i="1"/>
  <c r="U152" i="1" l="1"/>
  <c r="B153" i="1" s="1"/>
  <c r="V148" i="1"/>
  <c r="B155" i="1" l="1"/>
  <c r="B161" i="1"/>
  <c r="B162" i="1" s="1"/>
  <c r="AH175" i="1" l="1"/>
  <c r="AV175" i="1"/>
  <c r="AA175" i="1"/>
  <c r="M175" i="1"/>
  <c r="AO175" i="1"/>
  <c r="F175" i="1"/>
  <c r="T175" i="1"/>
  <c r="V155" i="1"/>
  <c r="B156" i="1"/>
  <c r="V156" i="1" l="1"/>
  <c r="AU175" i="1"/>
  <c r="AN175" i="1"/>
  <c r="Z175" i="1"/>
  <c r="E175" i="1"/>
  <c r="L175" i="1"/>
  <c r="AG175" i="1"/>
  <c r="S175" i="1"/>
</calcChain>
</file>

<file path=xl/sharedStrings.xml><?xml version="1.0" encoding="utf-8"?>
<sst xmlns="http://schemas.openxmlformats.org/spreadsheetml/2006/main" count="301" uniqueCount="198">
  <si>
    <t>Fuel Heating Value (kJ/kg)</t>
  </si>
  <si>
    <t>Fuel Consumption Rate (t/h)</t>
  </si>
  <si>
    <t>Fuel Cost ($/t)</t>
  </si>
  <si>
    <t>Federal Tax Rate (%)</t>
  </si>
  <si>
    <t>State Tax Rate (%)</t>
  </si>
  <si>
    <t>Combined Tax Rate (%)</t>
  </si>
  <si>
    <t>Capacity Payment ($/kW-y)</t>
  </si>
  <si>
    <t>Debt ratio (%)</t>
  </si>
  <si>
    <t>Equity ratio (%)</t>
  </si>
  <si>
    <t>Total Cost of Plant ($)</t>
  </si>
  <si>
    <t>Total Equity Cost ($)</t>
  </si>
  <si>
    <t>Total Debt Cost ($)</t>
  </si>
  <si>
    <t>Capital Recovery Factor (Equity)</t>
  </si>
  <si>
    <t>Capital Recovery Factor (Debt)</t>
  </si>
  <si>
    <t>Annual Equity Recovery ($/y)</t>
  </si>
  <si>
    <t>Annual Debt Payment ($/y)</t>
  </si>
  <si>
    <t>Debt Reserve ($)</t>
  </si>
  <si>
    <t>Annual Debt Reserve Interest ($/y)</t>
  </si>
  <si>
    <t>Annual Capacity Payment ($/y)</t>
  </si>
  <si>
    <t>Year 1</t>
  </si>
  <si>
    <t>Year 2</t>
  </si>
  <si>
    <t>Year 3</t>
  </si>
  <si>
    <t>Year 4</t>
  </si>
  <si>
    <t>Year 5</t>
  </si>
  <si>
    <t>Year 6</t>
  </si>
  <si>
    <t>Total</t>
  </si>
  <si>
    <t>Annual Hours</t>
  </si>
  <si>
    <t>Year</t>
  </si>
  <si>
    <t>Equity Recovery</t>
  </si>
  <si>
    <t>Equity Interest</t>
  </si>
  <si>
    <t>Equity Principal Paid</t>
  </si>
  <si>
    <t>Equity Principal Remaining</t>
  </si>
  <si>
    <t>Debt Recovery</t>
  </si>
  <si>
    <t>Debt Interest</t>
  </si>
  <si>
    <t>Debt Principal Paid</t>
  </si>
  <si>
    <t>Debt Principal Remaining</t>
  </si>
  <si>
    <t xml:space="preserve">Fuel Cost </t>
  </si>
  <si>
    <t>Non-fuel Expenses</t>
  </si>
  <si>
    <t>Debt Reserve</t>
  </si>
  <si>
    <t>Depreciation</t>
  </si>
  <si>
    <t>Interest on Debt Reserve</t>
  </si>
  <si>
    <t>Taxes</t>
  </si>
  <si>
    <t>Energy Revenue Required</t>
  </si>
  <si>
    <t>Cost of Money</t>
  </si>
  <si>
    <t>Present Worth (time 0)</t>
  </si>
  <si>
    <t>Total Present Worth</t>
  </si>
  <si>
    <t>Capital Recovery Factor (current)</t>
  </si>
  <si>
    <t>Capital Recovery Factor (constant)</t>
  </si>
  <si>
    <t>Generalized Revenue Requirements Model</t>
  </si>
  <si>
    <t>Capacity Factor (%)</t>
  </si>
  <si>
    <t>Income other than energy</t>
  </si>
  <si>
    <t>Escalation/Inflation</t>
  </si>
  <si>
    <t>Financing</t>
  </si>
  <si>
    <t>Depreciation Schedule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</si>
  <si>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</si>
  <si>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</si>
  <si>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</si>
  <si>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</si>
  <si>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</si>
  <si>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</si>
  <si>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</si>
  <si>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</si>
  <si>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</si>
  <si>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</si>
  <si>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</si>
  <si>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</si>
  <si>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</si>
  <si>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</si>
  <si>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Annual Cash Flows</t>
  </si>
  <si>
    <t>Current $ Level Annual Cost (LAC)</t>
  </si>
  <si>
    <t>Constant $ Level Annual Cost (LAC)</t>
  </si>
  <si>
    <t>Constant $ Level Annual Revenue Requirements ($/y)</t>
  </si>
  <si>
    <t>Current $ Level Annual Revenue Requirements ($/y)</t>
  </si>
  <si>
    <t>Current $ LAC of Energy ($/kWh)</t>
  </si>
  <si>
    <t>Constant $ LAC of Energy ($/kWh)</t>
  </si>
  <si>
    <t>Input Cell</t>
  </si>
  <si>
    <t>Result</t>
  </si>
  <si>
    <t>The spreadsheet cells highlighted in green are input cells:</t>
  </si>
  <si>
    <t>Principal results are highlighted in blue:</t>
  </si>
  <si>
    <t>General Inflation (%/y)</t>
  </si>
  <si>
    <t>Escalation--Fuel (%/y)</t>
  </si>
  <si>
    <t>Escalation--Other (%/y)</t>
  </si>
  <si>
    <t>Interest Rate on Debt Reserve (%/y)</t>
  </si>
  <si>
    <t>Interest Rate on Debt (%/y)</t>
  </si>
  <si>
    <t>Cost of equity (%/y)</t>
  </si>
  <si>
    <t>Cost of Money (%/y)</t>
  </si>
  <si>
    <t>Real Cost of Money (inflation adjusted)</t>
  </si>
  <si>
    <t>Capital Cost: Total installed cost of plant per unit capacity</t>
  </si>
  <si>
    <t>Net Plant Capacity:  Size of plant based on net power output to grid</t>
  </si>
  <si>
    <t>Capacity Factor:  Annual fraction that rated capacity is available from plant</t>
  </si>
  <si>
    <t>Net Station Efficiency (%)</t>
  </si>
  <si>
    <t>Net Station Efficiency:  Ratio of net energy output from plant to fuel energy input to plant</t>
  </si>
  <si>
    <t>Enter Btu/lb</t>
  </si>
  <si>
    <t>Conversion to kJ/kg</t>
  </si>
  <si>
    <t>=</t>
  </si>
  <si>
    <t>Fuel Heating Value:  Higher heating value (heat of combustion) of fuel expressed on a dry basis input in SI units.  To convert from Btu/lb, see calculator above.</t>
  </si>
  <si>
    <t>Unit Conversions:</t>
  </si>
  <si>
    <t>Enter $/ton</t>
  </si>
  <si>
    <t>Conversion to $/t</t>
  </si>
  <si>
    <t>Fuel Cost:  Cost of fuel in $/dry metric ton, to convert from $/short ton, see calculator above</t>
  </si>
  <si>
    <t>Federal Tax Rate:  For federal tax calculations</t>
  </si>
  <si>
    <t>State Tax Rate:  For state tax calculations</t>
  </si>
  <si>
    <t>Combined Tax Rate:  combined federal and state tax rate to which project is subject</t>
  </si>
  <si>
    <t>Interest Rate on Debt Reserve:  Interest income earned on reserve account if financing institution requires security deposit</t>
  </si>
  <si>
    <t>General Inflation:  Overall inflation rate used to adjust current dollar result to constant dollars.</t>
  </si>
  <si>
    <t>Escalation--Fuel:  Rate at which fuel cost escalates over time</t>
  </si>
  <si>
    <t>Escalation--Other:  Rate at which other expenses escalate over time</t>
  </si>
  <si>
    <t>Debt ratio:  Fraction of financing covered by debt borrowing</t>
  </si>
  <si>
    <t>Equity ratio:  Fraction of financing covered by corporate investment</t>
  </si>
  <si>
    <t>Life of Loan:  Example assumes 20 year economic life</t>
  </si>
  <si>
    <t>Cost of Equity:  Rate of return on equity portion of investment</t>
  </si>
  <si>
    <t>Interest Rate on Debt:  Interest rate applied to debt portion of investment</t>
  </si>
  <si>
    <t>Cost of Money:  Weighted cost of investment for full investment including both debt and equity</t>
  </si>
  <si>
    <t>Capital Recovery Factor:  Factor used to compute level annual cost from present worth</t>
  </si>
  <si>
    <t>Annual Equity Recovery:  Uniform annual revenue required to earn stipulated rate of return on equity</t>
  </si>
  <si>
    <t>Annual Debt Payment:  Uniform annual payment needed to pay off debt</t>
  </si>
  <si>
    <t>Debt Reserve:  Funds placed in reserve account as security deposit.  Sometimes required by financing institution to ensure debt repayment if plant operation is stopped for some period, typically up to one year.</t>
  </si>
  <si>
    <t>Depreciation Schedule:  Fraction of capital asset depreciated in each year</t>
  </si>
  <si>
    <t>This example assumes a 20 year economic life with no salvage value and gives cash flows for each year.</t>
  </si>
  <si>
    <t>Annual Fuel Consumption (t/y)</t>
  </si>
  <si>
    <t>Fuel Ash Concentration (%)</t>
  </si>
  <si>
    <t>Fuel Ash Concentration:  Fraction of ash in fuel, percent dry basis</t>
  </si>
  <si>
    <t>Annual Ash Disposal (t/y)</t>
  </si>
  <si>
    <t>Fuel Consumption Rate:  Fuel rate in dry metric tons per hour, to compare short tons per hour, see calculator above.</t>
  </si>
  <si>
    <t>Enter t/h</t>
  </si>
  <si>
    <t>Conversion to tons/hr</t>
  </si>
  <si>
    <t>SI Units</t>
  </si>
  <si>
    <t>This simplified model computes both the current $ and constant $ level annual cost for a model biomass power plant.</t>
  </si>
  <si>
    <t>Production Tax Credit ($/kWh)</t>
  </si>
  <si>
    <t>Economic Life (y)</t>
  </si>
  <si>
    <t>Fraction</t>
  </si>
  <si>
    <t>Tax Credit Schedule</t>
  </si>
  <si>
    <t>Tax Credit</t>
  </si>
  <si>
    <t>Taxes w/o credit</t>
  </si>
  <si>
    <t>Escalation for Production Tax Credit</t>
  </si>
  <si>
    <t>Escalation--PTC:  Specified index for production tax credit</t>
  </si>
  <si>
    <t>MACRS--5 year</t>
  </si>
  <si>
    <t>MACRS--10 year</t>
  </si>
  <si>
    <t>Straight Line--20 year</t>
  </si>
  <si>
    <t>Tax Credit Schedule:  Fraction = 1 if received in year, 0 if not</t>
  </si>
  <si>
    <t>Example:  Biomass Power Plant--Power Only</t>
  </si>
  <si>
    <t>Production Tax Credit</t>
  </si>
  <si>
    <t>--</t>
  </si>
  <si>
    <t>Conventional</t>
  </si>
  <si>
    <t>Capacity Payment:  Payment made from power purchaser if plant can guarantee capacity (depends on contract)</t>
  </si>
  <si>
    <t>Capital costs shown are for example only.  Actual costs may vary.</t>
  </si>
  <si>
    <t>Fraction in Year</t>
  </si>
  <si>
    <t>Annual Generation (kWh)</t>
  </si>
  <si>
    <t>($/kWh-net electrical)</t>
  </si>
  <si>
    <t>Labor Cost ($/y)</t>
  </si>
  <si>
    <t>Maintenance Cost ($/y)</t>
  </si>
  <si>
    <t>Capital Cost ($)</t>
  </si>
  <si>
    <t>Capital cost per net electrical capacity ($/kWe)</t>
  </si>
  <si>
    <t>Labor Cost:  Cost of labor to operate facility</t>
  </si>
  <si>
    <t>Maintenance Cost:  Cost of maintaining the plant</t>
  </si>
  <si>
    <t>Insurance/Property Tax:  Cost of insurance for the plant plus any property or other local taxes</t>
  </si>
  <si>
    <t>Utilities:  Purchased utilities including power, gas, water, waste disposal</t>
  </si>
  <si>
    <t>Ash Disposal:  Cost of ash disposal from plant, use negative value when ash is sold at value</t>
  </si>
  <si>
    <t>Management/Administration:  Cost for administrative personnel and other administration</t>
  </si>
  <si>
    <t>Other Operating Expenses:  All other expenses for operating the plant, for example natural gas not included in utilities, chemicals, or additives</t>
  </si>
  <si>
    <t>Annual fuel consumption in dry metric tons per year</t>
  </si>
  <si>
    <t>Sensitivity Analysis</t>
  </si>
  <si>
    <t>Enter base, minimum, and maximum values in input cells</t>
  </si>
  <si>
    <t>Capital Cost</t>
  </si>
  <si>
    <t>Fuel Cost</t>
  </si>
  <si>
    <t>Debt Ratio</t>
  </si>
  <si>
    <t>Debt Interest Rate</t>
  </si>
  <si>
    <t>Cost of Equity</t>
  </si>
  <si>
    <t>Capacity Factor</t>
  </si>
  <si>
    <t>Case</t>
  </si>
  <si>
    <t>Relative Change</t>
  </si>
  <si>
    <t>LAC Current</t>
  </si>
  <si>
    <t>LAC Constant</t>
  </si>
  <si>
    <t>Relative Change in COE</t>
  </si>
  <si>
    <t>Efficiency</t>
  </si>
  <si>
    <t>COE Current</t>
  </si>
  <si>
    <t>COE Constant</t>
  </si>
  <si>
    <t>(%)</t>
  </si>
  <si>
    <t>($)</t>
  </si>
  <si>
    <t>($/kWh)</t>
  </si>
  <si>
    <t>($/t)</t>
  </si>
  <si>
    <t>Formula Values</t>
  </si>
  <si>
    <t>Base</t>
  </si>
  <si>
    <t>Net Station Efficiency</t>
  </si>
  <si>
    <t>Electrical and Fuel--base year</t>
  </si>
  <si>
    <t>Expenses--base year</t>
  </si>
  <si>
    <t>Insurance/Property Tax ($/y)</t>
    <phoneticPr fontId="0" type="noConversion"/>
  </si>
  <si>
    <t>Utilities ($/y)</t>
    <phoneticPr fontId="0" type="noConversion"/>
  </si>
  <si>
    <t>Ash Disposal ($/y)--use negative value for sales</t>
    <phoneticPr fontId="0" type="noConversion"/>
  </si>
  <si>
    <t>Management/Administration ($/y)</t>
    <phoneticPr fontId="0" type="noConversion"/>
  </si>
  <si>
    <t>Other Operating Expenses ($/y)</t>
    <phoneticPr fontId="0" type="noConversion"/>
  </si>
  <si>
    <t>Total Non-Fuel Expenses ($/kWh)</t>
    <phoneticPr fontId="0" type="noConversion"/>
  </si>
  <si>
    <t>Total Expenses Including Fuel ($/y)</t>
    <phoneticPr fontId="0" type="noConversion"/>
  </si>
  <si>
    <t>8760=24*365</t>
  </si>
  <si>
    <t>Same</t>
  </si>
  <si>
    <t>Same values are highlighted in yellow:</t>
  </si>
  <si>
    <t>Income--Capacity</t>
  </si>
  <si>
    <t>Net Electrical Capacity (kWe)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</si>
</sst>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#,##0.0"/>
    <numFmt numFmtId="168" formatCode="0.00000"/>
  </numFmts>
  <fonts count="8">
    <font>
      <sz val="9"/>
      <name val="Helv"/>
      <family val="2"/>
    </font>
    <font>
      <sz val="10"/>
      <name val="Geneva"/>
      <family val="2"/>
    </font>
    <font>
      <sz val="16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b/>
      <i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" fontId="1" fillId="0" borderId="0" applyFont="0" applyFill="0" applyBorder="0" applyAlignment="0" applyProtection="0"/>
  </cellStyleXfs>
  <cellXfs count="12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3" fontId="3" fillId="0" borderId="0" xfId="0" applyNumberFormat="1" applyFont="1"/>
    <xf numFmtId="2" fontId="3" fillId="0" borderId="0" xfId="0" applyNumberFormat="1" applyFont="1" applyProtection="1">
      <protection locked="0"/>
    </xf>
    <xf numFmtId="2" fontId="3" fillId="0" borderId="0" xfId="0" applyNumberFormat="1" applyFont="1"/>
    <xf numFmtId="164" fontId="3" fillId="0" borderId="0" xfId="0" applyNumberFormat="1" applyFont="1"/>
    <xf numFmtId="164" fontId="3" fillId="0" borderId="0" xfId="0" applyNumberFormat="1" applyFont="1" applyProtection="1">
      <protection locked="0"/>
    </xf>
    <xf numFmtId="3" fontId="3" fillId="0" borderId="1" xfId="0" applyNumberFormat="1" applyFont="1" applyBorder="1"/>
    <xf numFmtId="0" fontId="3" fillId="2" borderId="2" xfId="0" applyFont="1" applyFill="1" applyBorder="1"/>
    <xf numFmtId="3" fontId="3" fillId="2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/>
    <xf numFmtId="2" fontId="3" fillId="2" borderId="2" xfId="0" applyNumberFormat="1" applyFont="1" applyFill="1" applyBorder="1" applyProtection="1">
      <protection locked="0"/>
    </xf>
    <xf numFmtId="0" fontId="3" fillId="2" borderId="2" xfId="0" applyFont="1" applyFill="1" applyBorder="1" applyProtection="1">
      <protection locked="0"/>
    </xf>
    <xf numFmtId="2" fontId="3" fillId="0" borderId="1" xfId="0" applyNumberFormat="1" applyFont="1" applyBorder="1"/>
    <xf numFmtId="0" fontId="3" fillId="0" borderId="0" xfId="0" applyFont="1" applyFill="1" applyBorder="1"/>
    <xf numFmtId="3" fontId="3" fillId="0" borderId="0" xfId="0" applyNumberFormat="1" applyFont="1" applyFill="1" applyBorder="1"/>
    <xf numFmtId="0" fontId="5" fillId="0" borderId="1" xfId="0" applyFont="1" applyBorder="1"/>
    <xf numFmtId="164" fontId="3" fillId="2" borderId="2" xfId="0" applyNumberFormat="1" applyFont="1" applyFill="1" applyBorder="1" applyProtection="1">
      <protection locked="0"/>
    </xf>
    <xf numFmtId="164" fontId="3" fillId="0" borderId="1" xfId="0" applyNumberFormat="1" applyFont="1" applyBorder="1"/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1" fontId="3" fillId="2" borderId="2" xfId="0" applyNumberFormat="1" applyFont="1" applyFill="1" applyBorder="1" applyProtection="1">
      <protection locked="0"/>
    </xf>
    <xf numFmtId="3" fontId="3" fillId="4" borderId="2" xfId="0" applyNumberFormat="1" applyFont="1" applyFill="1" applyBorder="1"/>
    <xf numFmtId="0" fontId="3" fillId="0" borderId="0" xfId="0" applyFont="1" applyFill="1"/>
    <xf numFmtId="164" fontId="3" fillId="0" borderId="0" xfId="0" applyNumberFormat="1" applyFont="1" applyFill="1"/>
    <xf numFmtId="3" fontId="3" fillId="0" borderId="0" xfId="0" applyNumberFormat="1" applyFont="1" applyFill="1"/>
    <xf numFmtId="165" fontId="3" fillId="2" borderId="2" xfId="0" applyNumberFormat="1" applyFont="1" applyFill="1" applyBorder="1" applyProtection="1">
      <protection locked="0"/>
    </xf>
    <xf numFmtId="1" fontId="3" fillId="2" borderId="2" xfId="0" applyNumberFormat="1" applyFont="1" applyFill="1" applyBorder="1"/>
    <xf numFmtId="0" fontId="3" fillId="0" borderId="0" xfId="0" applyFont="1" applyBorder="1"/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/>
    <xf numFmtId="0" fontId="3" fillId="3" borderId="5" xfId="0" applyFont="1" applyFill="1" applyBorder="1" applyAlignment="1">
      <alignment horizontal="center" wrapText="1"/>
    </xf>
    <xf numFmtId="3" fontId="3" fillId="2" borderId="6" xfId="1" applyNumberFormat="1" applyFont="1" applyFill="1" applyBorder="1" applyAlignment="1">
      <alignment horizontal="center"/>
    </xf>
    <xf numFmtId="0" fontId="3" fillId="5" borderId="7" xfId="0" quotePrefix="1" applyFont="1" applyFill="1" applyBorder="1" applyAlignment="1">
      <alignment horizontal="center"/>
    </xf>
    <xf numFmtId="3" fontId="3" fillId="4" borderId="8" xfId="1" applyNumberFormat="1" applyFont="1" applyFill="1" applyBorder="1" applyAlignment="1">
      <alignment horizontal="center"/>
    </xf>
    <xf numFmtId="166" fontId="3" fillId="4" borderId="6" xfId="0" applyNumberFormat="1" applyFont="1" applyFill="1" applyBorder="1" applyAlignment="1">
      <alignment horizontal="center"/>
    </xf>
    <xf numFmtId="166" fontId="3" fillId="2" borderId="8" xfId="0" applyNumberFormat="1" applyFont="1" applyFill="1" applyBorder="1" applyAlignment="1">
      <alignment horizontal="center"/>
    </xf>
    <xf numFmtId="2" fontId="3" fillId="4" borderId="8" xfId="0" applyNumberFormat="1" applyFont="1" applyFill="1" applyBorder="1" applyAlignment="1">
      <alignment horizontal="center"/>
    </xf>
    <xf numFmtId="0" fontId="3" fillId="4" borderId="2" xfId="0" applyFont="1" applyFill="1" applyBorder="1"/>
    <xf numFmtId="2" fontId="3" fillId="4" borderId="2" xfId="0" applyNumberFormat="1" applyFont="1" applyFill="1" applyBorder="1"/>
    <xf numFmtId="2" fontId="3" fillId="4" borderId="2" xfId="0" applyNumberFormat="1" applyFont="1" applyFill="1" applyBorder="1" applyProtection="1">
      <protection locked="0"/>
    </xf>
    <xf numFmtId="164" fontId="3" fillId="4" borderId="2" xfId="0" applyNumberFormat="1" applyFont="1" applyFill="1" applyBorder="1"/>
    <xf numFmtId="164" fontId="3" fillId="4" borderId="2" xfId="0" applyNumberFormat="1" applyFont="1" applyFill="1" applyBorder="1" applyProtection="1">
      <protection locked="0"/>
    </xf>
    <xf numFmtId="164" fontId="3" fillId="3" borderId="2" xfId="0" applyNumberFormat="1" applyFont="1" applyFill="1" applyBorder="1"/>
    <xf numFmtId="0" fontId="3" fillId="4" borderId="9" xfId="0" applyFont="1" applyFill="1" applyBorder="1"/>
    <xf numFmtId="3" fontId="3" fillId="4" borderId="9" xfId="0" applyNumberFormat="1" applyFont="1" applyFill="1" applyBorder="1"/>
    <xf numFmtId="3" fontId="3" fillId="4" borderId="10" xfId="0" applyNumberFormat="1" applyFont="1" applyFill="1" applyBorder="1"/>
    <xf numFmtId="0" fontId="3" fillId="4" borderId="11" xfId="0" applyFont="1" applyFill="1" applyBorder="1"/>
    <xf numFmtId="3" fontId="3" fillId="4" borderId="0" xfId="0" applyNumberFormat="1" applyFont="1" applyFill="1" applyBorder="1"/>
    <xf numFmtId="3" fontId="3" fillId="4" borderId="1" xfId="0" applyNumberFormat="1" applyFont="1" applyFill="1" applyBorder="1"/>
    <xf numFmtId="0" fontId="3" fillId="6" borderId="2" xfId="0" applyFont="1" applyFill="1" applyBorder="1"/>
    <xf numFmtId="0" fontId="3" fillId="6" borderId="9" xfId="0" applyFont="1" applyFill="1" applyBorder="1" applyAlignment="1">
      <alignment horizontal="right"/>
    </xf>
    <xf numFmtId="0" fontId="3" fillId="4" borderId="0" xfId="0" applyFont="1" applyFill="1" applyBorder="1"/>
    <xf numFmtId="0" fontId="3" fillId="4" borderId="12" xfId="0" applyFont="1" applyFill="1" applyBorder="1"/>
    <xf numFmtId="3" fontId="3" fillId="4" borderId="12" xfId="0" applyNumberFormat="1" applyFont="1" applyFill="1" applyBorder="1"/>
    <xf numFmtId="3" fontId="3" fillId="4" borderId="13" xfId="0" applyNumberFormat="1" applyFont="1" applyFill="1" applyBorder="1"/>
    <xf numFmtId="164" fontId="3" fillId="4" borderId="14" xfId="0" applyNumberFormat="1" applyFont="1" applyFill="1" applyBorder="1"/>
    <xf numFmtId="3" fontId="3" fillId="4" borderId="14" xfId="0" applyNumberFormat="1" applyFont="1" applyFill="1" applyBorder="1"/>
    <xf numFmtId="3" fontId="3" fillId="4" borderId="15" xfId="0" applyNumberFormat="1" applyFont="1" applyFill="1" applyBorder="1"/>
    <xf numFmtId="3" fontId="3" fillId="0" borderId="0" xfId="0" applyNumberFormat="1" applyFont="1" applyBorder="1"/>
    <xf numFmtId="0" fontId="3" fillId="4" borderId="1" xfId="0" applyFont="1" applyFill="1" applyBorder="1"/>
    <xf numFmtId="3" fontId="3" fillId="4" borderId="12" xfId="0" quotePrefix="1" applyNumberFormat="1" applyFont="1" applyFill="1" applyBorder="1" applyAlignment="1">
      <alignment horizontal="right"/>
    </xf>
    <xf numFmtId="0" fontId="3" fillId="5" borderId="16" xfId="0" applyFont="1" applyFill="1" applyBorder="1"/>
    <xf numFmtId="0" fontId="3" fillId="5" borderId="17" xfId="0" applyFont="1" applyFill="1" applyBorder="1"/>
    <xf numFmtId="0" fontId="3" fillId="5" borderId="18" xfId="0" applyFont="1" applyFill="1" applyBorder="1"/>
    <xf numFmtId="0" fontId="3" fillId="5" borderId="0" xfId="0" applyFont="1" applyFill="1" applyBorder="1"/>
    <xf numFmtId="0" fontId="3" fillId="5" borderId="19" xfId="0" applyFont="1" applyFill="1" applyBorder="1" applyAlignment="1">
      <alignment horizontal="center"/>
    </xf>
    <xf numFmtId="2" fontId="3" fillId="2" borderId="6" xfId="0" applyNumberFormat="1" applyFont="1" applyFill="1" applyBorder="1" applyAlignment="1">
      <alignment horizontal="center"/>
    </xf>
    <xf numFmtId="0" fontId="5" fillId="5" borderId="20" xfId="0" applyFont="1" applyFill="1" applyBorder="1" applyAlignment="1">
      <alignment vertical="top"/>
    </xf>
    <xf numFmtId="0" fontId="6" fillId="4" borderId="21" xfId="0" applyFont="1" applyFill="1" applyBorder="1"/>
    <xf numFmtId="164" fontId="6" fillId="4" borderId="22" xfId="0" applyNumberFormat="1" applyFont="1" applyFill="1" applyBorder="1"/>
    <xf numFmtId="0" fontId="3" fillId="0" borderId="14" xfId="0" applyFont="1" applyBorder="1"/>
    <xf numFmtId="0" fontId="3" fillId="0" borderId="23" xfId="0" applyFont="1" applyBorder="1" applyAlignment="1">
      <alignment horizontal="right"/>
    </xf>
    <xf numFmtId="0" fontId="5" fillId="0" borderId="14" xfId="0" applyFont="1" applyBorder="1"/>
    <xf numFmtId="0" fontId="3" fillId="0" borderId="23" xfId="0" applyFont="1" applyBorder="1" applyAlignment="1">
      <alignment horizontal="right" wrapText="1"/>
    </xf>
    <xf numFmtId="0" fontId="3" fillId="4" borderId="2" xfId="0" applyFont="1" applyFill="1" applyBorder="1" applyAlignment="1">
      <alignment horizontal="center" wrapText="1"/>
    </xf>
    <xf numFmtId="3" fontId="3" fillId="2" borderId="14" xfId="0" applyNumberFormat="1" applyFont="1" applyFill="1" applyBorder="1" applyProtection="1">
      <protection locked="0"/>
    </xf>
    <xf numFmtId="4" fontId="3" fillId="2" borderId="14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0" fontId="5" fillId="0" borderId="0" xfId="0" applyFont="1" applyFill="1" applyBorder="1" applyAlignment="1">
      <alignment vertical="top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3" fontId="3" fillId="0" borderId="0" xfId="1" applyNumberFormat="1" applyFont="1" applyFill="1" applyBorder="1" applyAlignment="1">
      <alignment horizontal="center" vertical="center"/>
    </xf>
    <xf numFmtId="0" fontId="3" fillId="0" borderId="0" xfId="0" quotePrefix="1" applyFont="1" applyFill="1" applyBorder="1" applyAlignment="1">
      <alignment horizontal="center" vertical="center"/>
    </xf>
    <xf numFmtId="168" fontId="3" fillId="0" borderId="0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7" fillId="0" borderId="1" xfId="0" applyFont="1" applyBorder="1"/>
    <xf numFmtId="0" fontId="3" fillId="0" borderId="0" xfId="0" applyFont="1" applyAlignment="1">
      <alignment wrapText="1"/>
    </xf>
    <xf numFmtId="0" fontId="3" fillId="5" borderId="18" xfId="0" applyFont="1" applyFill="1" applyBorder="1" applyAlignment="1">
      <alignment horizontal="center" wrapText="1"/>
    </xf>
    <xf numFmtId="0" fontId="3" fillId="5" borderId="0" xfId="0" applyFont="1" applyFill="1" applyBorder="1" applyAlignment="1">
      <alignment horizontal="center" wrapText="1"/>
    </xf>
    <xf numFmtId="0" fontId="3" fillId="5" borderId="19" xfId="0" applyFont="1" applyFill="1" applyBorder="1" applyAlignment="1">
      <alignment horizont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wrapText="1"/>
    </xf>
    <xf numFmtId="164" fontId="3" fillId="3" borderId="0" xfId="0" applyNumberFormat="1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3" fontId="3" fillId="4" borderId="19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166" fontId="3" fillId="2" borderId="2" xfId="0" applyNumberFormat="1" applyFont="1" applyFill="1" applyBorder="1" applyAlignment="1">
      <alignment horizontal="center"/>
    </xf>
    <xf numFmtId="4" fontId="3" fillId="4" borderId="0" xfId="0" applyNumberFormat="1" applyFont="1" applyFill="1" applyBorder="1" applyAlignment="1">
      <alignment horizontal="center"/>
    </xf>
    <xf numFmtId="167" fontId="3" fillId="4" borderId="0" xfId="0" applyNumberFormat="1" applyFont="1" applyFill="1" applyBorder="1" applyAlignment="1">
      <alignment horizontal="center"/>
    </xf>
    <xf numFmtId="166" fontId="3" fillId="4" borderId="0" xfId="0" applyNumberFormat="1" applyFont="1" applyFill="1" applyBorder="1" applyAlignment="1">
      <alignment horizontal="center"/>
    </xf>
    <xf numFmtId="0" fontId="3" fillId="7" borderId="24" xfId="0" applyFont="1" applyFill="1" applyBorder="1" applyAlignment="1">
      <alignment horizontal="center"/>
    </xf>
    <xf numFmtId="3" fontId="3" fillId="4" borderId="25" xfId="0" applyNumberFormat="1" applyFont="1" applyFill="1" applyBorder="1" applyAlignment="1">
      <alignment horizontal="center"/>
    </xf>
    <xf numFmtId="3" fontId="3" fillId="2" borderId="7" xfId="0" applyNumberFormat="1" applyFont="1" applyFill="1" applyBorder="1" applyAlignment="1">
      <alignment horizontal="center"/>
    </xf>
    <xf numFmtId="164" fontId="3" fillId="4" borderId="25" xfId="0" applyNumberFormat="1" applyFont="1" applyFill="1" applyBorder="1" applyAlignment="1">
      <alignment horizontal="center"/>
    </xf>
    <xf numFmtId="3" fontId="3" fillId="4" borderId="26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166" fontId="3" fillId="2" borderId="7" xfId="0" applyNumberFormat="1" applyFont="1" applyFill="1" applyBorder="1" applyAlignment="1">
      <alignment horizontal="center"/>
    </xf>
    <xf numFmtId="0" fontId="5" fillId="0" borderId="0" xfId="0" applyNumberFormat="1" applyFont="1" applyFill="1" applyBorder="1"/>
    <xf numFmtId="1" fontId="3" fillId="0" borderId="0" xfId="0" applyNumberFormat="1" applyFont="1"/>
    <xf numFmtId="3" fontId="3" fillId="8" borderId="10" xfId="0" applyNumberFormat="1" applyFont="1" applyFill="1" applyBorder="1"/>
    <xf numFmtId="3" fontId="3" fillId="8" borderId="0" xfId="0" applyNumberFormat="1" applyFont="1" applyFill="1" applyBorder="1"/>
    <xf numFmtId="0" fontId="3" fillId="8" borderId="2" xfId="0" applyFont="1" applyFill="1" applyBorder="1" applyAlignment="1">
      <alignment horizontal="center"/>
    </xf>
    <xf numFmtId="0" fontId="3" fillId="6" borderId="9" xfId="0" applyFont="1" applyFill="1" applyBorder="1"/>
    <xf numFmtId="0" fontId="3" fillId="6" borderId="23" xfId="0" applyFont="1" applyFill="1" applyBorder="1"/>
    <xf numFmtId="0" fontId="3" fillId="6" borderId="10" xfId="0" applyFont="1" applyFill="1" applyBorder="1"/>
    <xf numFmtId="0" fontId="3" fillId="4" borderId="13" xfId="0" applyFont="1" applyFill="1" applyBorder="1"/>
    <xf numFmtId="3" fontId="6" fillId="5" borderId="20" xfId="0" applyNumberFormat="1" applyFont="1" applyFill="1" applyBorder="1" applyAlignment="1">
      <alignment horizontal="center"/>
    </xf>
    <xf numFmtId="3" fontId="6" fillId="5" borderId="16" xfId="0" applyNumberFormat="1" applyFont="1" applyFill="1" applyBorder="1" applyAlignment="1">
      <alignment horizontal="center"/>
    </xf>
    <xf numFmtId="3" fontId="6" fillId="5" borderId="17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10876803551609"/>
          <c:y val="3.7520391517128875E-2"/>
          <c:w val="0.86126526082130961"/>
          <c:h val="0.76835236541598695"/>
        </c:manualLayout>
      </c:layout>
      <c:scatterChart>
        <c:scatterStyle val="smoothMarker"/>
        <c:varyColors val="0"/>
        <c:ser>
          <c:idx val="0"/>
          <c:order val="0"/>
          <c:tx>
            <c:v>Capital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Power_EconomicExample!$C$176:$C$196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18.571428571428573</c:v>
                </c:pt>
                <c:pt idx="12">
                  <c:v>37.142857142857146</c:v>
                </c:pt>
                <c:pt idx="13">
                  <c:v>55.714285714285715</c:v>
                </c:pt>
                <c:pt idx="14">
                  <c:v>74.285714285714292</c:v>
                </c:pt>
                <c:pt idx="15">
                  <c:v>92.857142857142861</c:v>
                </c:pt>
                <c:pt idx="16">
                  <c:v>111.42857142857143</c:v>
                </c:pt>
                <c:pt idx="17">
                  <c:v>130</c:v>
                </c:pt>
                <c:pt idx="18">
                  <c:v>148.57142857142858</c:v>
                </c:pt>
                <c:pt idx="19">
                  <c:v>167.14285714285714</c:v>
                </c:pt>
                <c:pt idx="20">
                  <c:v>185.71428571428572</c:v>
                </c:pt>
              </c:numCache>
            </c:numRef>
          </c:xVal>
          <c:yVal>
            <c:numRef>
              <c:f>Power_EconomicExample!$F$176:$F$196</c:f>
              <c:numCache>
                <c:formatCode>0.0000</c:formatCode>
                <c:ptCount val="21"/>
                <c:pt idx="0">
                  <c:v>2.9032951757753073E-2</c:v>
                </c:pt>
                <c:pt idx="1">
                  <c:v>3.3092512679910556E-2</c:v>
                </c:pt>
                <c:pt idx="2">
                  <c:v>3.7152073602068049E-2</c:v>
                </c:pt>
                <c:pt idx="3">
                  <c:v>4.1211634524225528E-2</c:v>
                </c:pt>
                <c:pt idx="4">
                  <c:v>4.5271195446383E-2</c:v>
                </c:pt>
                <c:pt idx="5">
                  <c:v>4.9330756368540486E-2</c:v>
                </c:pt>
                <c:pt idx="6">
                  <c:v>5.3390317290697965E-2</c:v>
                </c:pt>
                <c:pt idx="7">
                  <c:v>5.7449878212855437E-2</c:v>
                </c:pt>
                <c:pt idx="8">
                  <c:v>6.1509439135012924E-2</c:v>
                </c:pt>
                <c:pt idx="9">
                  <c:v>6.556900005717041E-2</c:v>
                </c:pt>
                <c:pt idx="10">
                  <c:v>6.9628560979327903E-2</c:v>
                </c:pt>
                <c:pt idx="11">
                  <c:v>7.7167745549048913E-2</c:v>
                </c:pt>
                <c:pt idx="12">
                  <c:v>8.4706930118769938E-2</c:v>
                </c:pt>
                <c:pt idx="13">
                  <c:v>9.2246114688490963E-2</c:v>
                </c:pt>
                <c:pt idx="14">
                  <c:v>9.9785299258212001E-2</c:v>
                </c:pt>
                <c:pt idx="15">
                  <c:v>0.1073244838279331</c:v>
                </c:pt>
                <c:pt idx="16">
                  <c:v>0.11486366839765413</c:v>
                </c:pt>
                <c:pt idx="17">
                  <c:v>0.12240285296737513</c:v>
                </c:pt>
                <c:pt idx="18">
                  <c:v>0.12994203753709618</c:v>
                </c:pt>
                <c:pt idx="19">
                  <c:v>0.13748122210681718</c:v>
                </c:pt>
                <c:pt idx="20">
                  <c:v>0.14502040667653823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02-4640-8AC9-A07BF993249E}"/>
            </c:ext>
          </c:extLst>
        </c:ser>
        <c:ser>
          <c:idx val="1"/>
          <c:order val="1"/>
          <c:tx>
            <c:v>Fuel Cost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Power_EconomicExample!$J$176:$J$196</c:f>
              <c:numCache>
                <c:formatCode>#,##0</c:formatCode>
                <c:ptCount val="21"/>
                <c:pt idx="0">
                  <c:v>-100</c:v>
                </c:pt>
                <c:pt idx="1">
                  <c:v>-90.000000000000014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-10.000000000000007</c:v>
                </c:pt>
                <c:pt idx="10">
                  <c:v>0</c:v>
                </c:pt>
                <c:pt idx="11">
                  <c:v>35.351473922902485</c:v>
                </c:pt>
                <c:pt idx="12">
                  <c:v>70.702947845804985</c:v>
                </c:pt>
                <c:pt idx="13">
                  <c:v>106.0544217687075</c:v>
                </c:pt>
                <c:pt idx="14">
                  <c:v>141.40589569161</c:v>
                </c:pt>
                <c:pt idx="15">
                  <c:v>176.7573696145125</c:v>
                </c:pt>
                <c:pt idx="16">
                  <c:v>212.108843537415</c:v>
                </c:pt>
                <c:pt idx="17">
                  <c:v>247.46031746031741</c:v>
                </c:pt>
                <c:pt idx="18">
                  <c:v>282.81179138321994</c:v>
                </c:pt>
                <c:pt idx="19">
                  <c:v>318.16326530612241</c:v>
                </c:pt>
                <c:pt idx="20">
                  <c:v>353.51473922902494</c:v>
                </c:pt>
              </c:numCache>
            </c:numRef>
          </c:xVal>
          <c:yVal>
            <c:numRef>
              <c:f>Power_EconomicExample!$M$176:$M$196</c:f>
              <c:numCache>
                <c:formatCode>0.0000</c:formatCode>
                <c:ptCount val="21"/>
                <c:pt idx="0">
                  <c:v>4.8737732689830379E-2</c:v>
                </c:pt>
                <c:pt idx="1">
                  <c:v>5.0826815518780134E-2</c:v>
                </c:pt>
                <c:pt idx="2">
                  <c:v>5.2915898347729869E-2</c:v>
                </c:pt>
                <c:pt idx="3">
                  <c:v>5.500498117667961E-2</c:v>
                </c:pt>
                <c:pt idx="4">
                  <c:v>5.7094064005629386E-2</c:v>
                </c:pt>
                <c:pt idx="5">
                  <c:v>5.9183146834579141E-2</c:v>
                </c:pt>
                <c:pt idx="6">
                  <c:v>6.1272229663528896E-2</c:v>
                </c:pt>
                <c:pt idx="7">
                  <c:v>6.3361312492478644E-2</c:v>
                </c:pt>
                <c:pt idx="8">
                  <c:v>6.5450395321428378E-2</c:v>
                </c:pt>
                <c:pt idx="9">
                  <c:v>6.7539478150378113E-2</c:v>
                </c:pt>
                <c:pt idx="10">
                  <c:v>6.9628560979327903E-2</c:v>
                </c:pt>
                <c:pt idx="11">
                  <c:v>7.7013776694367944E-2</c:v>
                </c:pt>
                <c:pt idx="12">
                  <c:v>8.4398992409407986E-2</c:v>
                </c:pt>
                <c:pt idx="13">
                  <c:v>9.1784208124448041E-2</c:v>
                </c:pt>
                <c:pt idx="14">
                  <c:v>9.9169423839488083E-2</c:v>
                </c:pt>
                <c:pt idx="15">
                  <c:v>0.10655463955452811</c:v>
                </c:pt>
                <c:pt idx="16">
                  <c:v>0.11393985526956819</c:v>
                </c:pt>
                <c:pt idx="17">
                  <c:v>0.12132507098460822</c:v>
                </c:pt>
                <c:pt idx="18">
                  <c:v>0.12871028669964829</c:v>
                </c:pt>
                <c:pt idx="19">
                  <c:v>0.13609550241468835</c:v>
                </c:pt>
                <c:pt idx="20">
                  <c:v>0.14348071812972843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02-4640-8AC9-A07BF993249E}"/>
            </c:ext>
          </c:extLst>
        </c:ser>
        <c:ser>
          <c:idx val="3"/>
          <c:order val="2"/>
          <c:tx>
            <c:v>Debt Ratio</c:v>
          </c:tx>
          <c:spPr>
            <a:ln w="12700">
              <a:solidFill>
                <a:srgbClr val="8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Power_EconomicExample!$Q$176:$Q$196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3.3333333333333335</c:v>
                </c:pt>
                <c:pt idx="12">
                  <c:v>6.666666666666667</c:v>
                </c:pt>
                <c:pt idx="13">
                  <c:v>10</c:v>
                </c:pt>
                <c:pt idx="14">
                  <c:v>13.333333333333334</c:v>
                </c:pt>
                <c:pt idx="15">
                  <c:v>16.666666666666664</c:v>
                </c:pt>
                <c:pt idx="16">
                  <c:v>20</c:v>
                </c:pt>
                <c:pt idx="17">
                  <c:v>23.333333333333332</c:v>
                </c:pt>
                <c:pt idx="18">
                  <c:v>26.666666666666668</c:v>
                </c:pt>
                <c:pt idx="19">
                  <c:v>30</c:v>
                </c:pt>
                <c:pt idx="20">
                  <c:v>33.333333333333329</c:v>
                </c:pt>
              </c:numCache>
            </c:numRef>
          </c:xVal>
          <c:yVal>
            <c:numRef>
              <c:f>Power_EconomicExample!$T$176:$T$196</c:f>
              <c:numCache>
                <c:formatCode>0.0000</c:formatCode>
                <c:ptCount val="21"/>
                <c:pt idx="0">
                  <c:v>0.10571178193836143</c:v>
                </c:pt>
                <c:pt idx="1">
                  <c:v>0.10210345984245804</c:v>
                </c:pt>
                <c:pt idx="2">
                  <c:v>9.8495137746554731E-2</c:v>
                </c:pt>
                <c:pt idx="3">
                  <c:v>9.4886815650651365E-2</c:v>
                </c:pt>
                <c:pt idx="4">
                  <c:v>9.1278493554747986E-2</c:v>
                </c:pt>
                <c:pt idx="5">
                  <c:v>8.7670171458844648E-2</c:v>
                </c:pt>
                <c:pt idx="6">
                  <c:v>8.4061849362941296E-2</c:v>
                </c:pt>
                <c:pt idx="7">
                  <c:v>8.0453527267037958E-2</c:v>
                </c:pt>
                <c:pt idx="8">
                  <c:v>7.6845205171134578E-2</c:v>
                </c:pt>
                <c:pt idx="9">
                  <c:v>7.3236883075231241E-2</c:v>
                </c:pt>
                <c:pt idx="10">
                  <c:v>6.9628560979327903E-2</c:v>
                </c:pt>
                <c:pt idx="11">
                  <c:v>6.8425786947360095E-2</c:v>
                </c:pt>
                <c:pt idx="12">
                  <c:v>6.722301291539233E-2</c:v>
                </c:pt>
                <c:pt idx="13">
                  <c:v>6.6020238883424537E-2</c:v>
                </c:pt>
                <c:pt idx="14">
                  <c:v>6.4817464851456744E-2</c:v>
                </c:pt>
                <c:pt idx="15">
                  <c:v>6.3614690819488978E-2</c:v>
                </c:pt>
                <c:pt idx="16">
                  <c:v>6.2411916787521178E-2</c:v>
                </c:pt>
                <c:pt idx="17">
                  <c:v>6.1209142755553399E-2</c:v>
                </c:pt>
                <c:pt idx="18">
                  <c:v>6.0006368723585619E-2</c:v>
                </c:pt>
                <c:pt idx="19">
                  <c:v>5.8803594691617833E-2</c:v>
                </c:pt>
                <c:pt idx="20">
                  <c:v>5.7600820659650054E-2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02-4640-8AC9-A07BF993249E}"/>
            </c:ext>
          </c:extLst>
        </c:ser>
        <c:ser>
          <c:idx val="4"/>
          <c:order val="3"/>
          <c:tx>
            <c:v>Debt Interest Rate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Power_EconomicExample!$X$176:$X$196</c:f>
              <c:numCache>
                <c:formatCode>#,##0</c:formatCode>
                <c:ptCount val="21"/>
                <c:pt idx="0">
                  <c:v>-80</c:v>
                </c:pt>
                <c:pt idx="1">
                  <c:v>-72</c:v>
                </c:pt>
                <c:pt idx="2">
                  <c:v>-64</c:v>
                </c:pt>
                <c:pt idx="3">
                  <c:v>-55.999999999999993</c:v>
                </c:pt>
                <c:pt idx="4">
                  <c:v>-48</c:v>
                </c:pt>
                <c:pt idx="5">
                  <c:v>-40</c:v>
                </c:pt>
                <c:pt idx="6">
                  <c:v>-32</c:v>
                </c:pt>
                <c:pt idx="7">
                  <c:v>-24.000000000000004</c:v>
                </c:pt>
                <c:pt idx="8">
                  <c:v>-15.999999999999998</c:v>
                </c:pt>
                <c:pt idx="9">
                  <c:v>-8.0000000000000071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</c:numCache>
            </c:numRef>
          </c:xVal>
          <c:yVal>
            <c:numRef>
              <c:f>Power_EconomicExample!$AA$176:$AA$196</c:f>
              <c:numCache>
                <c:formatCode>0.0000</c:formatCode>
                <c:ptCount val="21"/>
                <c:pt idx="0">
                  <c:v>6.3752819895608159E-2</c:v>
                </c:pt>
                <c:pt idx="1">
                  <c:v>6.4267602308767963E-2</c:v>
                </c:pt>
                <c:pt idx="2">
                  <c:v>6.4798933266822442E-2</c:v>
                </c:pt>
                <c:pt idx="3">
                  <c:v>6.5346705051268703E-2</c:v>
                </c:pt>
                <c:pt idx="4">
                  <c:v>6.5910790617152687E-2</c:v>
                </c:pt>
                <c:pt idx="5">
                  <c:v>6.6491044411940689E-2</c:v>
                </c:pt>
                <c:pt idx="6">
                  <c:v>6.7087303250486133E-2</c:v>
                </c:pt>
                <c:pt idx="7">
                  <c:v>6.7699387238367714E-2</c:v>
                </c:pt>
                <c:pt idx="8">
                  <c:v>6.832710073581573E-2</c:v>
                </c:pt>
                <c:pt idx="9">
                  <c:v>6.8970233354470653E-2</c:v>
                </c:pt>
                <c:pt idx="10">
                  <c:v>6.9628560979327903E-2</c:v>
                </c:pt>
                <c:pt idx="11">
                  <c:v>7.1339275802631774E-2</c:v>
                </c:pt>
                <c:pt idx="12">
                  <c:v>7.3139450944562187E-2</c:v>
                </c:pt>
                <c:pt idx="13">
                  <c:v>7.5024737430200689E-2</c:v>
                </c:pt>
                <c:pt idx="14">
                  <c:v>7.6990533293816429E-2</c:v>
                </c:pt>
                <c:pt idx="15">
                  <c:v>7.9032077095855219E-2</c:v>
                </c:pt>
                <c:pt idx="16">
                  <c:v>8.1144533286135939E-2</c:v>
                </c:pt>
                <c:pt idx="17">
                  <c:v>8.3323067836010747E-2</c:v>
                </c:pt>
                <c:pt idx="18">
                  <c:v>8.5562913257934442E-2</c:v>
                </c:pt>
                <c:pt idx="19">
                  <c:v>8.7859422737272042E-2</c:v>
                </c:pt>
                <c:pt idx="20">
                  <c:v>9.0208113597702283E-2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02-4640-8AC9-A07BF993249E}"/>
            </c:ext>
          </c:extLst>
        </c:ser>
        <c:ser>
          <c:idx val="5"/>
          <c:order val="4"/>
          <c:tx>
            <c:v>Cost of Equity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Power_EconomicExample!$AE$176:$AE$196</c:f>
              <c:numCache>
                <c:formatCode>#,##0</c:formatCode>
                <c:ptCount val="21"/>
                <c:pt idx="0">
                  <c:v>-93.333333333333329</c:v>
                </c:pt>
                <c:pt idx="1">
                  <c:v>-84</c:v>
                </c:pt>
                <c:pt idx="2">
                  <c:v>-74.666666666666657</c:v>
                </c:pt>
                <c:pt idx="3">
                  <c:v>-65.333333333333343</c:v>
                </c:pt>
                <c:pt idx="4">
                  <c:v>-56.000000000000007</c:v>
                </c:pt>
                <c:pt idx="5">
                  <c:v>-46.666666666666664</c:v>
                </c:pt>
                <c:pt idx="6">
                  <c:v>-37.333333333333329</c:v>
                </c:pt>
                <c:pt idx="7">
                  <c:v>-27.999999999999996</c:v>
                </c:pt>
                <c:pt idx="8">
                  <c:v>-18.666666666666671</c:v>
                </c:pt>
                <c:pt idx="9">
                  <c:v>-9.3333333333333357</c:v>
                </c:pt>
                <c:pt idx="10">
                  <c:v>0</c:v>
                </c:pt>
                <c:pt idx="11">
                  <c:v>23.333333333333332</c:v>
                </c:pt>
                <c:pt idx="12">
                  <c:v>46.666666666666664</c:v>
                </c:pt>
                <c:pt idx="13">
                  <c:v>70</c:v>
                </c:pt>
                <c:pt idx="14">
                  <c:v>93.333333333333329</c:v>
                </c:pt>
                <c:pt idx="15">
                  <c:v>116.66666666666667</c:v>
                </c:pt>
                <c:pt idx="16">
                  <c:v>140</c:v>
                </c:pt>
                <c:pt idx="17">
                  <c:v>163.33333333333334</c:v>
                </c:pt>
                <c:pt idx="18">
                  <c:v>186.66666666666666</c:v>
                </c:pt>
                <c:pt idx="19">
                  <c:v>210</c:v>
                </c:pt>
                <c:pt idx="20">
                  <c:v>233.33333333333334</c:v>
                </c:pt>
              </c:numCache>
            </c:numRef>
          </c:xVal>
          <c:yVal>
            <c:numRef>
              <c:f>Power_EconomicExample!$AH$176:$AH$196</c:f>
              <c:numCache>
                <c:formatCode>0.0000</c:formatCode>
                <c:ptCount val="21"/>
                <c:pt idx="0">
                  <c:v>5.4028454107885981E-2</c:v>
                </c:pt>
                <c:pt idx="1">
                  <c:v>5.5188565335658878E-2</c:v>
                </c:pt>
                <c:pt idx="2">
                  <c:v>5.6445840319745061E-2</c:v>
                </c:pt>
                <c:pt idx="3">
                  <c:v>5.7799099741444447E-2</c:v>
                </c:pt>
                <c:pt idx="4">
                  <c:v>5.924581259911383E-2</c:v>
                </c:pt>
                <c:pt idx="5">
                  <c:v>6.0782282054473016E-2</c:v>
                </c:pt>
                <c:pt idx="6">
                  <c:v>6.2403866788449745E-2</c:v>
                </c:pt>
                <c:pt idx="7">
                  <c:v>6.4105217860947181E-2</c:v>
                </c:pt>
                <c:pt idx="8">
                  <c:v>6.5880513130804855E-2</c:v>
                </c:pt>
                <c:pt idx="9">
                  <c:v>6.7723674922725283E-2</c:v>
                </c:pt>
                <c:pt idx="10">
                  <c:v>6.9628560979327903E-2</c:v>
                </c:pt>
                <c:pt idx="11">
                  <c:v>7.4621688936990949E-2</c:v>
                </c:pt>
                <c:pt idx="12">
                  <c:v>7.9876524862556447E-2</c:v>
                </c:pt>
                <c:pt idx="13">
                  <c:v>8.5320722220240064E-2</c:v>
                </c:pt>
                <c:pt idx="14">
                  <c:v>9.0897922104066692E-2</c:v>
                </c:pt>
                <c:pt idx="15">
                  <c:v>9.6566138649695418E-2</c:v>
                </c:pt>
                <c:pt idx="16">
                  <c:v>0.10229499446274076</c:v>
                </c:pt>
                <c:pt idx="17">
                  <c:v>0.10806291044229326</c:v>
                </c:pt>
                <c:pt idx="18">
                  <c:v>0.11385472196223595</c:v>
                </c:pt>
                <c:pt idx="19">
                  <c:v>0.1196598339414524</c:v>
                </c:pt>
                <c:pt idx="20">
                  <c:v>0.12547086575706737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02-4640-8AC9-A07BF993249E}"/>
            </c:ext>
          </c:extLst>
        </c:ser>
        <c:ser>
          <c:idx val="6"/>
          <c:order val="5"/>
          <c:tx>
            <c:v>Net Efficiency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Power_EconomicExample!$AL$176:$AL$196</c:f>
              <c:numCache>
                <c:formatCode>#,##0</c:formatCode>
                <c:ptCount val="21"/>
                <c:pt idx="0">
                  <c:v>-75</c:v>
                </c:pt>
                <c:pt idx="1">
                  <c:v>-67.5</c:v>
                </c:pt>
                <c:pt idx="2">
                  <c:v>-60</c:v>
                </c:pt>
                <c:pt idx="3">
                  <c:v>-52.5</c:v>
                </c:pt>
                <c:pt idx="4">
                  <c:v>-45</c:v>
                </c:pt>
                <c:pt idx="5">
                  <c:v>-37.5</c:v>
                </c:pt>
                <c:pt idx="6">
                  <c:v>-30</c:v>
                </c:pt>
                <c:pt idx="7">
                  <c:v>-22.5</c:v>
                </c:pt>
                <c:pt idx="8">
                  <c:v>-15</c:v>
                </c:pt>
                <c:pt idx="9">
                  <c:v>-7.5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  <c:pt idx="18">
                  <c:v>120</c:v>
                </c:pt>
                <c:pt idx="19">
                  <c:v>135</c:v>
                </c:pt>
                <c:pt idx="20">
                  <c:v>150</c:v>
                </c:pt>
              </c:numCache>
            </c:numRef>
          </c:xVal>
          <c:yVal>
            <c:numRef>
              <c:f>Power_EconomicExample!$AO$176:$AO$196</c:f>
              <c:numCache>
                <c:formatCode>0.0000</c:formatCode>
                <c:ptCount val="21"/>
                <c:pt idx="0">
                  <c:v>0.13230104584782043</c:v>
                </c:pt>
                <c:pt idx="1">
                  <c:v>0.11301720434982272</c:v>
                </c:pt>
                <c:pt idx="2">
                  <c:v>0.10096480341357415</c:v>
                </c:pt>
                <c:pt idx="3">
                  <c:v>9.2718423825614599E-2</c:v>
                </c:pt>
                <c:pt idx="4">
                  <c:v>8.672105685255313E-2</c:v>
                </c:pt>
                <c:pt idx="5">
                  <c:v>8.2163057953026405E-2</c:v>
                </c:pt>
                <c:pt idx="6">
                  <c:v>7.8581773103398228E-2</c:v>
                </c:pt>
                <c:pt idx="7">
                  <c:v>7.5693640160149761E-2</c:v>
                </c:pt>
                <c:pt idx="8">
                  <c:v>7.3315177736298046E-2</c:v>
                </c:pt>
                <c:pt idx="9">
                  <c:v>7.1322411921719578E-2</c:v>
                </c:pt>
                <c:pt idx="10">
                  <c:v>6.9628560979327903E-2</c:v>
                </c:pt>
                <c:pt idx="11">
                  <c:v>6.6903670332871687E-2</c:v>
                </c:pt>
                <c:pt idx="12">
                  <c:v>6.4807600604828458E-2</c:v>
                </c:pt>
                <c:pt idx="13">
                  <c:v>6.3145200475690735E-2</c:v>
                </c:pt>
                <c:pt idx="14">
                  <c:v>6.1794500370766309E-2</c:v>
                </c:pt>
                <c:pt idx="15">
                  <c:v>6.0675348855257535E-2</c:v>
                </c:pt>
                <c:pt idx="16">
                  <c:v>5.9732905473776438E-2</c:v>
                </c:pt>
                <c:pt idx="17">
                  <c:v>5.892838063592673E-2</c:v>
                </c:pt>
                <c:pt idx="18">
                  <c:v>5.8233563730511077E-2</c:v>
                </c:pt>
                <c:pt idx="19">
                  <c:v>5.7627446855574006E-2</c:v>
                </c:pt>
                <c:pt idx="20">
                  <c:v>5.7094064005629379E-2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02-4640-8AC9-A07BF993249E}"/>
            </c:ext>
          </c:extLst>
        </c:ser>
        <c:ser>
          <c:idx val="7"/>
          <c:order val="6"/>
          <c:tx>
            <c:v>Capacity Factor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Power_EconomicExample!$AS$176:$AS$196</c:f>
              <c:numCache>
                <c:formatCode>#,##0</c:formatCode>
                <c:ptCount val="21"/>
                <c:pt idx="0">
                  <c:v>-52.941176470588239</c:v>
                </c:pt>
                <c:pt idx="1">
                  <c:v>-47.647058823529406</c:v>
                </c:pt>
                <c:pt idx="2">
                  <c:v>-42.352941176470587</c:v>
                </c:pt>
                <c:pt idx="3">
                  <c:v>-37.058823529411768</c:v>
                </c:pt>
                <c:pt idx="4">
                  <c:v>-31.764705882352938</c:v>
                </c:pt>
                <c:pt idx="5">
                  <c:v>-26.47058823529412</c:v>
                </c:pt>
                <c:pt idx="6">
                  <c:v>-21.176470588235293</c:v>
                </c:pt>
                <c:pt idx="7">
                  <c:v>-15.882352941176469</c:v>
                </c:pt>
                <c:pt idx="8">
                  <c:v>-10.588235294117647</c:v>
                </c:pt>
                <c:pt idx="9">
                  <c:v>-5.2941176470588234</c:v>
                </c:pt>
                <c:pt idx="10">
                  <c:v>0</c:v>
                </c:pt>
                <c:pt idx="11">
                  <c:v>1.7647058823529411</c:v>
                </c:pt>
                <c:pt idx="12">
                  <c:v>3.5294117647058822</c:v>
                </c:pt>
                <c:pt idx="13">
                  <c:v>5.2941176470588234</c:v>
                </c:pt>
                <c:pt idx="14">
                  <c:v>7.0588235294117645</c:v>
                </c:pt>
                <c:pt idx="15">
                  <c:v>8.8235294117647065</c:v>
                </c:pt>
                <c:pt idx="16">
                  <c:v>10.588235294117647</c:v>
                </c:pt>
                <c:pt idx="17">
                  <c:v>12.352941176470589</c:v>
                </c:pt>
                <c:pt idx="18">
                  <c:v>14.117647058823529</c:v>
                </c:pt>
                <c:pt idx="19">
                  <c:v>15.882352941176469</c:v>
                </c:pt>
                <c:pt idx="20">
                  <c:v>17.647058823529413</c:v>
                </c:pt>
              </c:numCache>
            </c:numRef>
          </c:xVal>
          <c:yVal>
            <c:numRef>
              <c:f>Power_EconomicExample!$AV$176:$AV$196</c:f>
              <c:numCache>
                <c:formatCode>0.0000</c:formatCode>
                <c:ptCount val="21"/>
                <c:pt idx="0">
                  <c:v>0.12777128888373912</c:v>
                </c:pt>
                <c:pt idx="1">
                  <c:v>0.11666537456491902</c:v>
                </c:pt>
                <c:pt idx="2">
                  <c:v>0.10759932205975978</c:v>
                </c:pt>
                <c:pt idx="3">
                  <c:v>0.10005839988257118</c:v>
                </c:pt>
                <c:pt idx="4">
                  <c:v>9.3687620801842869E-2</c:v>
                </c:pt>
                <c:pt idx="5">
                  <c:v>8.8234233908739468E-2</c:v>
                </c:pt>
                <c:pt idx="6">
                  <c:v>8.3513391523664923E-2</c:v>
                </c:pt>
                <c:pt idx="7">
                  <c:v>7.9386781047201094E-2</c:v>
                </c:pt>
                <c:pt idx="8">
                  <c:v>7.5748848127160637E-2</c:v>
                </c:pt>
                <c:pt idx="9">
                  <c:v>7.2517640626752047E-2</c:v>
                </c:pt>
                <c:pt idx="10">
                  <c:v>6.9628560979327903E-2</c:v>
                </c:pt>
                <c:pt idx="11">
                  <c:v>6.873233395960672E-2</c:v>
                </c:pt>
                <c:pt idx="12">
                  <c:v>6.7866660133739654E-2</c:v>
                </c:pt>
                <c:pt idx="13">
                  <c:v>6.7030003307622335E-2</c:v>
                </c:pt>
                <c:pt idx="14">
                  <c:v>6.6220928574673765E-2</c:v>
                </c:pt>
                <c:pt idx="15">
                  <c:v>6.5438094103334288E-2</c:v>
                </c:pt>
                <c:pt idx="16">
                  <c:v>6.4680243710867349E-2</c:v>
                </c:pt>
                <c:pt idx="17">
                  <c:v>6.3946200137011966E-2</c:v>
                </c:pt>
                <c:pt idx="18">
                  <c:v>6.3234858941729394E-2</c:v>
                </c:pt>
                <c:pt idx="19">
                  <c:v>6.2545182960516379E-2</c:v>
                </c:pt>
                <c:pt idx="20">
                  <c:v>6.1876197258739725E-2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902-4640-8AC9-A07BF9932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591016"/>
        <c:axId val="1"/>
      </c:scatterChart>
      <c:valAx>
        <c:axId val="325591016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(%)</a:t>
                </a:r>
              </a:p>
            </c:rich>
          </c:tx>
          <c:layout>
            <c:manualLayout>
              <c:xMode val="edge"/>
              <c:yMode val="edge"/>
              <c:x val="0.42619311875693672"/>
              <c:y val="0.8646003262642740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At val="-10000000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COE ($/kWh, Constant)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446982055464926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25591016"/>
        <c:crossesAt val="-100000000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15094339622641509"/>
          <c:y val="0.92659053833605221"/>
          <c:w val="0.91453940066592676"/>
          <c:h val="0.9967373572593800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449500554938962E-2"/>
          <c:y val="3.7520391517128875E-2"/>
          <c:w val="0.86792452830188682"/>
          <c:h val="0.76835236541598695"/>
        </c:manualLayout>
      </c:layout>
      <c:scatterChart>
        <c:scatterStyle val="smoothMarker"/>
        <c:varyColors val="0"/>
        <c:ser>
          <c:idx val="0"/>
          <c:order val="0"/>
          <c:tx>
            <c:v>Capital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Power_EconomicExample!$C$176:$C$196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18.571428571428573</c:v>
                </c:pt>
                <c:pt idx="12">
                  <c:v>37.142857142857146</c:v>
                </c:pt>
                <c:pt idx="13">
                  <c:v>55.714285714285715</c:v>
                </c:pt>
                <c:pt idx="14">
                  <c:v>74.285714285714292</c:v>
                </c:pt>
                <c:pt idx="15">
                  <c:v>92.857142857142861</c:v>
                </c:pt>
                <c:pt idx="16">
                  <c:v>111.42857142857143</c:v>
                </c:pt>
                <c:pt idx="17">
                  <c:v>130</c:v>
                </c:pt>
                <c:pt idx="18">
                  <c:v>148.57142857142858</c:v>
                </c:pt>
                <c:pt idx="19">
                  <c:v>167.14285714285714</c:v>
                </c:pt>
                <c:pt idx="20">
                  <c:v>185.71428571428572</c:v>
                </c:pt>
              </c:numCache>
            </c:numRef>
          </c:xVal>
          <c:yVal>
            <c:numRef>
              <c:f>Power_EconomicExample!$G$176:$G$196</c:f>
              <c:numCache>
                <c:formatCode>#,##0</c:formatCode>
                <c:ptCount val="21"/>
                <c:pt idx="0">
                  <c:v>-58.303099547938821</c:v>
                </c:pt>
                <c:pt idx="1">
                  <c:v>-52.472789593144931</c:v>
                </c:pt>
                <c:pt idx="2">
                  <c:v>-46.642479638351034</c:v>
                </c:pt>
                <c:pt idx="3">
                  <c:v>-40.812169683557165</c:v>
                </c:pt>
                <c:pt idx="4">
                  <c:v>-34.981859728763297</c:v>
                </c:pt>
                <c:pt idx="5">
                  <c:v>-29.15154977396941</c:v>
                </c:pt>
                <c:pt idx="6">
                  <c:v>-23.321239819175535</c:v>
                </c:pt>
                <c:pt idx="7">
                  <c:v>-17.49092986438167</c:v>
                </c:pt>
                <c:pt idx="8">
                  <c:v>-11.660619909587783</c:v>
                </c:pt>
                <c:pt idx="9">
                  <c:v>-5.8303099547938961</c:v>
                </c:pt>
                <c:pt idx="10">
                  <c:v>0</c:v>
                </c:pt>
                <c:pt idx="11">
                  <c:v>10.827718487474309</c:v>
                </c:pt>
                <c:pt idx="12">
                  <c:v>21.655436974948643</c:v>
                </c:pt>
                <c:pt idx="13">
                  <c:v>32.483155462422971</c:v>
                </c:pt>
                <c:pt idx="14">
                  <c:v>43.310873949897321</c:v>
                </c:pt>
                <c:pt idx="15">
                  <c:v>54.138592437371749</c:v>
                </c:pt>
                <c:pt idx="16">
                  <c:v>64.966310924846098</c:v>
                </c:pt>
                <c:pt idx="17">
                  <c:v>75.794029412320384</c:v>
                </c:pt>
                <c:pt idx="18">
                  <c:v>86.621747899794755</c:v>
                </c:pt>
                <c:pt idx="19">
                  <c:v>97.449466387269041</c:v>
                </c:pt>
                <c:pt idx="20">
                  <c:v>108.27718487474343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E4-43F8-B8B1-1163FEE11D9D}"/>
            </c:ext>
          </c:extLst>
        </c:ser>
        <c:ser>
          <c:idx val="1"/>
          <c:order val="1"/>
          <c:tx>
            <c:v>Fuel Cost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Power_EconomicExample!$J$176:$J$196</c:f>
              <c:numCache>
                <c:formatCode>#,##0</c:formatCode>
                <c:ptCount val="21"/>
                <c:pt idx="0">
                  <c:v>-100</c:v>
                </c:pt>
                <c:pt idx="1">
                  <c:v>-90.000000000000014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-10.000000000000007</c:v>
                </c:pt>
                <c:pt idx="10">
                  <c:v>0</c:v>
                </c:pt>
                <c:pt idx="11">
                  <c:v>35.351473922902485</c:v>
                </c:pt>
                <c:pt idx="12">
                  <c:v>70.702947845804985</c:v>
                </c:pt>
                <c:pt idx="13">
                  <c:v>106.0544217687075</c:v>
                </c:pt>
                <c:pt idx="14">
                  <c:v>141.40589569161</c:v>
                </c:pt>
                <c:pt idx="15">
                  <c:v>176.7573696145125</c:v>
                </c:pt>
                <c:pt idx="16">
                  <c:v>212.108843537415</c:v>
                </c:pt>
                <c:pt idx="17">
                  <c:v>247.46031746031741</c:v>
                </c:pt>
                <c:pt idx="18">
                  <c:v>282.81179138321994</c:v>
                </c:pt>
                <c:pt idx="19">
                  <c:v>318.16326530612241</c:v>
                </c:pt>
                <c:pt idx="20">
                  <c:v>353.51473922902494</c:v>
                </c:pt>
              </c:numCache>
            </c:numRef>
          </c:xVal>
          <c:yVal>
            <c:numRef>
              <c:f>Power_EconomicExample!$N$176:$N$196</c:f>
              <c:numCache>
                <c:formatCode>#,##0</c:formatCode>
                <c:ptCount val="21"/>
                <c:pt idx="0">
                  <c:v>-30.003245788319283</c:v>
                </c:pt>
                <c:pt idx="1">
                  <c:v>-27.002921209487351</c:v>
                </c:pt>
                <c:pt idx="2">
                  <c:v>-24.002596630655447</c:v>
                </c:pt>
                <c:pt idx="3">
                  <c:v>-21.002272051823535</c:v>
                </c:pt>
                <c:pt idx="4">
                  <c:v>-18.001947472991574</c:v>
                </c:pt>
                <c:pt idx="5">
                  <c:v>-15.001622894159642</c:v>
                </c:pt>
                <c:pt idx="6">
                  <c:v>-12.001298315327711</c:v>
                </c:pt>
                <c:pt idx="7">
                  <c:v>-9.0009737364957871</c:v>
                </c:pt>
                <c:pt idx="8">
                  <c:v>-6.0006491576638847</c:v>
                </c:pt>
                <c:pt idx="9">
                  <c:v>-3.0003245788319819</c:v>
                </c:pt>
                <c:pt idx="10">
                  <c:v>0</c:v>
                </c:pt>
                <c:pt idx="11">
                  <c:v>10.606589610882015</c:v>
                </c:pt>
                <c:pt idx="12">
                  <c:v>21.21317922176403</c:v>
                </c:pt>
                <c:pt idx="13">
                  <c:v>31.819768832646062</c:v>
                </c:pt>
                <c:pt idx="14">
                  <c:v>42.42635844352808</c:v>
                </c:pt>
                <c:pt idx="15">
                  <c:v>53.03294805441007</c:v>
                </c:pt>
                <c:pt idx="16">
                  <c:v>63.639537665292146</c:v>
                </c:pt>
                <c:pt idx="17">
                  <c:v>74.24612727617415</c:v>
                </c:pt>
                <c:pt idx="18">
                  <c:v>84.852716887056204</c:v>
                </c:pt>
                <c:pt idx="19">
                  <c:v>95.459306497938229</c:v>
                </c:pt>
                <c:pt idx="20">
                  <c:v>106.06589610882031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E4-43F8-B8B1-1163FEE11D9D}"/>
            </c:ext>
          </c:extLst>
        </c:ser>
        <c:ser>
          <c:idx val="3"/>
          <c:order val="2"/>
          <c:tx>
            <c:v>Debt Ratio</c:v>
          </c:tx>
          <c:spPr>
            <a:ln w="12700">
              <a:solidFill>
                <a:srgbClr val="8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Power_EconomicExample!$Q$176:$Q$196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3.3333333333333335</c:v>
                </c:pt>
                <c:pt idx="12">
                  <c:v>6.666666666666667</c:v>
                </c:pt>
                <c:pt idx="13">
                  <c:v>10</c:v>
                </c:pt>
                <c:pt idx="14">
                  <c:v>13.333333333333334</c:v>
                </c:pt>
                <c:pt idx="15">
                  <c:v>16.666666666666664</c:v>
                </c:pt>
                <c:pt idx="16">
                  <c:v>20</c:v>
                </c:pt>
                <c:pt idx="17">
                  <c:v>23.333333333333332</c:v>
                </c:pt>
                <c:pt idx="18">
                  <c:v>26.666666666666668</c:v>
                </c:pt>
                <c:pt idx="19">
                  <c:v>30</c:v>
                </c:pt>
                <c:pt idx="20">
                  <c:v>33.333333333333329</c:v>
                </c:pt>
              </c:numCache>
            </c:numRef>
          </c:xVal>
          <c:yVal>
            <c:numRef>
              <c:f>Power_EconomicExample!$U$176:$U$196</c:f>
              <c:numCache>
                <c:formatCode>#,##0</c:formatCode>
                <c:ptCount val="21"/>
                <c:pt idx="0">
                  <c:v>51.822442474067962</c:v>
                </c:pt>
                <c:pt idx="1">
                  <c:v>46.640198226661106</c:v>
                </c:pt>
                <c:pt idx="2">
                  <c:v>41.45795397925437</c:v>
                </c:pt>
                <c:pt idx="3">
                  <c:v>36.275709731847556</c:v>
                </c:pt>
                <c:pt idx="4">
                  <c:v>31.093465484440724</c:v>
                </c:pt>
                <c:pt idx="5">
                  <c:v>25.911221237033949</c:v>
                </c:pt>
                <c:pt idx="6">
                  <c:v>20.728976989627157</c:v>
                </c:pt>
                <c:pt idx="7">
                  <c:v>15.546732742220382</c:v>
                </c:pt>
                <c:pt idx="8">
                  <c:v>10.364488494813548</c:v>
                </c:pt>
                <c:pt idx="9">
                  <c:v>5.182244247406774</c:v>
                </c:pt>
                <c:pt idx="10">
                  <c:v>0</c:v>
                </c:pt>
                <c:pt idx="11">
                  <c:v>-1.7274147491356313</c:v>
                </c:pt>
                <c:pt idx="12">
                  <c:v>-3.4548294982712022</c:v>
                </c:pt>
                <c:pt idx="13">
                  <c:v>-5.1822442474068131</c:v>
                </c:pt>
                <c:pt idx="14">
                  <c:v>-6.9096589965424258</c:v>
                </c:pt>
                <c:pt idx="15">
                  <c:v>-8.6370737456779967</c:v>
                </c:pt>
                <c:pt idx="16">
                  <c:v>-10.364488494813617</c:v>
                </c:pt>
                <c:pt idx="17">
                  <c:v>-12.09190324394921</c:v>
                </c:pt>
                <c:pt idx="18">
                  <c:v>-13.819317993084802</c:v>
                </c:pt>
                <c:pt idx="19">
                  <c:v>-15.546732742220401</c:v>
                </c:pt>
                <c:pt idx="20">
                  <c:v>-17.274147491355993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E4-43F8-B8B1-1163FEE11D9D}"/>
            </c:ext>
          </c:extLst>
        </c:ser>
        <c:ser>
          <c:idx val="4"/>
          <c:order val="3"/>
          <c:tx>
            <c:v>Debt Interest Rate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Power_EconomicExample!$X$176:$X$196</c:f>
              <c:numCache>
                <c:formatCode>#,##0</c:formatCode>
                <c:ptCount val="21"/>
                <c:pt idx="0">
                  <c:v>-80</c:v>
                </c:pt>
                <c:pt idx="1">
                  <c:v>-72</c:v>
                </c:pt>
                <c:pt idx="2">
                  <c:v>-64</c:v>
                </c:pt>
                <c:pt idx="3">
                  <c:v>-55.999999999999993</c:v>
                </c:pt>
                <c:pt idx="4">
                  <c:v>-48</c:v>
                </c:pt>
                <c:pt idx="5">
                  <c:v>-40</c:v>
                </c:pt>
                <c:pt idx="6">
                  <c:v>-32</c:v>
                </c:pt>
                <c:pt idx="7">
                  <c:v>-24.000000000000004</c:v>
                </c:pt>
                <c:pt idx="8">
                  <c:v>-15.999999999999998</c:v>
                </c:pt>
                <c:pt idx="9">
                  <c:v>-8.0000000000000071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</c:numCache>
            </c:numRef>
          </c:xVal>
          <c:yVal>
            <c:numRef>
              <c:f>Power_EconomicExample!$AB$176:$AB$196</c:f>
              <c:numCache>
                <c:formatCode>#,##0</c:formatCode>
                <c:ptCount val="21"/>
                <c:pt idx="0">
                  <c:v>-8.4386938363758492</c:v>
                </c:pt>
                <c:pt idx="1">
                  <c:v>-7.6993673216247576</c:v>
                </c:pt>
                <c:pt idx="2">
                  <c:v>-6.9362739148656729</c:v>
                </c:pt>
                <c:pt idx="3">
                  <c:v>-6.149568320578167</c:v>
                </c:pt>
                <c:pt idx="4">
                  <c:v>-5.3394329997412822</c:v>
                </c:pt>
                <c:pt idx="5">
                  <c:v>-4.5060769937766114</c:v>
                </c:pt>
                <c:pt idx="6">
                  <c:v>-3.6497346679277869</c:v>
                </c:pt>
                <c:pt idx="7">
                  <c:v>-2.7706643851693888</c:v>
                </c:pt>
                <c:pt idx="8">
                  <c:v>-1.869147121823421</c:v>
                </c:pt>
                <c:pt idx="9">
                  <c:v>-0.94548503602236011</c:v>
                </c:pt>
                <c:pt idx="10">
                  <c:v>0</c:v>
                </c:pt>
                <c:pt idx="11">
                  <c:v>2.4569153796123508</c:v>
                </c:pt>
                <c:pt idx="12">
                  <c:v>5.0423129759591561</c:v>
                </c:pt>
                <c:pt idx="13">
                  <c:v>7.7499468249456749</c:v>
                </c:pt>
                <c:pt idx="14">
                  <c:v>10.573207619031837</c:v>
                </c:pt>
                <c:pt idx="15">
                  <c:v>13.505257015607627</c:v>
                </c:pt>
                <c:pt idx="16">
                  <c:v>16.539150234954629</c:v>
                </c:pt>
                <c:pt idx="17">
                  <c:v>19.667944682568724</c:v>
                </c:pt>
                <c:pt idx="18">
                  <c:v>22.884793329762061</c:v>
                </c:pt>
                <c:pt idx="19">
                  <c:v>26.1830224573458</c:v>
                </c:pt>
                <c:pt idx="20">
                  <c:v>29.556194080306021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E4-43F8-B8B1-1163FEE11D9D}"/>
            </c:ext>
          </c:extLst>
        </c:ser>
        <c:ser>
          <c:idx val="5"/>
          <c:order val="4"/>
          <c:tx>
            <c:v>Cost of Equity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Power_EconomicExample!$AE$176:$AE$196</c:f>
              <c:numCache>
                <c:formatCode>#,##0</c:formatCode>
                <c:ptCount val="21"/>
                <c:pt idx="0">
                  <c:v>-93.333333333333329</c:v>
                </c:pt>
                <c:pt idx="1">
                  <c:v>-84</c:v>
                </c:pt>
                <c:pt idx="2">
                  <c:v>-74.666666666666657</c:v>
                </c:pt>
                <c:pt idx="3">
                  <c:v>-65.333333333333343</c:v>
                </c:pt>
                <c:pt idx="4">
                  <c:v>-56.000000000000007</c:v>
                </c:pt>
                <c:pt idx="5">
                  <c:v>-46.666666666666664</c:v>
                </c:pt>
                <c:pt idx="6">
                  <c:v>-37.333333333333329</c:v>
                </c:pt>
                <c:pt idx="7">
                  <c:v>-27.999999999999996</c:v>
                </c:pt>
                <c:pt idx="8">
                  <c:v>-18.666666666666671</c:v>
                </c:pt>
                <c:pt idx="9">
                  <c:v>-9.3333333333333357</c:v>
                </c:pt>
                <c:pt idx="10">
                  <c:v>0</c:v>
                </c:pt>
                <c:pt idx="11">
                  <c:v>23.333333333333332</c:v>
                </c:pt>
                <c:pt idx="12">
                  <c:v>46.666666666666664</c:v>
                </c:pt>
                <c:pt idx="13">
                  <c:v>70</c:v>
                </c:pt>
                <c:pt idx="14">
                  <c:v>93.333333333333329</c:v>
                </c:pt>
                <c:pt idx="15">
                  <c:v>116.66666666666667</c:v>
                </c:pt>
                <c:pt idx="16">
                  <c:v>140</c:v>
                </c:pt>
                <c:pt idx="17">
                  <c:v>163.33333333333334</c:v>
                </c:pt>
                <c:pt idx="18">
                  <c:v>186.66666666666666</c:v>
                </c:pt>
                <c:pt idx="19">
                  <c:v>210</c:v>
                </c:pt>
                <c:pt idx="20">
                  <c:v>233.33333333333334</c:v>
                </c:pt>
              </c:numCache>
            </c:numRef>
          </c:xVal>
          <c:yVal>
            <c:numRef>
              <c:f>Power_EconomicExample!$AI$176:$AI$196</c:f>
              <c:numCache>
                <c:formatCode>#,##0</c:formatCode>
                <c:ptCount val="21"/>
                <c:pt idx="0">
                  <c:v>-22.404752664748383</c:v>
                </c:pt>
                <c:pt idx="1">
                  <c:v>-20.738609904570811</c:v>
                </c:pt>
                <c:pt idx="2">
                  <c:v>-18.9329213101168</c:v>
                </c:pt>
                <c:pt idx="3">
                  <c:v>-16.989380609769483</c:v>
                </c:pt>
                <c:pt idx="4">
                  <c:v>-14.911622808486044</c:v>
                </c:pt>
                <c:pt idx="5">
                  <c:v>-12.704957276772197</c:v>
                </c:pt>
                <c:pt idx="6">
                  <c:v>-10.376049841132154</c:v>
                </c:pt>
                <c:pt idx="7">
                  <c:v>-7.9325826079050419</c:v>
                </c:pt>
                <c:pt idx="8">
                  <c:v>-5.3829172911325998</c:v>
                </c:pt>
                <c:pt idx="9">
                  <c:v>-2.735782601005015</c:v>
                </c:pt>
                <c:pt idx="10">
                  <c:v>0</c:v>
                </c:pt>
                <c:pt idx="11">
                  <c:v>7.1710917006391401</c:v>
                </c:pt>
                <c:pt idx="12">
                  <c:v>14.71804635783163</c:v>
                </c:pt>
                <c:pt idx="13">
                  <c:v>22.536960437213434</c:v>
                </c:pt>
                <c:pt idx="14">
                  <c:v>30.546891714527135</c:v>
                </c:pt>
                <c:pt idx="15">
                  <c:v>38.687540416590025</c:v>
                </c:pt>
                <c:pt idx="16">
                  <c:v>46.915278764860915</c:v>
                </c:pt>
                <c:pt idx="17">
                  <c:v>55.199115021745413</c:v>
                </c:pt>
                <c:pt idx="18">
                  <c:v>63.517269868665529</c:v>
                </c:pt>
                <c:pt idx="19">
                  <c:v>71.85452673218154</c:v>
                </c:pt>
                <c:pt idx="20">
                  <c:v>80.200285618883527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8E4-43F8-B8B1-1163FEE11D9D}"/>
            </c:ext>
          </c:extLst>
        </c:ser>
        <c:ser>
          <c:idx val="6"/>
          <c:order val="5"/>
          <c:tx>
            <c:v>Net Efficiency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Power_EconomicExample!$AL$176:$AL$196</c:f>
              <c:numCache>
                <c:formatCode>#,##0</c:formatCode>
                <c:ptCount val="21"/>
                <c:pt idx="0">
                  <c:v>-75</c:v>
                </c:pt>
                <c:pt idx="1">
                  <c:v>-67.5</c:v>
                </c:pt>
                <c:pt idx="2">
                  <c:v>-60</c:v>
                </c:pt>
                <c:pt idx="3">
                  <c:v>-52.5</c:v>
                </c:pt>
                <c:pt idx="4">
                  <c:v>-45</c:v>
                </c:pt>
                <c:pt idx="5">
                  <c:v>-37.5</c:v>
                </c:pt>
                <c:pt idx="6">
                  <c:v>-30</c:v>
                </c:pt>
                <c:pt idx="7">
                  <c:v>-22.5</c:v>
                </c:pt>
                <c:pt idx="8">
                  <c:v>-15</c:v>
                </c:pt>
                <c:pt idx="9">
                  <c:v>-7.5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  <c:pt idx="18">
                  <c:v>120</c:v>
                </c:pt>
                <c:pt idx="19">
                  <c:v>135</c:v>
                </c:pt>
                <c:pt idx="20">
                  <c:v>150</c:v>
                </c:pt>
              </c:numCache>
            </c:numRef>
          </c:xVal>
          <c:yVal>
            <c:numRef>
              <c:f>Power_EconomicExample!$AP$176:$AP$196</c:f>
              <c:numCache>
                <c:formatCode>#,##0</c:formatCode>
                <c:ptCount val="21"/>
                <c:pt idx="0">
                  <c:v>90.009737364957786</c:v>
                </c:pt>
                <c:pt idx="1">
                  <c:v>62.31443356035539</c:v>
                </c:pt>
                <c:pt idx="2">
                  <c:v>45.004868682478879</c:v>
                </c:pt>
                <c:pt idx="3">
                  <c:v>33.161482187089675</c:v>
                </c:pt>
                <c:pt idx="4">
                  <c:v>24.548110190443023</c:v>
                </c:pt>
                <c:pt idx="5">
                  <c:v>18.001947472991557</c:v>
                </c:pt>
                <c:pt idx="6">
                  <c:v>12.858533909279634</c:v>
                </c:pt>
                <c:pt idx="7">
                  <c:v>8.7106197449959168</c:v>
                </c:pt>
                <c:pt idx="8">
                  <c:v>5.2946904332328026</c:v>
                </c:pt>
                <c:pt idx="9">
                  <c:v>2.4326956044582975</c:v>
                </c:pt>
                <c:pt idx="10">
                  <c:v>0</c:v>
                </c:pt>
                <c:pt idx="11">
                  <c:v>-3.9134668419547136</c:v>
                </c:pt>
                <c:pt idx="12">
                  <c:v>-6.9238259511506266</c:v>
                </c:pt>
                <c:pt idx="13">
                  <c:v>-9.3113521412025424</c:v>
                </c:pt>
                <c:pt idx="14">
                  <c:v>-11.251217170619764</c:v>
                </c:pt>
                <c:pt idx="15">
                  <c:v>-12.858533909279693</c:v>
                </c:pt>
                <c:pt idx="16">
                  <c:v>-14.212063794467038</c:v>
                </c:pt>
                <c:pt idx="17">
                  <c:v>-15.36751613548061</c:v>
                </c:pt>
                <c:pt idx="18">
                  <c:v>-16.365406793628694</c:v>
                </c:pt>
                <c:pt idx="19">
                  <c:v>-17.235907154991928</c:v>
                </c:pt>
                <c:pt idx="20">
                  <c:v>-18.001947472991585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8E4-43F8-B8B1-1163FEE11D9D}"/>
            </c:ext>
          </c:extLst>
        </c:ser>
        <c:ser>
          <c:idx val="7"/>
          <c:order val="6"/>
          <c:tx>
            <c:v>Capacity Factor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Power_EconomicExample!$AS$176:$AS$196</c:f>
              <c:numCache>
                <c:formatCode>#,##0</c:formatCode>
                <c:ptCount val="21"/>
                <c:pt idx="0">
                  <c:v>-52.941176470588239</c:v>
                </c:pt>
                <c:pt idx="1">
                  <c:v>-47.647058823529406</c:v>
                </c:pt>
                <c:pt idx="2">
                  <c:v>-42.352941176470587</c:v>
                </c:pt>
                <c:pt idx="3">
                  <c:v>-37.058823529411768</c:v>
                </c:pt>
                <c:pt idx="4">
                  <c:v>-31.764705882352938</c:v>
                </c:pt>
                <c:pt idx="5">
                  <c:v>-26.47058823529412</c:v>
                </c:pt>
                <c:pt idx="6">
                  <c:v>-21.176470588235293</c:v>
                </c:pt>
                <c:pt idx="7">
                  <c:v>-15.882352941176469</c:v>
                </c:pt>
                <c:pt idx="8">
                  <c:v>-10.588235294117647</c:v>
                </c:pt>
                <c:pt idx="9">
                  <c:v>-5.2941176470588234</c:v>
                </c:pt>
                <c:pt idx="10">
                  <c:v>0</c:v>
                </c:pt>
                <c:pt idx="11">
                  <c:v>1.7647058823529411</c:v>
                </c:pt>
                <c:pt idx="12">
                  <c:v>3.5294117647058822</c:v>
                </c:pt>
                <c:pt idx="13">
                  <c:v>5.2941176470588234</c:v>
                </c:pt>
                <c:pt idx="14">
                  <c:v>7.0588235294117645</c:v>
                </c:pt>
                <c:pt idx="15">
                  <c:v>8.8235294117647065</c:v>
                </c:pt>
                <c:pt idx="16">
                  <c:v>10.588235294117647</c:v>
                </c:pt>
                <c:pt idx="17">
                  <c:v>12.352941176470589</c:v>
                </c:pt>
                <c:pt idx="18">
                  <c:v>14.117647058823529</c:v>
                </c:pt>
                <c:pt idx="19">
                  <c:v>15.882352941176469</c:v>
                </c:pt>
                <c:pt idx="20">
                  <c:v>17.647058823529413</c:v>
                </c:pt>
              </c:numCache>
            </c:numRef>
          </c:xVal>
          <c:yVal>
            <c:numRef>
              <c:f>Power_EconomicExample!$AW$176:$AW$196</c:f>
              <c:numCache>
                <c:formatCode>#,##0</c:formatCode>
                <c:ptCount val="21"/>
                <c:pt idx="0">
                  <c:v>83.504135496457081</c:v>
                </c:pt>
                <c:pt idx="1">
                  <c:v>67.55390736792036</c:v>
                </c:pt>
                <c:pt idx="2">
                  <c:v>54.533312977278179</c:v>
                </c:pt>
                <c:pt idx="3">
                  <c:v>43.70309895141682</c:v>
                </c:pt>
                <c:pt idx="4">
                  <c:v>34.553435377844281</c:v>
                </c:pt>
                <c:pt idx="5">
                  <c:v>26.721323358866233</c:v>
                </c:pt>
                <c:pt idx="6">
                  <c:v>19.941286088706189</c:v>
                </c:pt>
                <c:pt idx="7">
                  <c:v>14.014680083321441</c:v>
                </c:pt>
                <c:pt idx="8">
                  <c:v>8.7899089996270252</c:v>
                </c:pt>
                <c:pt idx="9">
                  <c:v>4.149273813488529</c:v>
                </c:pt>
                <c:pt idx="10">
                  <c:v>0</c:v>
                </c:pt>
                <c:pt idx="11">
                  <c:v>-1.2871543043769986</c:v>
                </c:pt>
                <c:pt idx="12">
                  <c:v>-2.5304283483775309</c:v>
                </c:pt>
                <c:pt idx="13">
                  <c:v>-3.7320284020763492</c:v>
                </c:pt>
                <c:pt idx="14">
                  <c:v>-4.8940152671916239</c:v>
                </c:pt>
                <c:pt idx="15">
                  <c:v>-6.0183160718167459</c:v>
                </c:pt>
                <c:pt idx="16">
                  <c:v>-7.1067349358687224</c:v>
                </c:pt>
                <c:pt idx="17">
                  <c:v>-8.1609626314164068</c:v>
                </c:pt>
                <c:pt idx="18">
                  <c:v>-9.1825853466894749</c:v>
                </c:pt>
                <c:pt idx="19">
                  <c:v>-10.173092649314574</c:v>
                </c:pt>
                <c:pt idx="20">
                  <c:v>-11.133884732860967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8E4-43F8-B8B1-1163FEE11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338424"/>
        <c:axId val="1"/>
      </c:scatterChart>
      <c:valAx>
        <c:axId val="34833842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(%)</a:t>
                </a:r>
              </a:p>
            </c:rich>
          </c:tx>
          <c:layout>
            <c:manualLayout>
              <c:xMode val="edge"/>
              <c:yMode val="edge"/>
              <c:x val="0.42286348501664817"/>
              <c:y val="0.8646003262642740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At val="-10000000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in COE (%)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137030995106035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48338424"/>
        <c:crossesAt val="-100000000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14761376248612654"/>
          <c:y val="0.92659053833605221"/>
          <c:w val="0.91120976692563826"/>
          <c:h val="0.9967373572593800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>
    <tabColor indexed="12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>
    <tabColor indexed="13"/>
  </sheetPr>
  <sheetViews>
    <sheetView workbookViewId="0"/>
  </sheetViews>
  <pageMargins left="0.75" right="0.75" top="1" bottom="1" header="0.5" footer="0.5"/>
  <headerFooter alignWithMargins="0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10</xdr:row>
      <xdr:rowOff>123825</xdr:rowOff>
    </xdr:from>
    <xdr:to>
      <xdr:col>2</xdr:col>
      <xdr:colOff>552450</xdr:colOff>
      <xdr:row>10</xdr:row>
      <xdr:rowOff>247650</xdr:rowOff>
    </xdr:to>
    <xdr:sp macro="" textlink="">
      <xdr:nvSpPr>
        <xdr:cNvPr id="1510" name="AutoShape 1">
          <a:extLst>
            <a:ext uri="{FF2B5EF4-FFF2-40B4-BE49-F238E27FC236}">
              <a16:creationId xmlns:a16="http://schemas.microsoft.com/office/drawing/2014/main" id="{286B6971-938F-4E6C-8896-E1A8F3F0765D}"/>
            </a:ext>
          </a:extLst>
        </xdr:cNvPr>
        <xdr:cNvSpPr>
          <a:spLocks noChangeArrowheads="1"/>
        </xdr:cNvSpPr>
      </xdr:nvSpPr>
      <xdr:spPr bwMode="auto">
        <a:xfrm>
          <a:off x="4133850" y="2085975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190500</xdr:colOff>
      <xdr:row>14</xdr:row>
      <xdr:rowOff>123825</xdr:rowOff>
    </xdr:from>
    <xdr:to>
      <xdr:col>2</xdr:col>
      <xdr:colOff>552450</xdr:colOff>
      <xdr:row>14</xdr:row>
      <xdr:rowOff>247650</xdr:rowOff>
    </xdr:to>
    <xdr:sp macro="" textlink="">
      <xdr:nvSpPr>
        <xdr:cNvPr id="1511" name="AutoShape 2">
          <a:extLst>
            <a:ext uri="{FF2B5EF4-FFF2-40B4-BE49-F238E27FC236}">
              <a16:creationId xmlns:a16="http://schemas.microsoft.com/office/drawing/2014/main" id="{23417F45-357C-4425-B05D-23C8C68ADA2C}"/>
            </a:ext>
          </a:extLst>
        </xdr:cNvPr>
        <xdr:cNvSpPr>
          <a:spLocks noChangeArrowheads="1"/>
        </xdr:cNvSpPr>
      </xdr:nvSpPr>
      <xdr:spPr bwMode="auto">
        <a:xfrm>
          <a:off x="4133850" y="3019425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190500</xdr:colOff>
      <xdr:row>12</xdr:row>
      <xdr:rowOff>114300</xdr:rowOff>
    </xdr:from>
    <xdr:to>
      <xdr:col>2</xdr:col>
      <xdr:colOff>552450</xdr:colOff>
      <xdr:row>12</xdr:row>
      <xdr:rowOff>238125</xdr:rowOff>
    </xdr:to>
    <xdr:sp macro="" textlink="">
      <xdr:nvSpPr>
        <xdr:cNvPr id="1512" name="AutoShape 5">
          <a:extLst>
            <a:ext uri="{FF2B5EF4-FFF2-40B4-BE49-F238E27FC236}">
              <a16:creationId xmlns:a16="http://schemas.microsoft.com/office/drawing/2014/main" id="{AA78C051-4293-4D32-979F-7BADE3116BC9}"/>
            </a:ext>
          </a:extLst>
        </xdr:cNvPr>
        <xdr:cNvSpPr>
          <a:spLocks noChangeArrowheads="1"/>
        </xdr:cNvSpPr>
      </xdr:nvSpPr>
      <xdr:spPr bwMode="auto">
        <a:xfrm>
          <a:off x="4133850" y="2543175"/>
          <a:ext cx="361950" cy="123825"/>
        </a:xfrm>
        <a:prstGeom prst="lef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752475</xdr:colOff>
      <xdr:row>7</xdr:row>
      <xdr:rowOff>152400</xdr:rowOff>
    </xdr:from>
    <xdr:to>
      <xdr:col>0</xdr:col>
      <xdr:colOff>2571750</xdr:colOff>
      <xdr:row>18</xdr:row>
      <xdr:rowOff>0</xdr:rowOff>
    </xdr:to>
    <xdr:sp macro="" textlink="">
      <xdr:nvSpPr>
        <xdr:cNvPr id="1513" name="AutoShape 6">
          <a:extLst>
            <a:ext uri="{FF2B5EF4-FFF2-40B4-BE49-F238E27FC236}">
              <a16:creationId xmlns:a16="http://schemas.microsoft.com/office/drawing/2014/main" id="{B55B6D2D-7636-418A-8768-E3C2005FE8F8}"/>
            </a:ext>
          </a:extLst>
        </xdr:cNvPr>
        <xdr:cNvSpPr>
          <a:spLocks noChangeArrowheads="1"/>
        </xdr:cNvSpPr>
      </xdr:nvSpPr>
      <xdr:spPr bwMode="auto">
        <a:xfrm>
          <a:off x="752475" y="1428750"/>
          <a:ext cx="1819275" cy="2238375"/>
        </a:xfrm>
        <a:prstGeom prst="downArrow">
          <a:avLst>
            <a:gd name="adj1" fmla="val 38222"/>
            <a:gd name="adj2" fmla="val 63130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sp>
    <xdr:clientData/>
  </xdr:twoCellAnchor>
  <xdr:twoCellAnchor>
    <xdr:from>
      <xdr:col>2</xdr:col>
      <xdr:colOff>76200</xdr:colOff>
      <xdr:row>174</xdr:row>
      <xdr:rowOff>76200</xdr:rowOff>
    </xdr:from>
    <xdr:to>
      <xdr:col>3</xdr:col>
      <xdr:colOff>714375</xdr:colOff>
      <xdr:row>174</xdr:row>
      <xdr:rowOff>200025</xdr:rowOff>
    </xdr:to>
    <xdr:sp macro="" textlink="">
      <xdr:nvSpPr>
        <xdr:cNvPr id="1514" name="AutoShape 15">
          <a:extLst>
            <a:ext uri="{FF2B5EF4-FFF2-40B4-BE49-F238E27FC236}">
              <a16:creationId xmlns:a16="http://schemas.microsoft.com/office/drawing/2014/main" id="{D0557CC9-46C6-4FC1-8171-360A8D917651}"/>
            </a:ext>
          </a:extLst>
        </xdr:cNvPr>
        <xdr:cNvSpPr>
          <a:spLocks noChangeArrowheads="1"/>
        </xdr:cNvSpPr>
      </xdr:nvSpPr>
      <xdr:spPr bwMode="auto">
        <a:xfrm>
          <a:off x="4019550" y="28365450"/>
          <a:ext cx="1390650" cy="123825"/>
        </a:xfrm>
        <a:prstGeom prst="rightArrow">
          <a:avLst>
            <a:gd name="adj1" fmla="val 50000"/>
            <a:gd name="adj2" fmla="val 280769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76200</xdr:colOff>
      <xdr:row>174</xdr:row>
      <xdr:rowOff>76200</xdr:rowOff>
    </xdr:from>
    <xdr:to>
      <xdr:col>10</xdr:col>
      <xdr:colOff>714375</xdr:colOff>
      <xdr:row>174</xdr:row>
      <xdr:rowOff>200025</xdr:rowOff>
    </xdr:to>
    <xdr:sp macro="" textlink="">
      <xdr:nvSpPr>
        <xdr:cNvPr id="1515" name="AutoShape 16">
          <a:extLst>
            <a:ext uri="{FF2B5EF4-FFF2-40B4-BE49-F238E27FC236}">
              <a16:creationId xmlns:a16="http://schemas.microsoft.com/office/drawing/2014/main" id="{8F7E4A16-AA24-4D59-8FC4-1DA5B41AC2CB}"/>
            </a:ext>
          </a:extLst>
        </xdr:cNvPr>
        <xdr:cNvSpPr>
          <a:spLocks noChangeArrowheads="1"/>
        </xdr:cNvSpPr>
      </xdr:nvSpPr>
      <xdr:spPr bwMode="auto">
        <a:xfrm>
          <a:off x="9277350" y="28365450"/>
          <a:ext cx="1200150" cy="123825"/>
        </a:xfrm>
        <a:prstGeom prst="rightArrow">
          <a:avLst>
            <a:gd name="adj1" fmla="val 50000"/>
            <a:gd name="adj2" fmla="val 24230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76200</xdr:colOff>
      <xdr:row>174</xdr:row>
      <xdr:rowOff>76200</xdr:rowOff>
    </xdr:from>
    <xdr:to>
      <xdr:col>17</xdr:col>
      <xdr:colOff>714375</xdr:colOff>
      <xdr:row>174</xdr:row>
      <xdr:rowOff>200025</xdr:rowOff>
    </xdr:to>
    <xdr:sp macro="" textlink="">
      <xdr:nvSpPr>
        <xdr:cNvPr id="1516" name="AutoShape 18">
          <a:extLst>
            <a:ext uri="{FF2B5EF4-FFF2-40B4-BE49-F238E27FC236}">
              <a16:creationId xmlns:a16="http://schemas.microsoft.com/office/drawing/2014/main" id="{4F182EEE-188F-41DB-8D4C-9395EA1839D4}"/>
            </a:ext>
          </a:extLst>
        </xdr:cNvPr>
        <xdr:cNvSpPr>
          <a:spLocks noChangeArrowheads="1"/>
        </xdr:cNvSpPr>
      </xdr:nvSpPr>
      <xdr:spPr bwMode="auto">
        <a:xfrm>
          <a:off x="13906500" y="2836545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76200</xdr:colOff>
      <xdr:row>174</xdr:row>
      <xdr:rowOff>76200</xdr:rowOff>
    </xdr:from>
    <xdr:to>
      <xdr:col>38</xdr:col>
      <xdr:colOff>714375</xdr:colOff>
      <xdr:row>174</xdr:row>
      <xdr:rowOff>200025</xdr:rowOff>
    </xdr:to>
    <xdr:sp macro="" textlink="">
      <xdr:nvSpPr>
        <xdr:cNvPr id="1517" name="AutoShape 19">
          <a:extLst>
            <a:ext uri="{FF2B5EF4-FFF2-40B4-BE49-F238E27FC236}">
              <a16:creationId xmlns:a16="http://schemas.microsoft.com/office/drawing/2014/main" id="{A06D0427-01A4-4B90-A449-4032E88845A9}"/>
            </a:ext>
          </a:extLst>
        </xdr:cNvPr>
        <xdr:cNvSpPr>
          <a:spLocks noChangeArrowheads="1"/>
        </xdr:cNvSpPr>
      </xdr:nvSpPr>
      <xdr:spPr bwMode="auto">
        <a:xfrm>
          <a:off x="29060775" y="2836545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76200</xdr:colOff>
      <xdr:row>174</xdr:row>
      <xdr:rowOff>76200</xdr:rowOff>
    </xdr:from>
    <xdr:to>
      <xdr:col>24</xdr:col>
      <xdr:colOff>714375</xdr:colOff>
      <xdr:row>174</xdr:row>
      <xdr:rowOff>200025</xdr:rowOff>
    </xdr:to>
    <xdr:sp macro="" textlink="">
      <xdr:nvSpPr>
        <xdr:cNvPr id="1518" name="AutoShape 20">
          <a:extLst>
            <a:ext uri="{FF2B5EF4-FFF2-40B4-BE49-F238E27FC236}">
              <a16:creationId xmlns:a16="http://schemas.microsoft.com/office/drawing/2014/main" id="{694E5461-04D8-48A7-A4A5-B1E9DBCD7963}"/>
            </a:ext>
          </a:extLst>
        </xdr:cNvPr>
        <xdr:cNvSpPr>
          <a:spLocks noChangeArrowheads="1"/>
        </xdr:cNvSpPr>
      </xdr:nvSpPr>
      <xdr:spPr bwMode="auto">
        <a:xfrm>
          <a:off x="18754725" y="28365450"/>
          <a:ext cx="1323975" cy="123825"/>
        </a:xfrm>
        <a:prstGeom prst="rightArrow">
          <a:avLst>
            <a:gd name="adj1" fmla="val 50000"/>
            <a:gd name="adj2" fmla="val 26730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30</xdr:col>
      <xdr:colOff>76200</xdr:colOff>
      <xdr:row>174</xdr:row>
      <xdr:rowOff>76200</xdr:rowOff>
    </xdr:from>
    <xdr:to>
      <xdr:col>31</xdr:col>
      <xdr:colOff>714375</xdr:colOff>
      <xdr:row>174</xdr:row>
      <xdr:rowOff>200025</xdr:rowOff>
    </xdr:to>
    <xdr:sp macro="" textlink="">
      <xdr:nvSpPr>
        <xdr:cNvPr id="1519" name="AutoShape 21">
          <a:extLst>
            <a:ext uri="{FF2B5EF4-FFF2-40B4-BE49-F238E27FC236}">
              <a16:creationId xmlns:a16="http://schemas.microsoft.com/office/drawing/2014/main" id="{47EA85C9-BC5F-4CC4-B231-23143E88E766}"/>
            </a:ext>
          </a:extLst>
        </xdr:cNvPr>
        <xdr:cNvSpPr>
          <a:spLocks noChangeArrowheads="1"/>
        </xdr:cNvSpPr>
      </xdr:nvSpPr>
      <xdr:spPr bwMode="auto">
        <a:xfrm>
          <a:off x="24260175" y="2836545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44</xdr:col>
      <xdr:colOff>76200</xdr:colOff>
      <xdr:row>174</xdr:row>
      <xdr:rowOff>76200</xdr:rowOff>
    </xdr:from>
    <xdr:to>
      <xdr:col>45</xdr:col>
      <xdr:colOff>714375</xdr:colOff>
      <xdr:row>174</xdr:row>
      <xdr:rowOff>200025</xdr:rowOff>
    </xdr:to>
    <xdr:sp macro="" textlink="">
      <xdr:nvSpPr>
        <xdr:cNvPr id="1520" name="AutoShape 22">
          <a:extLst>
            <a:ext uri="{FF2B5EF4-FFF2-40B4-BE49-F238E27FC236}">
              <a16:creationId xmlns:a16="http://schemas.microsoft.com/office/drawing/2014/main" id="{47B0296F-5A2F-47B3-98BB-B4DDB5A5F412}"/>
            </a:ext>
          </a:extLst>
        </xdr:cNvPr>
        <xdr:cNvSpPr>
          <a:spLocks noChangeArrowheads="1"/>
        </xdr:cNvSpPr>
      </xdr:nvSpPr>
      <xdr:spPr bwMode="auto">
        <a:xfrm>
          <a:off x="33861375" y="2836545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842DF-2F3C-4C4B-91E1-924250D7DA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61284C-9401-455D-B9B1-3DDF2BAA18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7"/>
  </sheetPr>
  <dimension ref="A1:BE215"/>
  <sheetViews>
    <sheetView tabSelected="1" topLeftCell="A131" workbookViewId="0">
      <selection activeCell="B151" sqref="B151"/>
    </sheetView>
  </sheetViews>
  <sheetFormatPr defaultColWidth="12" defaultRowHeight="12"/>
  <cols>
    <col min="1" max="1" width="54.83203125" style="2" customWidth="1"/>
    <col min="2" max="2" width="14.1640625" style="2" customWidth="1"/>
    <col min="3" max="3" width="13.1640625" style="2" customWidth="1"/>
    <col min="4" max="4" width="13.83203125" style="2" customWidth="1"/>
    <col min="5" max="5" width="13.33203125" style="2" customWidth="1"/>
    <col min="6" max="6" width="14.33203125" style="2" customWidth="1"/>
    <col min="7" max="7" width="12.6640625" style="2" customWidth="1"/>
    <col min="8" max="8" width="13.33203125" style="2" customWidth="1"/>
    <col min="9" max="9" width="11.33203125" style="2" customWidth="1"/>
    <col min="10" max="11" width="11.1640625" style="2" customWidth="1"/>
    <col min="12" max="12" width="12" style="2" customWidth="1"/>
    <col min="13" max="13" width="11.1640625" style="2" customWidth="1"/>
    <col min="14" max="15" width="12" style="2" customWidth="1"/>
    <col min="16" max="17" width="11.5" style="2" bestFit="1" customWidth="1"/>
    <col min="18" max="18" width="13.33203125" style="2" customWidth="1"/>
    <col min="19" max="19" width="11.83203125" style="2" customWidth="1"/>
    <col min="20" max="20" width="12" style="2" customWidth="1"/>
    <col min="21" max="21" width="11.5" style="2" bestFit="1" customWidth="1"/>
    <col min="22" max="22" width="12.6640625" style="2" bestFit="1" customWidth="1"/>
    <col min="23" max="24" width="12" style="2" customWidth="1"/>
    <col min="25" max="25" width="24.33203125" style="2" customWidth="1"/>
    <col min="26" max="16384" width="12" style="2"/>
  </cols>
  <sheetData>
    <row r="1" spans="1:13" ht="20.25">
      <c r="A1" s="1" t="s">
        <v>48</v>
      </c>
    </row>
    <row r="2" spans="1:13" ht="20.25">
      <c r="A2" s="1" t="s">
        <v>140</v>
      </c>
      <c r="M2"/>
    </row>
    <row r="4" spans="1:13">
      <c r="A4" s="2" t="s">
        <v>127</v>
      </c>
    </row>
    <row r="5" spans="1:13">
      <c r="A5" s="2" t="s">
        <v>77</v>
      </c>
      <c r="B5" s="21" t="s">
        <v>75</v>
      </c>
    </row>
    <row r="6" spans="1:13">
      <c r="A6" s="2" t="s">
        <v>78</v>
      </c>
      <c r="B6" s="88" t="s">
        <v>76</v>
      </c>
    </row>
    <row r="7" spans="1:13">
      <c r="A7" s="2" t="s">
        <v>118</v>
      </c>
    </row>
    <row r="8" spans="1:13" ht="12.75" thickBot="1"/>
    <row r="9" spans="1:13" ht="28.5" customHeight="1">
      <c r="B9" s="70" t="s">
        <v>96</v>
      </c>
      <c r="C9" s="64"/>
      <c r="D9" s="65"/>
      <c r="F9" s="81"/>
      <c r="G9" s="16"/>
      <c r="H9" s="16"/>
      <c r="I9" s="16"/>
    </row>
    <row r="10" spans="1:13" ht="12.75" thickBot="1">
      <c r="B10" s="66" t="s">
        <v>143</v>
      </c>
      <c r="C10" s="67"/>
      <c r="D10" s="68" t="s">
        <v>126</v>
      </c>
      <c r="F10" s="82"/>
      <c r="G10" s="16"/>
      <c r="H10" s="16"/>
      <c r="I10" s="16"/>
    </row>
    <row r="11" spans="1:13" ht="24">
      <c r="B11" s="31" t="s">
        <v>92</v>
      </c>
      <c r="C11" s="32"/>
      <c r="D11" s="33" t="s">
        <v>93</v>
      </c>
      <c r="F11" s="16"/>
      <c r="G11" s="83"/>
      <c r="H11" s="83"/>
      <c r="I11" s="83"/>
    </row>
    <row r="12" spans="1:13" ht="12.75" thickBot="1">
      <c r="B12" s="34">
        <v>8000</v>
      </c>
      <c r="C12" s="35" t="s">
        <v>94</v>
      </c>
      <c r="D12" s="36">
        <f>B12*1.055056/0.4535924</f>
        <v>18608.001368629633</v>
      </c>
      <c r="F12" s="84"/>
      <c r="G12" s="85"/>
      <c r="H12" s="86"/>
      <c r="I12" s="87"/>
    </row>
    <row r="13" spans="1:13" ht="24">
      <c r="B13" s="31" t="s">
        <v>125</v>
      </c>
      <c r="C13" s="32"/>
      <c r="D13" s="33" t="s">
        <v>124</v>
      </c>
      <c r="F13" s="84"/>
      <c r="G13" s="85"/>
      <c r="H13" s="86"/>
      <c r="I13" s="87"/>
    </row>
    <row r="14" spans="1:13" ht="12.75" thickBot="1">
      <c r="B14" s="37">
        <f>D14/0.907</f>
        <v>26.460859977949283</v>
      </c>
      <c r="C14" s="35" t="s">
        <v>94</v>
      </c>
      <c r="D14" s="38">
        <v>24</v>
      </c>
      <c r="F14" s="84"/>
      <c r="G14" s="85"/>
      <c r="H14" s="86"/>
      <c r="I14" s="87"/>
    </row>
    <row r="15" spans="1:13" ht="24">
      <c r="B15" s="31" t="s">
        <v>97</v>
      </c>
      <c r="C15" s="32"/>
      <c r="D15" s="33" t="s">
        <v>98</v>
      </c>
      <c r="F15" s="84"/>
      <c r="G15" s="85"/>
      <c r="H15" s="86"/>
      <c r="I15" s="87"/>
    </row>
    <row r="16" spans="1:13" ht="12.75" thickBot="1">
      <c r="B16" s="69">
        <v>20</v>
      </c>
      <c r="C16" s="35" t="s">
        <v>94</v>
      </c>
      <c r="D16" s="39">
        <f>B16/0.907</f>
        <v>22.050716648291068</v>
      </c>
      <c r="F16" s="84"/>
      <c r="G16" s="85"/>
      <c r="H16" s="86"/>
      <c r="I16" s="87"/>
    </row>
    <row r="17" spans="1:9">
      <c r="F17" s="84"/>
      <c r="G17" s="85"/>
      <c r="H17" s="86"/>
      <c r="I17" s="87"/>
    </row>
    <row r="18" spans="1:9">
      <c r="F18" s="84"/>
      <c r="G18" s="85"/>
      <c r="H18" s="86"/>
      <c r="I18" s="87"/>
    </row>
    <row r="20" spans="1:9">
      <c r="A20" s="18" t="s">
        <v>163</v>
      </c>
      <c r="B20" s="3"/>
      <c r="D20" s="2" t="s">
        <v>145</v>
      </c>
    </row>
    <row r="21" spans="1:9">
      <c r="A21" s="10" t="s">
        <v>151</v>
      </c>
      <c r="B21" s="12">
        <v>70000000</v>
      </c>
    </row>
    <row r="22" spans="1:9">
      <c r="A22" s="16"/>
      <c r="B22" s="17"/>
    </row>
    <row r="23" spans="1:9">
      <c r="A23" s="115" t="s">
        <v>184</v>
      </c>
    </row>
    <row r="24" spans="1:9">
      <c r="A24" s="10" t="s">
        <v>197</v>
      </c>
      <c r="B24" s="11">
        <v>25000</v>
      </c>
      <c r="D24" s="2" t="s">
        <v>88</v>
      </c>
    </row>
    <row r="25" spans="1:9">
      <c r="A25" s="10" t="s">
        <v>49</v>
      </c>
      <c r="B25" s="11">
        <v>85</v>
      </c>
      <c r="D25" s="2" t="s">
        <v>89</v>
      </c>
    </row>
    <row r="26" spans="1:9">
      <c r="A26" s="40" t="s">
        <v>26</v>
      </c>
      <c r="B26" s="24">
        <f>CapacityFactor/100*8760</f>
        <v>7446</v>
      </c>
      <c r="C26" s="2" t="s">
        <v>193</v>
      </c>
    </row>
    <row r="27" spans="1:9">
      <c r="A27" s="10" t="s">
        <v>90</v>
      </c>
      <c r="B27" s="11">
        <v>20</v>
      </c>
      <c r="D27" s="2" t="s">
        <v>91</v>
      </c>
    </row>
    <row r="28" spans="1:9">
      <c r="A28" s="10" t="s">
        <v>0</v>
      </c>
      <c r="B28" s="11">
        <v>18608</v>
      </c>
      <c r="D28" s="2" t="s">
        <v>95</v>
      </c>
    </row>
    <row r="29" spans="1:9">
      <c r="A29" s="40" t="s">
        <v>1</v>
      </c>
      <c r="B29" s="24">
        <f>NetPlantCapacity/(NetStationEfficiency/100)*3600/FuelHeatingValue/1000</f>
        <v>24.183147033533967</v>
      </c>
      <c r="D29" s="2" t="s">
        <v>123</v>
      </c>
    </row>
    <row r="30" spans="1:9">
      <c r="A30" s="10" t="s">
        <v>120</v>
      </c>
      <c r="B30" s="12">
        <v>5</v>
      </c>
      <c r="D30" s="2" t="s">
        <v>121</v>
      </c>
    </row>
    <row r="31" spans="1:9">
      <c r="A31" s="40" t="s">
        <v>147</v>
      </c>
      <c r="B31" s="24">
        <f>NetPlantCapacity*8760*CapacityFactor/100</f>
        <v>186150000</v>
      </c>
    </row>
    <row r="32" spans="1:9">
      <c r="A32" s="40" t="s">
        <v>152</v>
      </c>
      <c r="B32" s="80">
        <f>CapitalCost/NetPlantCapacity</f>
        <v>2800</v>
      </c>
      <c r="D32" s="2" t="s">
        <v>87</v>
      </c>
    </row>
    <row r="33" spans="1:5">
      <c r="A33" s="40" t="s">
        <v>119</v>
      </c>
      <c r="B33" s="24">
        <f>FuelConsumptionRate*AnnualHours</f>
        <v>180067.71281169393</v>
      </c>
      <c r="D33" s="2" t="s">
        <v>160</v>
      </c>
    </row>
    <row r="34" spans="1:5">
      <c r="A34" s="40" t="s">
        <v>122</v>
      </c>
      <c r="B34" s="24">
        <f>AnnualFuelConsumption*FuelAshConcentration/100</f>
        <v>9003.3856405846964</v>
      </c>
    </row>
    <row r="35" spans="1:5">
      <c r="A35" s="16"/>
      <c r="B35" s="17"/>
    </row>
    <row r="36" spans="1:5" ht="24">
      <c r="A36" s="18" t="s">
        <v>185</v>
      </c>
      <c r="B36" s="9"/>
      <c r="C36" s="77" t="s">
        <v>148</v>
      </c>
    </row>
    <row r="37" spans="1:5">
      <c r="A37" s="10" t="s">
        <v>2</v>
      </c>
      <c r="B37" s="79">
        <v>22.05</v>
      </c>
      <c r="C37" s="43">
        <f>AnnualFuelConsumption*FuelCost/AnnualGeneration</f>
        <v>2.1329535683576963E-2</v>
      </c>
      <c r="D37" s="2" t="s">
        <v>99</v>
      </c>
      <c r="E37" s="7"/>
    </row>
    <row r="38" spans="1:5">
      <c r="A38" s="10" t="s">
        <v>149</v>
      </c>
      <c r="B38" s="78">
        <v>2000000</v>
      </c>
      <c r="C38" s="43">
        <f>LaborCost/AnnualGeneration</f>
        <v>1.0744023636852002E-2</v>
      </c>
      <c r="D38" s="2" t="s">
        <v>153</v>
      </c>
      <c r="E38" s="7"/>
    </row>
    <row r="39" spans="1:5">
      <c r="A39" s="10" t="s">
        <v>150</v>
      </c>
      <c r="B39" s="78">
        <v>1500000</v>
      </c>
      <c r="C39" s="43">
        <f>MaintenanceCost/AnnualGeneration</f>
        <v>8.0580177276390001E-3</v>
      </c>
      <c r="D39" s="2" t="s">
        <v>154</v>
      </c>
      <c r="E39" s="7"/>
    </row>
    <row r="40" spans="1:5">
      <c r="A40" s="10" t="s">
        <v>186</v>
      </c>
      <c r="B40" s="78">
        <v>1400000</v>
      </c>
      <c r="C40" s="43">
        <f>InsurancePropertyTax/AnnualGeneration</f>
        <v>7.5208165457964007E-3</v>
      </c>
      <c r="D40" s="2" t="s">
        <v>155</v>
      </c>
      <c r="E40" s="7"/>
    </row>
    <row r="41" spans="1:5">
      <c r="A41" s="10" t="s">
        <v>187</v>
      </c>
      <c r="B41" s="78">
        <v>200000</v>
      </c>
      <c r="C41" s="43">
        <f>Utilities/AnnualGeneration</f>
        <v>1.0744023636852001E-3</v>
      </c>
      <c r="D41" s="2" t="s">
        <v>156</v>
      </c>
      <c r="E41" s="7"/>
    </row>
    <row r="42" spans="1:5">
      <c r="A42" s="10" t="s">
        <v>188</v>
      </c>
      <c r="B42" s="78">
        <v>100000</v>
      </c>
      <c r="C42" s="43">
        <f>AshDisposal/AnnualGeneration</f>
        <v>5.3720118184260007E-4</v>
      </c>
      <c r="D42" s="2" t="s">
        <v>157</v>
      </c>
      <c r="E42" s="7"/>
    </row>
    <row r="43" spans="1:5">
      <c r="A43" s="10" t="s">
        <v>189</v>
      </c>
      <c r="B43" s="78">
        <v>200000</v>
      </c>
      <c r="C43" s="43">
        <f>Management/AnnualGeneration</f>
        <v>1.0744023636852001E-3</v>
      </c>
      <c r="D43" s="2" t="s">
        <v>158</v>
      </c>
      <c r="E43" s="7"/>
    </row>
    <row r="44" spans="1:5">
      <c r="A44" s="10" t="s">
        <v>190</v>
      </c>
      <c r="B44" s="78">
        <v>400000</v>
      </c>
      <c r="C44" s="43">
        <f>OtherOperatingExpenses/AnnualGeneration</f>
        <v>2.1488047273704003E-3</v>
      </c>
      <c r="D44" s="2" t="s">
        <v>159</v>
      </c>
      <c r="E44" s="7"/>
    </row>
    <row r="45" spans="1:5">
      <c r="A45" s="40" t="s">
        <v>191</v>
      </c>
      <c r="B45" s="24">
        <f>LaborCost+MaintenanceCost+InsurancePropertyTax+Utilities+AshDisposal+Management+OtherOperatingExpenses</f>
        <v>5800000</v>
      </c>
      <c r="C45" s="43">
        <f>LaborCostKwh+MaintenanceCostKwh+InsurancePropertyTaxKwh+UtilitiesKwh+AshDisposalKwh+ManagementKwh+OtherOperatingExpensesKwh</f>
        <v>3.1157668546870802E-2</v>
      </c>
      <c r="E45" s="7"/>
    </row>
    <row r="46" spans="1:5">
      <c r="A46" s="40" t="s">
        <v>192</v>
      </c>
      <c r="B46" s="24">
        <f>FuelCost*AnnualFuelConsumption+TotalNonFuelExpenses</f>
        <v>9770493.0674978513</v>
      </c>
      <c r="C46" s="43">
        <f>FuelCostKwh+TotalNonFuelExpensesKwh</f>
        <v>5.2487204230447768E-2</v>
      </c>
      <c r="E46" s="7"/>
    </row>
    <row r="47" spans="1:5">
      <c r="B47" s="4"/>
    </row>
    <row r="48" spans="1:5">
      <c r="A48" s="18" t="s">
        <v>41</v>
      </c>
      <c r="B48" s="3"/>
    </row>
    <row r="49" spans="1:4">
      <c r="A49" s="10" t="s">
        <v>3</v>
      </c>
      <c r="B49" s="13">
        <v>34</v>
      </c>
      <c r="D49" s="2" t="s">
        <v>100</v>
      </c>
    </row>
    <row r="50" spans="1:4">
      <c r="A50" s="10" t="s">
        <v>4</v>
      </c>
      <c r="B50" s="13">
        <v>9.6</v>
      </c>
      <c r="D50" s="2" t="s">
        <v>101</v>
      </c>
    </row>
    <row r="51" spans="1:4">
      <c r="A51" s="10" t="s">
        <v>128</v>
      </c>
      <c r="B51" s="28">
        <v>8.9999999999999993E-3</v>
      </c>
      <c r="D51" s="2" t="s">
        <v>141</v>
      </c>
    </row>
    <row r="52" spans="1:4">
      <c r="A52" s="40" t="s">
        <v>5</v>
      </c>
      <c r="B52" s="41">
        <f>StateTaxRate+FederalTaxRate*(1-StateTaxRate/100)</f>
        <v>40.335999999999999</v>
      </c>
      <c r="D52" s="2" t="s">
        <v>102</v>
      </c>
    </row>
    <row r="53" spans="1:4">
      <c r="B53" s="6"/>
    </row>
    <row r="54" spans="1:4">
      <c r="A54" s="18" t="s">
        <v>50</v>
      </c>
      <c r="B54" s="3"/>
    </row>
    <row r="55" spans="1:4">
      <c r="A55" s="10" t="s">
        <v>6</v>
      </c>
      <c r="B55" s="14">
        <v>166</v>
      </c>
      <c r="D55" s="2" t="s">
        <v>144</v>
      </c>
    </row>
    <row r="56" spans="1:4">
      <c r="A56" s="10" t="s">
        <v>82</v>
      </c>
      <c r="B56" s="13">
        <v>5</v>
      </c>
      <c r="D56" s="2" t="s">
        <v>103</v>
      </c>
    </row>
    <row r="57" spans="1:4">
      <c r="A57" s="40" t="s">
        <v>18</v>
      </c>
      <c r="B57" s="24">
        <f>CapacityPayment*NetPlantCapacity</f>
        <v>4150000</v>
      </c>
    </row>
    <row r="58" spans="1:4">
      <c r="A58" s="40" t="s">
        <v>17</v>
      </c>
      <c r="B58" s="24">
        <f>DebtReserve*InterestRateonDebtReserve/100</f>
        <v>210636.7913755647</v>
      </c>
    </row>
    <row r="59" spans="1:4">
      <c r="B59" s="4"/>
    </row>
    <row r="60" spans="1:4">
      <c r="A60" s="18" t="s">
        <v>51</v>
      </c>
      <c r="B60" s="15"/>
    </row>
    <row r="61" spans="1:4">
      <c r="A61" s="10" t="s">
        <v>79</v>
      </c>
      <c r="B61" s="13">
        <v>2.1</v>
      </c>
      <c r="D61" s="2" t="s">
        <v>104</v>
      </c>
    </row>
    <row r="62" spans="1:4">
      <c r="A62" s="10" t="s">
        <v>80</v>
      </c>
      <c r="B62" s="13">
        <v>2.1</v>
      </c>
      <c r="D62" s="2" t="s">
        <v>105</v>
      </c>
    </row>
    <row r="63" spans="1:4">
      <c r="A63" s="10" t="s">
        <v>134</v>
      </c>
      <c r="B63" s="13">
        <v>2.1</v>
      </c>
      <c r="D63" s="2" t="s">
        <v>135</v>
      </c>
    </row>
    <row r="64" spans="1:4">
      <c r="A64" s="10" t="s">
        <v>81</v>
      </c>
      <c r="B64" s="13">
        <v>2.1</v>
      </c>
      <c r="D64" s="2" t="s">
        <v>106</v>
      </c>
    </row>
    <row r="65" spans="1:4">
      <c r="B65" s="5"/>
    </row>
    <row r="66" spans="1:4">
      <c r="A66" s="18" t="s">
        <v>52</v>
      </c>
      <c r="B66" s="15"/>
    </row>
    <row r="67" spans="1:4">
      <c r="A67" s="10" t="s">
        <v>7</v>
      </c>
      <c r="B67" s="13">
        <v>75</v>
      </c>
      <c r="C67" s="6"/>
      <c r="D67" s="2" t="s">
        <v>107</v>
      </c>
    </row>
    <row r="68" spans="1:4">
      <c r="A68" s="40" t="s">
        <v>8</v>
      </c>
      <c r="B68" s="42">
        <f>100-DebtRatio</f>
        <v>25</v>
      </c>
      <c r="C68" s="6"/>
      <c r="D68" s="2" t="s">
        <v>108</v>
      </c>
    </row>
    <row r="69" spans="1:4">
      <c r="A69" s="10" t="s">
        <v>83</v>
      </c>
      <c r="B69" s="13">
        <v>5</v>
      </c>
      <c r="C69" s="6"/>
      <c r="D69" s="2" t="s">
        <v>111</v>
      </c>
    </row>
    <row r="70" spans="1:4">
      <c r="A70" s="10" t="s">
        <v>129</v>
      </c>
      <c r="B70" s="23">
        <v>20</v>
      </c>
      <c r="C70" s="116"/>
      <c r="D70" s="2" t="s">
        <v>109</v>
      </c>
    </row>
    <row r="71" spans="1:4">
      <c r="A71" s="10" t="s">
        <v>84</v>
      </c>
      <c r="B71" s="13">
        <v>15</v>
      </c>
      <c r="C71" s="6"/>
      <c r="D71" s="2" t="s">
        <v>110</v>
      </c>
    </row>
    <row r="72" spans="1:4">
      <c r="A72" s="40" t="s">
        <v>85</v>
      </c>
      <c r="B72" s="42">
        <f>DebtRatio/100*InterestRateOnDebt+EquityRatio/100*CostOfEquity</f>
        <v>7.5</v>
      </c>
      <c r="C72" s="6"/>
      <c r="D72" s="2" t="s">
        <v>112</v>
      </c>
    </row>
    <row r="73" spans="1:4">
      <c r="A73" s="40" t="s">
        <v>9</v>
      </c>
      <c r="B73" s="24">
        <f>CapitalCost</f>
        <v>70000000</v>
      </c>
      <c r="C73" s="4"/>
    </row>
    <row r="74" spans="1:4">
      <c r="A74" s="40" t="s">
        <v>10</v>
      </c>
      <c r="B74" s="24">
        <f>TotalCostOfPlant*EquityRatio/100</f>
        <v>17500000</v>
      </c>
      <c r="C74" s="4"/>
    </row>
    <row r="75" spans="1:4">
      <c r="A75" s="40" t="s">
        <v>11</v>
      </c>
      <c r="B75" s="24">
        <f>TotalCostOfPlant*DebtRatio/100</f>
        <v>52500000</v>
      </c>
      <c r="C75" s="4"/>
    </row>
    <row r="76" spans="1:4">
      <c r="A76" s="40" t="s">
        <v>12</v>
      </c>
      <c r="B76" s="43">
        <f>CostOfEquity/100*(1+CostOfEquity/100)^EconomicLife/((1+CostOfEquity/100)^EconomicLife-1)</f>
        <v>0.1597614704057439</v>
      </c>
      <c r="C76" s="7"/>
      <c r="D76" s="2" t="s">
        <v>113</v>
      </c>
    </row>
    <row r="77" spans="1:4">
      <c r="A77" s="40" t="s">
        <v>13</v>
      </c>
      <c r="B77" s="43">
        <f>InterestRateOnDebt/100*(1+InterestRateOnDebt/100)^EconomicLife/((1+InterestRateOnDebt/100)^EconomicLife-1)</f>
        <v>8.0242587190691314E-2</v>
      </c>
      <c r="C77" s="7"/>
    </row>
    <row r="78" spans="1:4">
      <c r="A78" s="40" t="s">
        <v>14</v>
      </c>
      <c r="B78" s="24">
        <f>CapitalRecoveryFactorEquity*TotalEquityCost</f>
        <v>2795825.7321005184</v>
      </c>
      <c r="C78" s="4"/>
      <c r="D78" s="2" t="s">
        <v>114</v>
      </c>
    </row>
    <row r="79" spans="1:4">
      <c r="A79" s="40" t="s">
        <v>15</v>
      </c>
      <c r="B79" s="24">
        <f>TotalDebtCost*CapitalRecoveryFactorDebt</f>
        <v>4212735.8275112938</v>
      </c>
      <c r="C79" s="4"/>
      <c r="D79" s="2" t="s">
        <v>115</v>
      </c>
    </row>
    <row r="80" spans="1:4">
      <c r="A80" s="10" t="s">
        <v>16</v>
      </c>
      <c r="B80" s="12">
        <f>AnnualDebtPayment</f>
        <v>4212735.8275112938</v>
      </c>
      <c r="C80" s="4"/>
      <c r="D80" s="2" t="s">
        <v>116</v>
      </c>
    </row>
    <row r="83" spans="1:7">
      <c r="A83" s="18" t="s">
        <v>53</v>
      </c>
      <c r="B83" s="3"/>
      <c r="D83" s="2" t="s">
        <v>117</v>
      </c>
    </row>
    <row r="84" spans="1:7" ht="24">
      <c r="A84" s="73"/>
      <c r="B84" s="74" t="s">
        <v>130</v>
      </c>
      <c r="D84" s="22" t="s">
        <v>136</v>
      </c>
      <c r="E84" s="22" t="s">
        <v>137</v>
      </c>
      <c r="F84" s="22" t="s">
        <v>138</v>
      </c>
    </row>
    <row r="85" spans="1:7">
      <c r="A85" s="10" t="s">
        <v>19</v>
      </c>
      <c r="B85" s="19">
        <f>F85</f>
        <v>0.05</v>
      </c>
      <c r="D85" s="45">
        <v>0.2</v>
      </c>
      <c r="E85" s="45">
        <v>0.1</v>
      </c>
      <c r="F85" s="45">
        <v>0.05</v>
      </c>
      <c r="G85" s="2">
        <f>1/EconomicLife</f>
        <v>0.05</v>
      </c>
    </row>
    <row r="86" spans="1:7">
      <c r="A86" s="10" t="s">
        <v>20</v>
      </c>
      <c r="B86" s="19">
        <f t="shared" ref="B86:B104" si="0">F86</f>
        <v>0.05</v>
      </c>
      <c r="D86" s="45">
        <v>0.32</v>
      </c>
      <c r="E86" s="45">
        <v>0.18</v>
      </c>
      <c r="F86" s="45">
        <v>0.05</v>
      </c>
    </row>
    <row r="87" spans="1:7">
      <c r="A87" s="10" t="s">
        <v>21</v>
      </c>
      <c r="B87" s="19">
        <f t="shared" si="0"/>
        <v>0.05</v>
      </c>
      <c r="D87" s="45">
        <v>0.192</v>
      </c>
      <c r="E87" s="45">
        <v>0.14399999999999999</v>
      </c>
      <c r="F87" s="45">
        <v>0.05</v>
      </c>
    </row>
    <row r="88" spans="1:7">
      <c r="A88" s="10" t="s">
        <v>22</v>
      </c>
      <c r="B88" s="19">
        <f t="shared" si="0"/>
        <v>0.05</v>
      </c>
      <c r="D88" s="45">
        <v>0.1152</v>
      </c>
      <c r="E88" s="45">
        <v>0.1152</v>
      </c>
      <c r="F88" s="45">
        <v>0.05</v>
      </c>
    </row>
    <row r="89" spans="1:7">
      <c r="A89" s="10" t="s">
        <v>23</v>
      </c>
      <c r="B89" s="19">
        <f t="shared" si="0"/>
        <v>0.05</v>
      </c>
      <c r="D89" s="45">
        <v>0.1152</v>
      </c>
      <c r="E89" s="45">
        <v>9.2200000000000004E-2</v>
      </c>
      <c r="F89" s="45">
        <v>0.05</v>
      </c>
    </row>
    <row r="90" spans="1:7">
      <c r="A90" s="10" t="s">
        <v>24</v>
      </c>
      <c r="B90" s="19">
        <f t="shared" si="0"/>
        <v>0.05</v>
      </c>
      <c r="D90" s="45">
        <v>5.7599999999999998E-2</v>
      </c>
      <c r="E90" s="45">
        <v>7.3700000000000002E-2</v>
      </c>
      <c r="F90" s="45">
        <v>0.05</v>
      </c>
    </row>
    <row r="91" spans="1:7">
      <c r="A91" s="10" t="s">
        <v>54</v>
      </c>
      <c r="B91" s="19">
        <f t="shared" si="0"/>
        <v>0.05</v>
      </c>
      <c r="D91" s="45">
        <v>0</v>
      </c>
      <c r="E91" s="45">
        <v>6.5500000000000003E-2</v>
      </c>
      <c r="F91" s="45">
        <v>0.05</v>
      </c>
    </row>
    <row r="92" spans="1:7">
      <c r="A92" s="10" t="s">
        <v>55</v>
      </c>
      <c r="B92" s="19">
        <f t="shared" si="0"/>
        <v>0.05</v>
      </c>
      <c r="D92" s="45">
        <v>0</v>
      </c>
      <c r="E92" s="45">
        <v>6.5500000000000003E-2</v>
      </c>
      <c r="F92" s="45">
        <v>0.05</v>
      </c>
    </row>
    <row r="93" spans="1:7">
      <c r="A93" s="10" t="s">
        <v>56</v>
      </c>
      <c r="B93" s="19">
        <f t="shared" si="0"/>
        <v>0.05</v>
      </c>
      <c r="D93" s="45">
        <v>0</v>
      </c>
      <c r="E93" s="45">
        <v>6.5500000000000003E-2</v>
      </c>
      <c r="F93" s="45">
        <v>0.05</v>
      </c>
    </row>
    <row r="94" spans="1:7">
      <c r="A94" s="10" t="s">
        <v>57</v>
      </c>
      <c r="B94" s="19">
        <f t="shared" si="0"/>
        <v>0.05</v>
      </c>
      <c r="D94" s="45">
        <v>0</v>
      </c>
      <c r="E94" s="45">
        <v>6.5500000000000003E-2</v>
      </c>
      <c r="F94" s="45">
        <v>0.05</v>
      </c>
    </row>
    <row r="95" spans="1:7">
      <c r="A95" s="10" t="s">
        <v>58</v>
      </c>
      <c r="B95" s="19">
        <f t="shared" si="0"/>
        <v>0.05</v>
      </c>
      <c r="D95" s="45">
        <v>0</v>
      </c>
      <c r="E95" s="45">
        <v>3.2899999999999999E-2</v>
      </c>
      <c r="F95" s="45">
        <v>0.05</v>
      </c>
    </row>
    <row r="96" spans="1:7">
      <c r="A96" s="10" t="s">
        <v>59</v>
      </c>
      <c r="B96" s="19">
        <f t="shared" si="0"/>
        <v>0.05</v>
      </c>
      <c r="D96" s="45">
        <v>0</v>
      </c>
      <c r="E96" s="45">
        <v>0</v>
      </c>
      <c r="F96" s="45">
        <v>0.05</v>
      </c>
    </row>
    <row r="97" spans="1:8">
      <c r="A97" s="10" t="s">
        <v>60</v>
      </c>
      <c r="B97" s="19">
        <f t="shared" si="0"/>
        <v>0.05</v>
      </c>
      <c r="D97" s="45">
        <v>0</v>
      </c>
      <c r="E97" s="45">
        <v>0</v>
      </c>
      <c r="F97" s="45">
        <v>0.05</v>
      </c>
    </row>
    <row r="98" spans="1:8">
      <c r="A98" s="10" t="s">
        <v>61</v>
      </c>
      <c r="B98" s="19">
        <f t="shared" si="0"/>
        <v>0.05</v>
      </c>
      <c r="D98" s="45">
        <v>0</v>
      </c>
      <c r="E98" s="45">
        <v>0</v>
      </c>
      <c r="F98" s="45">
        <v>0.05</v>
      </c>
    </row>
    <row r="99" spans="1:8">
      <c r="A99" s="10" t="s">
        <v>62</v>
      </c>
      <c r="B99" s="19">
        <f t="shared" si="0"/>
        <v>0.05</v>
      </c>
      <c r="D99" s="45">
        <v>0</v>
      </c>
      <c r="E99" s="45">
        <v>0</v>
      </c>
      <c r="F99" s="45">
        <v>0.05</v>
      </c>
      <c r="G99" s="30"/>
      <c r="H99" s="30"/>
    </row>
    <row r="100" spans="1:8">
      <c r="A100" s="10" t="s">
        <v>63</v>
      </c>
      <c r="B100" s="19">
        <f t="shared" si="0"/>
        <v>0.05</v>
      </c>
      <c r="D100" s="45">
        <v>0</v>
      </c>
      <c r="E100" s="45">
        <v>0</v>
      </c>
      <c r="F100" s="45">
        <v>0.05</v>
      </c>
    </row>
    <row r="101" spans="1:8">
      <c r="A101" s="10" t="s">
        <v>64</v>
      </c>
      <c r="B101" s="19">
        <f t="shared" si="0"/>
        <v>0.05</v>
      </c>
      <c r="D101" s="45">
        <v>0</v>
      </c>
      <c r="E101" s="45">
        <v>0</v>
      </c>
      <c r="F101" s="45">
        <v>0.05</v>
      </c>
    </row>
    <row r="102" spans="1:8">
      <c r="A102" s="10" t="s">
        <v>65</v>
      </c>
      <c r="B102" s="19">
        <f t="shared" si="0"/>
        <v>0.05</v>
      </c>
      <c r="D102" s="45">
        <v>0</v>
      </c>
      <c r="E102" s="45">
        <v>0</v>
      </c>
      <c r="F102" s="45">
        <v>0.05</v>
      </c>
    </row>
    <row r="103" spans="1:8">
      <c r="A103" s="10" t="s">
        <v>66</v>
      </c>
      <c r="B103" s="19">
        <f t="shared" si="0"/>
        <v>0.05</v>
      </c>
      <c r="D103" s="45">
        <v>0</v>
      </c>
      <c r="E103" s="45">
        <v>0</v>
      </c>
      <c r="F103" s="45">
        <v>0.05</v>
      </c>
    </row>
    <row r="104" spans="1:8">
      <c r="A104" s="10" t="s">
        <v>67</v>
      </c>
      <c r="B104" s="19">
        <f t="shared" si="0"/>
        <v>0.05</v>
      </c>
      <c r="D104" s="45">
        <v>0</v>
      </c>
      <c r="E104" s="45">
        <v>0</v>
      </c>
      <c r="F104" s="45">
        <v>0.05</v>
      </c>
    </row>
    <row r="105" spans="1:8">
      <c r="A105" s="40" t="s">
        <v>25</v>
      </c>
      <c r="B105" s="44">
        <f>SUM(B85:B104)</f>
        <v>1.0000000000000002</v>
      </c>
      <c r="D105" s="43">
        <f>SUM(D85:D104)</f>
        <v>0.99999999999999989</v>
      </c>
      <c r="E105" s="43">
        <f>SUM(E85:E104)</f>
        <v>1</v>
      </c>
      <c r="F105" s="43">
        <f>SUM(F85:F104)</f>
        <v>1.0000000000000002</v>
      </c>
    </row>
    <row r="106" spans="1:8">
      <c r="B106" s="8"/>
    </row>
    <row r="107" spans="1:8" ht="24">
      <c r="A107" s="75" t="s">
        <v>131</v>
      </c>
      <c r="B107" s="76" t="s">
        <v>146</v>
      </c>
      <c r="D107" s="2" t="s">
        <v>139</v>
      </c>
    </row>
    <row r="108" spans="1:8">
      <c r="A108" s="10" t="s">
        <v>19</v>
      </c>
      <c r="B108" s="23">
        <v>1</v>
      </c>
    </row>
    <row r="109" spans="1:8">
      <c r="A109" s="10" t="s">
        <v>20</v>
      </c>
      <c r="B109" s="23">
        <v>1</v>
      </c>
    </row>
    <row r="110" spans="1:8">
      <c r="A110" s="10" t="s">
        <v>21</v>
      </c>
      <c r="B110" s="23">
        <v>1</v>
      </c>
    </row>
    <row r="111" spans="1:8">
      <c r="A111" s="10" t="s">
        <v>22</v>
      </c>
      <c r="B111" s="23">
        <v>1</v>
      </c>
    </row>
    <row r="112" spans="1:8">
      <c r="A112" s="10" t="s">
        <v>23</v>
      </c>
      <c r="B112" s="23">
        <v>1</v>
      </c>
    </row>
    <row r="113" spans="1:2">
      <c r="A113" s="10" t="s">
        <v>24</v>
      </c>
      <c r="B113" s="23">
        <v>0</v>
      </c>
    </row>
    <row r="114" spans="1:2">
      <c r="A114" s="10" t="s">
        <v>54</v>
      </c>
      <c r="B114" s="29">
        <v>0</v>
      </c>
    </row>
    <row r="115" spans="1:2">
      <c r="A115" s="10" t="s">
        <v>55</v>
      </c>
      <c r="B115" s="23">
        <v>0</v>
      </c>
    </row>
    <row r="116" spans="1:2">
      <c r="A116" s="10" t="s">
        <v>56</v>
      </c>
      <c r="B116" s="23">
        <v>0</v>
      </c>
    </row>
    <row r="117" spans="1:2">
      <c r="A117" s="10" t="s">
        <v>57</v>
      </c>
      <c r="B117" s="23">
        <v>0</v>
      </c>
    </row>
    <row r="118" spans="1:2">
      <c r="A118" s="10" t="s">
        <v>58</v>
      </c>
      <c r="B118" s="23">
        <v>0</v>
      </c>
    </row>
    <row r="119" spans="1:2">
      <c r="A119" s="10" t="s">
        <v>59</v>
      </c>
      <c r="B119" s="23">
        <v>0</v>
      </c>
    </row>
    <row r="120" spans="1:2">
      <c r="A120" s="10" t="s">
        <v>60</v>
      </c>
      <c r="B120" s="23">
        <v>0</v>
      </c>
    </row>
    <row r="121" spans="1:2">
      <c r="A121" s="10" t="s">
        <v>61</v>
      </c>
      <c r="B121" s="23">
        <v>0</v>
      </c>
    </row>
    <row r="122" spans="1:2">
      <c r="A122" s="10" t="s">
        <v>62</v>
      </c>
      <c r="B122" s="23">
        <v>0</v>
      </c>
    </row>
    <row r="123" spans="1:2">
      <c r="A123" s="10" t="s">
        <v>63</v>
      </c>
      <c r="B123" s="23">
        <v>0</v>
      </c>
    </row>
    <row r="124" spans="1:2">
      <c r="A124" s="10" t="s">
        <v>64</v>
      </c>
      <c r="B124" s="23">
        <v>0</v>
      </c>
    </row>
    <row r="125" spans="1:2">
      <c r="A125" s="10" t="s">
        <v>65</v>
      </c>
      <c r="B125" s="23">
        <v>0</v>
      </c>
    </row>
    <row r="126" spans="1:2">
      <c r="A126" s="10" t="s">
        <v>66</v>
      </c>
      <c r="B126" s="23">
        <v>0</v>
      </c>
    </row>
    <row r="127" spans="1:2">
      <c r="A127" s="10" t="s">
        <v>67</v>
      </c>
      <c r="B127" s="23">
        <v>0</v>
      </c>
    </row>
    <row r="128" spans="1:2">
      <c r="B128" s="8"/>
    </row>
    <row r="129" spans="1:34">
      <c r="A129" s="18" t="s">
        <v>68</v>
      </c>
      <c r="B129" s="61" t="s">
        <v>195</v>
      </c>
      <c r="C129" s="3"/>
      <c r="D129" s="3"/>
      <c r="E129" s="119" t="s">
        <v>194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34">
      <c r="A130" s="120" t="s">
        <v>27</v>
      </c>
      <c r="B130" s="122">
        <v>1</v>
      </c>
      <c r="C130" s="121">
        <f t="shared" ref="C130:K130" si="1">B130+1</f>
        <v>2</v>
      </c>
      <c r="D130" s="52">
        <f t="shared" si="1"/>
        <v>3</v>
      </c>
      <c r="E130" s="52">
        <f t="shared" si="1"/>
        <v>4</v>
      </c>
      <c r="F130" s="52">
        <f>E130+1</f>
        <v>5</v>
      </c>
      <c r="G130" s="52">
        <f>F130+1</f>
        <v>6</v>
      </c>
      <c r="H130" s="52">
        <f>G130+1</f>
        <v>7</v>
      </c>
      <c r="I130" s="52">
        <f>H130+1</f>
        <v>8</v>
      </c>
      <c r="J130" s="52">
        <f t="shared" si="1"/>
        <v>9</v>
      </c>
      <c r="K130" s="52">
        <f t="shared" si="1"/>
        <v>10</v>
      </c>
      <c r="L130" s="52">
        <f>K130+1</f>
        <v>11</v>
      </c>
      <c r="M130" s="52">
        <f t="shared" ref="M130:U130" si="2">L130+1</f>
        <v>12</v>
      </c>
      <c r="N130" s="52">
        <f t="shared" si="2"/>
        <v>13</v>
      </c>
      <c r="O130" s="52">
        <f t="shared" si="2"/>
        <v>14</v>
      </c>
      <c r="P130" s="52">
        <f t="shared" si="2"/>
        <v>15</v>
      </c>
      <c r="Q130" s="52">
        <f t="shared" si="2"/>
        <v>16</v>
      </c>
      <c r="R130" s="52">
        <f t="shared" si="2"/>
        <v>17</v>
      </c>
      <c r="S130" s="52">
        <f t="shared" si="2"/>
        <v>18</v>
      </c>
      <c r="T130" s="52">
        <f t="shared" si="2"/>
        <v>19</v>
      </c>
      <c r="U130" s="52">
        <f t="shared" si="2"/>
        <v>20</v>
      </c>
      <c r="V130" s="53" t="s">
        <v>25</v>
      </c>
    </row>
    <row r="131" spans="1:34">
      <c r="A131" s="46" t="s">
        <v>28</v>
      </c>
      <c r="B131" s="118">
        <f>AnnualEquityRecovery</f>
        <v>2795825.7321005184</v>
      </c>
      <c r="C131" s="117">
        <f t="shared" ref="C131:K131" si="3">$B$78</f>
        <v>2795825.7321005184</v>
      </c>
      <c r="D131" s="117">
        <f t="shared" si="3"/>
        <v>2795825.7321005184</v>
      </c>
      <c r="E131" s="117">
        <f t="shared" si="3"/>
        <v>2795825.7321005184</v>
      </c>
      <c r="F131" s="117">
        <f t="shared" si="3"/>
        <v>2795825.7321005184</v>
      </c>
      <c r="G131" s="117">
        <f t="shared" si="3"/>
        <v>2795825.7321005184</v>
      </c>
      <c r="H131" s="117">
        <f t="shared" si="3"/>
        <v>2795825.7321005184</v>
      </c>
      <c r="I131" s="117">
        <f t="shared" si="3"/>
        <v>2795825.7321005184</v>
      </c>
      <c r="J131" s="117">
        <f t="shared" si="3"/>
        <v>2795825.7321005184</v>
      </c>
      <c r="K131" s="117">
        <f t="shared" si="3"/>
        <v>2795825.7321005184</v>
      </c>
      <c r="L131" s="117">
        <f t="shared" ref="L131:U131" si="4">$B$78</f>
        <v>2795825.7321005184</v>
      </c>
      <c r="M131" s="117">
        <f t="shared" si="4"/>
        <v>2795825.7321005184</v>
      </c>
      <c r="N131" s="117">
        <f t="shared" si="4"/>
        <v>2795825.7321005184</v>
      </c>
      <c r="O131" s="117">
        <f t="shared" si="4"/>
        <v>2795825.7321005184</v>
      </c>
      <c r="P131" s="117">
        <f t="shared" si="4"/>
        <v>2795825.7321005184</v>
      </c>
      <c r="Q131" s="117">
        <f t="shared" si="4"/>
        <v>2795825.7321005184</v>
      </c>
      <c r="R131" s="117">
        <f t="shared" si="4"/>
        <v>2795825.7321005184</v>
      </c>
      <c r="S131" s="117">
        <f t="shared" si="4"/>
        <v>2795825.7321005184</v>
      </c>
      <c r="T131" s="117">
        <f t="shared" si="4"/>
        <v>2795825.7321005184</v>
      </c>
      <c r="U131" s="117">
        <f t="shared" si="4"/>
        <v>2795825.7321005184</v>
      </c>
      <c r="V131" s="47">
        <f>SUM(B131:U131)</f>
        <v>55916514.642010346</v>
      </c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 spans="1:34">
      <c r="A132" s="55" t="s">
        <v>29</v>
      </c>
      <c r="B132" s="50">
        <f>CostOfEquity/100*TotalEquityCost</f>
        <v>2625000</v>
      </c>
      <c r="C132" s="50">
        <f>CostOfEquity/100*EquityPrincipalRemaining1</f>
        <v>2599376.1401849226</v>
      </c>
      <c r="D132" s="50">
        <f t="shared" ref="D132:K132" si="5">$B$71/100*C134</f>
        <v>2569908.7013975829</v>
      </c>
      <c r="E132" s="50">
        <f t="shared" si="5"/>
        <v>2536021.1467921422</v>
      </c>
      <c r="F132" s="50">
        <f>$B$71/100*E134</f>
        <v>2497050.4589958857</v>
      </c>
      <c r="G132" s="50">
        <f>$B$71/100*F134</f>
        <v>2452234.1680301912</v>
      </c>
      <c r="H132" s="50">
        <f>$B$71/100*G134</f>
        <v>2400695.433419642</v>
      </c>
      <c r="I132" s="50">
        <f>$B$71/100*H134</f>
        <v>2341425.8886175104</v>
      </c>
      <c r="J132" s="50">
        <f t="shared" si="5"/>
        <v>2273265.9120950592</v>
      </c>
      <c r="K132" s="50">
        <f t="shared" si="5"/>
        <v>2194881.9390942403</v>
      </c>
      <c r="L132" s="50">
        <f>$B$71/100*K134</f>
        <v>2104740.3701432985</v>
      </c>
      <c r="M132" s="50">
        <f t="shared" ref="M132:U132" si="6">$B$71/100*L134</f>
        <v>2001077.5658497156</v>
      </c>
      <c r="N132" s="50">
        <f t="shared" si="6"/>
        <v>1881865.3409120953</v>
      </c>
      <c r="O132" s="50">
        <f t="shared" si="6"/>
        <v>1744771.2822338317</v>
      </c>
      <c r="P132" s="50">
        <f t="shared" si="6"/>
        <v>1587113.1147538286</v>
      </c>
      <c r="Q132" s="50">
        <f t="shared" si="6"/>
        <v>1405806.2221518254</v>
      </c>
      <c r="R132" s="50">
        <f t="shared" si="6"/>
        <v>1197303.2956595214</v>
      </c>
      <c r="S132" s="50">
        <f t="shared" si="6"/>
        <v>957524.93019337184</v>
      </c>
      <c r="T132" s="50">
        <f t="shared" si="6"/>
        <v>681779.80990729993</v>
      </c>
      <c r="U132" s="50">
        <f t="shared" si="6"/>
        <v>364672.92157831712</v>
      </c>
      <c r="V132" s="56">
        <f t="shared" ref="V132:V148" si="7">SUM(B132:U132)</f>
        <v>38416514.642010279</v>
      </c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 spans="1:34">
      <c r="A133" s="55" t="s">
        <v>30</v>
      </c>
      <c r="B133" s="50">
        <f>EquityRecovery-EquityInterest1</f>
        <v>170825.73210051842</v>
      </c>
      <c r="C133" s="50">
        <f>EquityRecovery-EquityInterest2</f>
        <v>196449.59191559581</v>
      </c>
      <c r="D133" s="50">
        <f t="shared" ref="D133:K133" si="8">D131-D132</f>
        <v>225917.03070293553</v>
      </c>
      <c r="E133" s="50">
        <f t="shared" si="8"/>
        <v>259804.58530837623</v>
      </c>
      <c r="F133" s="50">
        <f>F131-F132</f>
        <v>298775.27310463274</v>
      </c>
      <c r="G133" s="50">
        <f>G131-G132</f>
        <v>343591.56407032721</v>
      </c>
      <c r="H133" s="50">
        <f>H131-H132</f>
        <v>395130.29868087638</v>
      </c>
      <c r="I133" s="50">
        <f t="shared" si="8"/>
        <v>454399.84348300798</v>
      </c>
      <c r="J133" s="50">
        <f t="shared" si="8"/>
        <v>522559.82000545925</v>
      </c>
      <c r="K133" s="50">
        <f t="shared" si="8"/>
        <v>600943.79300627811</v>
      </c>
      <c r="L133" s="50">
        <f t="shared" ref="L133:U133" si="9">L131-L132</f>
        <v>691085.36195721989</v>
      </c>
      <c r="M133" s="50">
        <f t="shared" si="9"/>
        <v>794748.16625080281</v>
      </c>
      <c r="N133" s="50">
        <f t="shared" si="9"/>
        <v>913960.39118842315</v>
      </c>
      <c r="O133" s="50">
        <f t="shared" si="9"/>
        <v>1051054.4498666867</v>
      </c>
      <c r="P133" s="50">
        <f t="shared" si="9"/>
        <v>1208712.6173466898</v>
      </c>
      <c r="Q133" s="50">
        <f t="shared" si="9"/>
        <v>1390019.509948693</v>
      </c>
      <c r="R133" s="50">
        <f t="shared" si="9"/>
        <v>1598522.4364409971</v>
      </c>
      <c r="S133" s="50">
        <f t="shared" si="9"/>
        <v>1838300.8019071466</v>
      </c>
      <c r="T133" s="50">
        <f t="shared" si="9"/>
        <v>2114045.9221932185</v>
      </c>
      <c r="U133" s="50">
        <f t="shared" si="9"/>
        <v>2431152.8105222015</v>
      </c>
      <c r="V133" s="56">
        <f t="shared" si="7"/>
        <v>17500000.000000086</v>
      </c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 spans="1:34">
      <c r="A134" s="55" t="s">
        <v>31</v>
      </c>
      <c r="B134" s="50">
        <f>TotalEquityCost-EquityPrincipalPaid1</f>
        <v>17329174.267899483</v>
      </c>
      <c r="C134" s="50">
        <f>EquityPrincipalRemaining1-EquityPrincipalPaid2</f>
        <v>17132724.675983887</v>
      </c>
      <c r="D134" s="50">
        <f t="shared" ref="D134:K134" si="10">C134-D133</f>
        <v>16906807.64528095</v>
      </c>
      <c r="E134" s="50">
        <f t="shared" si="10"/>
        <v>16647003.059972573</v>
      </c>
      <c r="F134" s="50">
        <f>E134-F133</f>
        <v>16348227.786867941</v>
      </c>
      <c r="G134" s="50">
        <f>F134-G133</f>
        <v>16004636.222797614</v>
      </c>
      <c r="H134" s="50">
        <f>G134-H133</f>
        <v>15609505.924116738</v>
      </c>
      <c r="I134" s="50">
        <f>H134-I133</f>
        <v>15155106.08063373</v>
      </c>
      <c r="J134" s="50">
        <f t="shared" si="10"/>
        <v>14632546.26062827</v>
      </c>
      <c r="K134" s="50">
        <f t="shared" si="10"/>
        <v>14031602.467621991</v>
      </c>
      <c r="L134" s="50">
        <f>K134-L133</f>
        <v>13340517.105664771</v>
      </c>
      <c r="M134" s="50">
        <f t="shared" ref="M134:U134" si="11">L134-M133</f>
        <v>12545768.939413968</v>
      </c>
      <c r="N134" s="50">
        <f t="shared" si="11"/>
        <v>11631808.548225544</v>
      </c>
      <c r="O134" s="50">
        <f t="shared" si="11"/>
        <v>10580754.098358858</v>
      </c>
      <c r="P134" s="50">
        <f t="shared" si="11"/>
        <v>9372041.4810121693</v>
      </c>
      <c r="Q134" s="50">
        <f t="shared" si="11"/>
        <v>7982021.9710634761</v>
      </c>
      <c r="R134" s="50">
        <f t="shared" si="11"/>
        <v>6383499.5346224792</v>
      </c>
      <c r="S134" s="50">
        <f t="shared" si="11"/>
        <v>4545198.7327153329</v>
      </c>
      <c r="T134" s="50">
        <f t="shared" si="11"/>
        <v>2431152.8105221144</v>
      </c>
      <c r="U134" s="50">
        <f t="shared" si="11"/>
        <v>-8.7078660726547241E-8</v>
      </c>
      <c r="V134" s="63" t="s">
        <v>142</v>
      </c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 spans="1:34">
      <c r="A135" s="55" t="s">
        <v>32</v>
      </c>
      <c r="B135" s="118">
        <f>AnnualDebtPayment</f>
        <v>4212735.8275112938</v>
      </c>
      <c r="C135" s="118">
        <f t="shared" ref="C135:K135" si="12">$B$79</f>
        <v>4212735.8275112938</v>
      </c>
      <c r="D135" s="118">
        <f t="shared" si="12"/>
        <v>4212735.8275112938</v>
      </c>
      <c r="E135" s="118">
        <f t="shared" si="12"/>
        <v>4212735.8275112938</v>
      </c>
      <c r="F135" s="118">
        <f t="shared" si="12"/>
        <v>4212735.8275112938</v>
      </c>
      <c r="G135" s="118">
        <f t="shared" si="12"/>
        <v>4212735.8275112938</v>
      </c>
      <c r="H135" s="118">
        <f t="shared" si="12"/>
        <v>4212735.8275112938</v>
      </c>
      <c r="I135" s="118">
        <f t="shared" si="12"/>
        <v>4212735.8275112938</v>
      </c>
      <c r="J135" s="118">
        <f t="shared" si="12"/>
        <v>4212735.8275112938</v>
      </c>
      <c r="K135" s="118">
        <f t="shared" si="12"/>
        <v>4212735.8275112938</v>
      </c>
      <c r="L135" s="118">
        <f t="shared" ref="L135:U135" si="13">$B$79</f>
        <v>4212735.8275112938</v>
      </c>
      <c r="M135" s="118">
        <f t="shared" si="13"/>
        <v>4212735.8275112938</v>
      </c>
      <c r="N135" s="118">
        <f t="shared" si="13"/>
        <v>4212735.8275112938</v>
      </c>
      <c r="O135" s="118">
        <f t="shared" si="13"/>
        <v>4212735.8275112938</v>
      </c>
      <c r="P135" s="118">
        <f t="shared" si="13"/>
        <v>4212735.8275112938</v>
      </c>
      <c r="Q135" s="118">
        <f t="shared" si="13"/>
        <v>4212735.8275112938</v>
      </c>
      <c r="R135" s="118">
        <f t="shared" si="13"/>
        <v>4212735.8275112938</v>
      </c>
      <c r="S135" s="118">
        <f t="shared" si="13"/>
        <v>4212735.8275112938</v>
      </c>
      <c r="T135" s="118">
        <f t="shared" si="13"/>
        <v>4212735.8275112938</v>
      </c>
      <c r="U135" s="118">
        <f t="shared" si="13"/>
        <v>4212735.8275112938</v>
      </c>
      <c r="V135" s="56">
        <f t="shared" si="7"/>
        <v>84254716.550225899</v>
      </c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 spans="1:34">
      <c r="A136" s="55" t="s">
        <v>33</v>
      </c>
      <c r="B136" s="50">
        <f>InterestRateOnDebt/100*TotalDebtCost</f>
        <v>2625000</v>
      </c>
      <c r="C136" s="50">
        <f>InterestRateOnDebt/100*DebtPrincipalRemaining1</f>
        <v>2545613.2086244356</v>
      </c>
      <c r="D136" s="50">
        <f t="shared" ref="D136:K136" si="14">$B$69/100*C138</f>
        <v>2462257.0776800923</v>
      </c>
      <c r="E136" s="50">
        <f t="shared" si="14"/>
        <v>2374733.1401885324</v>
      </c>
      <c r="F136" s="50">
        <f>$B$69/100*E138</f>
        <v>2282833.0058223945</v>
      </c>
      <c r="G136" s="50">
        <f>$B$69/100*F138</f>
        <v>2186337.8647379498</v>
      </c>
      <c r="H136" s="50">
        <f>$B$69/100*G138</f>
        <v>2085017.9665992823</v>
      </c>
      <c r="I136" s="50">
        <f>$B$69/100*H138</f>
        <v>1978632.0735536818</v>
      </c>
      <c r="J136" s="50">
        <f t="shared" si="14"/>
        <v>1866926.8858558012</v>
      </c>
      <c r="K136" s="50">
        <f t="shared" si="14"/>
        <v>1749636.4387730265</v>
      </c>
      <c r="L136" s="50">
        <f>$B$69/100*K138</f>
        <v>1626481.469336113</v>
      </c>
      <c r="M136" s="50">
        <f t="shared" ref="M136:U136" si="15">$B$69/100*L138</f>
        <v>1497168.7514273541</v>
      </c>
      <c r="N136" s="50">
        <f t="shared" si="15"/>
        <v>1361390.3976231571</v>
      </c>
      <c r="O136" s="50">
        <f t="shared" si="15"/>
        <v>1218823.1261287502</v>
      </c>
      <c r="P136" s="50">
        <f t="shared" si="15"/>
        <v>1069127.491059623</v>
      </c>
      <c r="Q136" s="50">
        <f t="shared" si="15"/>
        <v>911947.07423703931</v>
      </c>
      <c r="R136" s="50">
        <f t="shared" si="15"/>
        <v>746907.63657332666</v>
      </c>
      <c r="S136" s="50">
        <f t="shared" si="15"/>
        <v>573616.22702642833</v>
      </c>
      <c r="T136" s="50">
        <f t="shared" si="15"/>
        <v>391660.24700218503</v>
      </c>
      <c r="U136" s="50">
        <f t="shared" si="15"/>
        <v>200606.46797672956</v>
      </c>
      <c r="V136" s="56">
        <f t="shared" si="7"/>
        <v>31754716.550225902</v>
      </c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 spans="1:34">
      <c r="A137" s="55" t="s">
        <v>34</v>
      </c>
      <c r="B137" s="50">
        <f>DebtRecovery-DebtInterest1</f>
        <v>1587735.8275112938</v>
      </c>
      <c r="C137" s="50">
        <f>DebtRecovery-DebtInterest2</f>
        <v>1667122.6188868582</v>
      </c>
      <c r="D137" s="50">
        <f t="shared" ref="D137:K137" si="16">D135-D136</f>
        <v>1750478.7498312015</v>
      </c>
      <c r="E137" s="50">
        <f t="shared" si="16"/>
        <v>1838002.6873227614</v>
      </c>
      <c r="F137" s="50">
        <f>F135-F136</f>
        <v>1929902.8216888993</v>
      </c>
      <c r="G137" s="50">
        <f>G135-G136</f>
        <v>2026397.962773344</v>
      </c>
      <c r="H137" s="50">
        <f>H135-H136</f>
        <v>2127717.8609120115</v>
      </c>
      <c r="I137" s="50">
        <f t="shared" si="16"/>
        <v>2234103.753957612</v>
      </c>
      <c r="J137" s="50">
        <f t="shared" si="16"/>
        <v>2345808.9416554924</v>
      </c>
      <c r="K137" s="50">
        <f t="shared" si="16"/>
        <v>2463099.3887382671</v>
      </c>
      <c r="L137" s="50">
        <f t="shared" ref="L137:U137" si="17">L135-L136</f>
        <v>2586254.3581751809</v>
      </c>
      <c r="M137" s="50">
        <f t="shared" si="17"/>
        <v>2715567.0760839395</v>
      </c>
      <c r="N137" s="50">
        <f t="shared" si="17"/>
        <v>2851345.4298881367</v>
      </c>
      <c r="O137" s="50">
        <f t="shared" si="17"/>
        <v>2993912.7013825439</v>
      </c>
      <c r="P137" s="50">
        <f t="shared" si="17"/>
        <v>3143608.3364516711</v>
      </c>
      <c r="Q137" s="50">
        <f t="shared" si="17"/>
        <v>3300788.7532742545</v>
      </c>
      <c r="R137" s="50">
        <f t="shared" si="17"/>
        <v>3465828.190937967</v>
      </c>
      <c r="S137" s="50">
        <f t="shared" si="17"/>
        <v>3639119.6004848657</v>
      </c>
      <c r="T137" s="50">
        <f t="shared" si="17"/>
        <v>3821075.580509109</v>
      </c>
      <c r="U137" s="50">
        <f t="shared" si="17"/>
        <v>4012129.3595345644</v>
      </c>
      <c r="V137" s="56">
        <f t="shared" si="7"/>
        <v>52499999.99999997</v>
      </c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 spans="1:34">
      <c r="A138" s="55" t="s">
        <v>35</v>
      </c>
      <c r="B138" s="50">
        <f>TotalDebtCost-DebtPrincipalPaid1</f>
        <v>50912264.172488704</v>
      </c>
      <c r="C138" s="50">
        <f>DebtPrincipalRemaining1-DebtPrincipalPaid2</f>
        <v>49245141.553601846</v>
      </c>
      <c r="D138" s="50">
        <f t="shared" ref="D138:K138" si="18">C138-D137</f>
        <v>47494662.803770646</v>
      </c>
      <c r="E138" s="50">
        <f t="shared" si="18"/>
        <v>45656660.116447888</v>
      </c>
      <c r="F138" s="50">
        <f>E138-F137</f>
        <v>43726757.29475899</v>
      </c>
      <c r="G138" s="50">
        <f>F138-G137</f>
        <v>41700359.331985645</v>
      </c>
      <c r="H138" s="50">
        <f>G138-H137</f>
        <v>39572641.471073635</v>
      </c>
      <c r="I138" s="50">
        <f>H138-I137</f>
        <v>37338537.717116021</v>
      </c>
      <c r="J138" s="50">
        <f t="shared" si="18"/>
        <v>34992728.775460526</v>
      </c>
      <c r="K138" s="50">
        <f t="shared" si="18"/>
        <v>32529629.386722259</v>
      </c>
      <c r="L138" s="50">
        <f>K138-L137</f>
        <v>29943375.028547078</v>
      </c>
      <c r="M138" s="50">
        <f t="shared" ref="M138:U138" si="19">L138-M137</f>
        <v>27227807.952463139</v>
      </c>
      <c r="N138" s="50">
        <f t="shared" si="19"/>
        <v>24376462.522575002</v>
      </c>
      <c r="O138" s="50">
        <f t="shared" si="19"/>
        <v>21382549.821192458</v>
      </c>
      <c r="P138" s="50">
        <f t="shared" si="19"/>
        <v>18238941.484740786</v>
      </c>
      <c r="Q138" s="50">
        <f t="shared" si="19"/>
        <v>14938152.731466532</v>
      </c>
      <c r="R138" s="50">
        <f t="shared" si="19"/>
        <v>11472324.540528566</v>
      </c>
      <c r="S138" s="50">
        <f t="shared" si="19"/>
        <v>7833204.9400436999</v>
      </c>
      <c r="T138" s="50">
        <f t="shared" si="19"/>
        <v>4012129.359534591</v>
      </c>
      <c r="U138" s="50">
        <f t="shared" si="19"/>
        <v>2.6542693376541138E-8</v>
      </c>
      <c r="V138" s="63" t="s">
        <v>142</v>
      </c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 spans="1:34">
      <c r="A139" s="55" t="s">
        <v>36</v>
      </c>
      <c r="B139" s="50">
        <f>AnnualFuelConsumption*FuelCost</f>
        <v>3970493.0674978513</v>
      </c>
      <c r="C139" s="50">
        <f>FuelCost1*(1+EscalationFuel/100)^(Year-1)</f>
        <v>4053873.4219153058</v>
      </c>
      <c r="D139" s="50">
        <f t="shared" ref="D139:U139" si="20">$B$139*(1+$B$62/100)^(D130-1)</f>
        <v>4139004.7637755265</v>
      </c>
      <c r="E139" s="50">
        <f t="shared" si="20"/>
        <v>4225923.8638148122</v>
      </c>
      <c r="F139" s="50">
        <f t="shared" si="20"/>
        <v>4314668.2649549227</v>
      </c>
      <c r="G139" s="50">
        <f t="shared" si="20"/>
        <v>4405276.2985189753</v>
      </c>
      <c r="H139" s="50">
        <f t="shared" si="20"/>
        <v>4497787.1007878734</v>
      </c>
      <c r="I139" s="50">
        <f t="shared" si="20"/>
        <v>4592240.6299044183</v>
      </c>
      <c r="J139" s="50">
        <f t="shared" si="20"/>
        <v>4688677.68313241</v>
      </c>
      <c r="K139" s="50">
        <f t="shared" si="20"/>
        <v>4787139.9144781902</v>
      </c>
      <c r="L139" s="50">
        <f t="shared" si="20"/>
        <v>4887669.8526822319</v>
      </c>
      <c r="M139" s="50">
        <f t="shared" si="20"/>
        <v>4990310.9195885584</v>
      </c>
      <c r="N139" s="50">
        <f t="shared" si="20"/>
        <v>5095107.4488999164</v>
      </c>
      <c r="O139" s="50">
        <f t="shared" si="20"/>
        <v>5202104.7053268142</v>
      </c>
      <c r="P139" s="50">
        <f t="shared" si="20"/>
        <v>5311348.9041386778</v>
      </c>
      <c r="Q139" s="50">
        <f t="shared" si="20"/>
        <v>5422887.2311255885</v>
      </c>
      <c r="R139" s="50">
        <f t="shared" si="20"/>
        <v>5536767.8629792258</v>
      </c>
      <c r="S139" s="50">
        <f t="shared" si="20"/>
        <v>5653039.9881017897</v>
      </c>
      <c r="T139" s="50">
        <f t="shared" si="20"/>
        <v>5771753.827851925</v>
      </c>
      <c r="U139" s="50">
        <f t="shared" si="20"/>
        <v>5892960.6582368156</v>
      </c>
      <c r="V139" s="56">
        <f t="shared" si="7"/>
        <v>97439036.407711834</v>
      </c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 spans="1:34">
      <c r="A140" s="55" t="s">
        <v>37</v>
      </c>
      <c r="B140" s="50">
        <f>TotalNonFuelExpenses</f>
        <v>5800000</v>
      </c>
      <c r="C140" s="50">
        <f>NonFuelExpenses1*(1+EscalationOther/100)^(Year-1)</f>
        <v>5921799.9999999991</v>
      </c>
      <c r="D140" s="50">
        <f t="shared" ref="D140:U140" si="21">$B$140*(1+$B$64/100)^(D130-1)</f>
        <v>6046157.7999999989</v>
      </c>
      <c r="E140" s="50">
        <f t="shared" si="21"/>
        <v>6173127.1137999985</v>
      </c>
      <c r="F140" s="50">
        <f t="shared" si="21"/>
        <v>6302762.7831897968</v>
      </c>
      <c r="G140" s="50">
        <f t="shared" si="21"/>
        <v>6435120.8016367815</v>
      </c>
      <c r="H140" s="50">
        <f t="shared" si="21"/>
        <v>6570258.3384711538</v>
      </c>
      <c r="I140" s="50">
        <f t="shared" si="21"/>
        <v>6708233.7635790473</v>
      </c>
      <c r="J140" s="50">
        <f t="shared" si="21"/>
        <v>6849106.6726142056</v>
      </c>
      <c r="K140" s="50">
        <f t="shared" si="21"/>
        <v>6992937.9127391027</v>
      </c>
      <c r="L140" s="50">
        <f t="shared" si="21"/>
        <v>7139789.608906623</v>
      </c>
      <c r="M140" s="50">
        <f t="shared" si="21"/>
        <v>7289725.1906936625</v>
      </c>
      <c r="N140" s="50">
        <f t="shared" si="21"/>
        <v>7442809.4196982272</v>
      </c>
      <c r="O140" s="50">
        <f t="shared" si="21"/>
        <v>7599108.4175118888</v>
      </c>
      <c r="P140" s="50">
        <f t="shared" si="21"/>
        <v>7758689.6942796391</v>
      </c>
      <c r="Q140" s="50">
        <f t="shared" si="21"/>
        <v>7921622.1778595094</v>
      </c>
      <c r="R140" s="50">
        <f t="shared" si="21"/>
        <v>8087976.2435945589</v>
      </c>
      <c r="S140" s="50">
        <f t="shared" si="21"/>
        <v>8257823.7447100449</v>
      </c>
      <c r="T140" s="50">
        <f t="shared" si="21"/>
        <v>8431238.0433489531</v>
      </c>
      <c r="U140" s="50">
        <f t="shared" si="21"/>
        <v>8608294.0422592815</v>
      </c>
      <c r="V140" s="56">
        <f t="shared" si="7"/>
        <v>142336581.76889247</v>
      </c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 spans="1:34">
      <c r="A141" s="55" t="s">
        <v>38</v>
      </c>
      <c r="B141" s="50">
        <f>DebtReserve</f>
        <v>4212735.8275112938</v>
      </c>
      <c r="C141" s="50">
        <v>0</v>
      </c>
      <c r="D141" s="50">
        <v>0</v>
      </c>
      <c r="E141" s="50">
        <v>0</v>
      </c>
      <c r="F141" s="50">
        <v>0</v>
      </c>
      <c r="G141" s="50">
        <v>0</v>
      </c>
      <c r="H141" s="50">
        <v>0</v>
      </c>
      <c r="I141" s="50">
        <v>0</v>
      </c>
      <c r="J141" s="50">
        <v>0</v>
      </c>
      <c r="K141" s="50">
        <v>0</v>
      </c>
      <c r="L141" s="50">
        <v>0</v>
      </c>
      <c r="M141" s="50">
        <v>0</v>
      </c>
      <c r="N141" s="50">
        <v>0</v>
      </c>
      <c r="O141" s="50">
        <v>0</v>
      </c>
      <c r="P141" s="50">
        <v>0</v>
      </c>
      <c r="Q141" s="50">
        <v>0</v>
      </c>
      <c r="R141" s="50">
        <v>0</v>
      </c>
      <c r="S141" s="50">
        <v>0</v>
      </c>
      <c r="T141" s="50">
        <v>0</v>
      </c>
      <c r="U141" s="50">
        <f>-B141</f>
        <v>-4212735.8275112938</v>
      </c>
      <c r="V141" s="56">
        <f t="shared" si="7"/>
        <v>0</v>
      </c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 spans="1:34">
      <c r="A142" s="55" t="s">
        <v>39</v>
      </c>
      <c r="B142" s="118">
        <f>TotalCostOfPlant*DepreciationFraction</f>
        <v>3500000</v>
      </c>
      <c r="C142" s="118">
        <f>$B$73*$B86</f>
        <v>3500000</v>
      </c>
      <c r="D142" s="118">
        <f>$B$73*$B87</f>
        <v>3500000</v>
      </c>
      <c r="E142" s="118">
        <f>$B$73*$B88</f>
        <v>3500000</v>
      </c>
      <c r="F142" s="118">
        <f>$B$73*$B89</f>
        <v>3500000</v>
      </c>
      <c r="G142" s="118">
        <f>$B$73*$B90</f>
        <v>3500000</v>
      </c>
      <c r="H142" s="118">
        <f>$B$73*$B91</f>
        <v>3500000</v>
      </c>
      <c r="I142" s="118">
        <f>$B$73*$B92</f>
        <v>3500000</v>
      </c>
      <c r="J142" s="118">
        <f>$B$73*$B93</f>
        <v>3500000</v>
      </c>
      <c r="K142" s="118">
        <f>$B$73*$B94</f>
        <v>3500000</v>
      </c>
      <c r="L142" s="118">
        <f>$B$73*$B95</f>
        <v>3500000</v>
      </c>
      <c r="M142" s="118">
        <f>$B$73*$B96</f>
        <v>3500000</v>
      </c>
      <c r="N142" s="118">
        <f>$B$73*$B97</f>
        <v>3500000</v>
      </c>
      <c r="O142" s="118">
        <f>$B$73*$B98</f>
        <v>3500000</v>
      </c>
      <c r="P142" s="118">
        <f>$B$73*$B99</f>
        <v>3500000</v>
      </c>
      <c r="Q142" s="118">
        <f>$B$73*$B100</f>
        <v>3500000</v>
      </c>
      <c r="R142" s="118">
        <f>$B$73*$B101</f>
        <v>3500000</v>
      </c>
      <c r="S142" s="118">
        <f>$B$73*$B102</f>
        <v>3500000</v>
      </c>
      <c r="T142" s="118">
        <f>$B$73*$B103</f>
        <v>3500000</v>
      </c>
      <c r="U142" s="118">
        <f>$B$73*$B104</f>
        <v>3500000</v>
      </c>
      <c r="V142" s="56">
        <f t="shared" si="7"/>
        <v>70000000</v>
      </c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 spans="1:34">
      <c r="A143" s="55" t="s">
        <v>196</v>
      </c>
      <c r="B143" s="118">
        <f>AnnualCapacityPayment</f>
        <v>4150000</v>
      </c>
      <c r="C143" s="118">
        <f t="shared" ref="C143:U143" si="22">$B$57</f>
        <v>4150000</v>
      </c>
      <c r="D143" s="118">
        <f t="shared" si="22"/>
        <v>4150000</v>
      </c>
      <c r="E143" s="118">
        <f t="shared" si="22"/>
        <v>4150000</v>
      </c>
      <c r="F143" s="118">
        <f t="shared" si="22"/>
        <v>4150000</v>
      </c>
      <c r="G143" s="118">
        <f t="shared" si="22"/>
        <v>4150000</v>
      </c>
      <c r="H143" s="118">
        <f t="shared" si="22"/>
        <v>4150000</v>
      </c>
      <c r="I143" s="118">
        <f t="shared" si="22"/>
        <v>4150000</v>
      </c>
      <c r="J143" s="118">
        <f t="shared" si="22"/>
        <v>4150000</v>
      </c>
      <c r="K143" s="118">
        <f t="shared" si="22"/>
        <v>4150000</v>
      </c>
      <c r="L143" s="118">
        <f t="shared" si="22"/>
        <v>4150000</v>
      </c>
      <c r="M143" s="118">
        <f t="shared" si="22"/>
        <v>4150000</v>
      </c>
      <c r="N143" s="118">
        <f t="shared" si="22"/>
        <v>4150000</v>
      </c>
      <c r="O143" s="118">
        <f t="shared" si="22"/>
        <v>4150000</v>
      </c>
      <c r="P143" s="118">
        <f t="shared" si="22"/>
        <v>4150000</v>
      </c>
      <c r="Q143" s="118">
        <f t="shared" si="22"/>
        <v>4150000</v>
      </c>
      <c r="R143" s="118">
        <f t="shared" si="22"/>
        <v>4150000</v>
      </c>
      <c r="S143" s="118">
        <f t="shared" si="22"/>
        <v>4150000</v>
      </c>
      <c r="T143" s="118">
        <f t="shared" si="22"/>
        <v>4150000</v>
      </c>
      <c r="U143" s="118">
        <f t="shared" si="22"/>
        <v>4150000</v>
      </c>
      <c r="V143" s="56">
        <f t="shared" si="7"/>
        <v>83000000</v>
      </c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 spans="1:34">
      <c r="A144" s="55" t="s">
        <v>40</v>
      </c>
      <c r="B144" s="118">
        <f>AnnualDebtReserveInterest</f>
        <v>210636.7913755647</v>
      </c>
      <c r="C144" s="118">
        <f t="shared" ref="C144:U144" si="23">$B$58</f>
        <v>210636.7913755647</v>
      </c>
      <c r="D144" s="118">
        <f t="shared" si="23"/>
        <v>210636.7913755647</v>
      </c>
      <c r="E144" s="118">
        <f t="shared" si="23"/>
        <v>210636.7913755647</v>
      </c>
      <c r="F144" s="118">
        <f t="shared" si="23"/>
        <v>210636.7913755647</v>
      </c>
      <c r="G144" s="118">
        <f t="shared" si="23"/>
        <v>210636.7913755647</v>
      </c>
      <c r="H144" s="118">
        <f t="shared" si="23"/>
        <v>210636.7913755647</v>
      </c>
      <c r="I144" s="118">
        <f t="shared" si="23"/>
        <v>210636.7913755647</v>
      </c>
      <c r="J144" s="118">
        <f t="shared" si="23"/>
        <v>210636.7913755647</v>
      </c>
      <c r="K144" s="118">
        <f t="shared" si="23"/>
        <v>210636.7913755647</v>
      </c>
      <c r="L144" s="118">
        <f t="shared" si="23"/>
        <v>210636.7913755647</v>
      </c>
      <c r="M144" s="118">
        <f t="shared" si="23"/>
        <v>210636.7913755647</v>
      </c>
      <c r="N144" s="118">
        <f t="shared" si="23"/>
        <v>210636.7913755647</v>
      </c>
      <c r="O144" s="118">
        <f t="shared" si="23"/>
        <v>210636.7913755647</v>
      </c>
      <c r="P144" s="118">
        <f t="shared" si="23"/>
        <v>210636.7913755647</v>
      </c>
      <c r="Q144" s="118">
        <f t="shared" si="23"/>
        <v>210636.7913755647</v>
      </c>
      <c r="R144" s="118">
        <f t="shared" si="23"/>
        <v>210636.7913755647</v>
      </c>
      <c r="S144" s="118">
        <f t="shared" si="23"/>
        <v>210636.7913755647</v>
      </c>
      <c r="T144" s="118">
        <f t="shared" si="23"/>
        <v>210636.7913755647</v>
      </c>
      <c r="U144" s="118">
        <f t="shared" si="23"/>
        <v>210636.7913755647</v>
      </c>
      <c r="V144" s="56">
        <f t="shared" si="7"/>
        <v>4212735.8275112957</v>
      </c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 spans="1:35">
      <c r="A145" s="55" t="s">
        <v>133</v>
      </c>
      <c r="B145" s="50">
        <f>((CombinedTaxRate/100)/(1-CombinedTaxRate/100))*(EquityPrincipalPaid1+DebtPrincipalPaid1+EquityInterest1-Depreciation+DebtReserve1)</f>
        <v>3445364.9002245506</v>
      </c>
      <c r="C145" s="50">
        <f>((CombinedTaxRate/100)/(1-CombinedTaxRate/100))*(EquityPrincipalPaid2+DebtPrincipalPaid2+EquityInterest2-Depreciation+DebtReserve2)</f>
        <v>651003.698803748</v>
      </c>
      <c r="D145" s="50">
        <f t="shared" ref="D145:U145" si="24">(($B$52/100)/(1-$B$52/100))*(D$133+D$137+D$132-D$142+D$141)</f>
        <v>707356.82460441557</v>
      </c>
      <c r="E145" s="50">
        <f t="shared" si="24"/>
        <v>766527.60669511638</v>
      </c>
      <c r="F145" s="50">
        <f t="shared" si="24"/>
        <v>828656.92789035209</v>
      </c>
      <c r="G145" s="50">
        <f t="shared" si="24"/>
        <v>893892.7151453488</v>
      </c>
      <c r="H145" s="50">
        <f t="shared" si="24"/>
        <v>962390.29176309693</v>
      </c>
      <c r="I145" s="50">
        <f t="shared" si="24"/>
        <v>1034312.7472117316</v>
      </c>
      <c r="J145" s="50">
        <f t="shared" si="24"/>
        <v>1109831.3254327977</v>
      </c>
      <c r="K145" s="50">
        <f t="shared" si="24"/>
        <v>1189125.8325649176</v>
      </c>
      <c r="L145" s="50">
        <f t="shared" si="24"/>
        <v>1272385.0650536437</v>
      </c>
      <c r="M145" s="50">
        <f t="shared" si="24"/>
        <v>1359807.2591668055</v>
      </c>
      <c r="N145" s="50">
        <f t="shared" si="24"/>
        <v>1451600.5629856258</v>
      </c>
      <c r="O145" s="50">
        <f t="shared" si="24"/>
        <v>1547983.5319953873</v>
      </c>
      <c r="P145" s="50">
        <f t="shared" si="24"/>
        <v>1649185.6494556365</v>
      </c>
      <c r="Q145" s="50">
        <f t="shared" si="24"/>
        <v>1755447.8727888982</v>
      </c>
      <c r="R145" s="50">
        <f t="shared" si="24"/>
        <v>1867023.2072888229</v>
      </c>
      <c r="S145" s="50">
        <f t="shared" si="24"/>
        <v>1984177.3085137443</v>
      </c>
      <c r="T145" s="50">
        <f t="shared" si="24"/>
        <v>2107189.1147999116</v>
      </c>
      <c r="U145" s="50">
        <f t="shared" si="24"/>
        <v>-611679.33364009857</v>
      </c>
      <c r="V145" s="56">
        <f t="shared" si="7"/>
        <v>25971583.108744457</v>
      </c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 spans="1:35">
      <c r="A146" s="55" t="s">
        <v>132</v>
      </c>
      <c r="B146" s="50">
        <f>AnnualGeneration*ProductionTaxCredit*TaxCreditFrac1</f>
        <v>1675349.9999999998</v>
      </c>
      <c r="C146" s="50">
        <f>AnnualGeneration*ProductionTaxCredit*((1+EscalationProductionTaxCredit/100)^(Year-1))*TaxCreditFrac2</f>
        <v>1710532.3499999996</v>
      </c>
      <c r="D146" s="50">
        <f>$B$31*$B$51*((1+$B$63/100)^(D130-1))*$B110</f>
        <v>1746453.5293499993</v>
      </c>
      <c r="E146" s="50">
        <f>$B$31*$B$51*((1+$B$63/100)^(E130-1))*$B111</f>
        <v>1783129.0534663491</v>
      </c>
      <c r="F146" s="50">
        <f>$B$31*$B$51*((1+$B$63/100)^(F130-1))*$B112</f>
        <v>1820574.7635891421</v>
      </c>
      <c r="G146" s="50">
        <f>$B$31*$B$51*((1+$B$63/100)^(G130-1))*$B113</f>
        <v>0</v>
      </c>
      <c r="H146" s="50">
        <f>$B$31*$B$51*((1+$B$63/100)^(H130-1))*$B114</f>
        <v>0</v>
      </c>
      <c r="I146" s="50">
        <f>$B$31*$B$51*((1+$B$63/100)^(I130-1))*$B115</f>
        <v>0</v>
      </c>
      <c r="J146" s="50">
        <f>$B$31*$B$51*((1+$B$63/100)^(J130-1))*$B116</f>
        <v>0</v>
      </c>
      <c r="K146" s="50">
        <f>$B$31*$B$51*((1+$B$63/100)^(K130-1))*$B117</f>
        <v>0</v>
      </c>
      <c r="L146" s="50">
        <f>$B$31*$B$51*((1+$B$63/100)^(L130-1))*$B118</f>
        <v>0</v>
      </c>
      <c r="M146" s="50">
        <f>$B$31*$B$51*((1+$B$63/100)^(M130-1))*$B119</f>
        <v>0</v>
      </c>
      <c r="N146" s="50">
        <f>$B$31*$B$51*((1+$B$63/100)^(N130-1))*$B120</f>
        <v>0</v>
      </c>
      <c r="O146" s="50">
        <f>$B$31*$B$51*((1+$B$63/100)^(O130-1))*$B121</f>
        <v>0</v>
      </c>
      <c r="P146" s="50">
        <f>$B$31*$B$51*((1+$B$63/100)^(P130-1))*$B122</f>
        <v>0</v>
      </c>
      <c r="Q146" s="50">
        <f>$B$31*$B$51*((1+$B$63/100)^(Q130-1))*$B123</f>
        <v>0</v>
      </c>
      <c r="R146" s="50">
        <f>$B$31*$B$51*((1+$B$63/100)^(R130-1))*$B124</f>
        <v>0</v>
      </c>
      <c r="S146" s="50">
        <f>$B$31*$B$51*((1+$B$63/100)^(S130-1))*$B125</f>
        <v>0</v>
      </c>
      <c r="T146" s="50">
        <f>$B$31*$B$51*((1+$B$63/100)^(T130-1))*$B126</f>
        <v>0</v>
      </c>
      <c r="U146" s="50">
        <f>$B$31*$B$51*((1+$B$63/100)^(U130-1))*$B127</f>
        <v>0</v>
      </c>
      <c r="V146" s="56">
        <f t="shared" si="7"/>
        <v>8736039.6964054909</v>
      </c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 spans="1:35">
      <c r="A147" s="55" t="s">
        <v>41</v>
      </c>
      <c r="B147" s="50">
        <f>((CombinedTaxRate/100)/(1-CombinedTaxRate/100))*(EquityPrincipalPaid1+DebtPrincipalPaid1+EquityInterest1-Depreciation+DebtReserve1-TaxCredit1)</f>
        <v>2312740.2421392729</v>
      </c>
      <c r="C147" s="50">
        <f>((CombinedTaxRate/100)/(1-CombinedTaxRate/100))*(EquityPrincipalPaid2+DebtPrincipalPaid2+EquityInterest2-Depreciation+DebtReserve2-TaxCredit2)</f>
        <v>-505406.07710131997</v>
      </c>
      <c r="D147" s="50">
        <f t="shared" ref="D147:U147" si="25">(($B$52/100)/(1-$B$52/100))*(D$133+D$137+D$132-D$142+D$141-D$146)</f>
        <v>-473337.55659465858</v>
      </c>
      <c r="E147" s="50">
        <f t="shared" si="25"/>
        <v>-438961.35650913819</v>
      </c>
      <c r="F147" s="50">
        <f t="shared" si="25"/>
        <v>-402147.30354119168</v>
      </c>
      <c r="G147" s="50">
        <f t="shared" si="25"/>
        <v>893892.7151453488</v>
      </c>
      <c r="H147" s="50">
        <f t="shared" si="25"/>
        <v>962390.29176309693</v>
      </c>
      <c r="I147" s="50">
        <f t="shared" si="25"/>
        <v>1034312.7472117316</v>
      </c>
      <c r="J147" s="50">
        <f t="shared" si="25"/>
        <v>1109831.3254327977</v>
      </c>
      <c r="K147" s="50">
        <f t="shared" si="25"/>
        <v>1189125.8325649176</v>
      </c>
      <c r="L147" s="50">
        <f t="shared" si="25"/>
        <v>1272385.0650536437</v>
      </c>
      <c r="M147" s="50">
        <f t="shared" si="25"/>
        <v>1359807.2591668055</v>
      </c>
      <c r="N147" s="50">
        <f t="shared" si="25"/>
        <v>1451600.5629856258</v>
      </c>
      <c r="O147" s="50">
        <f t="shared" si="25"/>
        <v>1547983.5319953873</v>
      </c>
      <c r="P147" s="50">
        <f t="shared" si="25"/>
        <v>1649185.6494556365</v>
      </c>
      <c r="Q147" s="50">
        <f t="shared" si="25"/>
        <v>1755447.8727888982</v>
      </c>
      <c r="R147" s="50">
        <f t="shared" si="25"/>
        <v>1867023.2072888229</v>
      </c>
      <c r="S147" s="50">
        <f t="shared" si="25"/>
        <v>1984177.3085137443</v>
      </c>
      <c r="T147" s="50">
        <f t="shared" si="25"/>
        <v>2107189.1147999116</v>
      </c>
      <c r="U147" s="50">
        <f t="shared" si="25"/>
        <v>-611679.33364009857</v>
      </c>
      <c r="V147" s="56">
        <f t="shared" si="7"/>
        <v>20065561.098919235</v>
      </c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 spans="1:35">
      <c r="A148" s="123" t="s">
        <v>42</v>
      </c>
      <c r="B148" s="51">
        <f>EquityRecovery+DebtRecovery+FuelCost1+NonFuelExpenses1+Taxes1+DebtReserve1-CapacityIncome-InterestOnDebtReserve</f>
        <v>18943893.905384663</v>
      </c>
      <c r="C148" s="51">
        <f>EquityRecovery+DebtRecovery+FuelCost2+NonFuelExpenses2+Taxes2+DebtReserve2-CapacityIncome-InterestOnDebtReserve</f>
        <v>12118192.113050232</v>
      </c>
      <c r="D148" s="51">
        <f t="shared" ref="D148:U148" si="26">D131+D135+D139+D140+D147+D141-D143-D144</f>
        <v>12359749.775417114</v>
      </c>
      <c r="E148" s="51">
        <f t="shared" si="26"/>
        <v>12608014.389341922</v>
      </c>
      <c r="F148" s="51">
        <f t="shared" si="26"/>
        <v>12863208.512839777</v>
      </c>
      <c r="G148" s="51">
        <f t="shared" si="26"/>
        <v>14382214.583537353</v>
      </c>
      <c r="H148" s="51">
        <f t="shared" si="26"/>
        <v>14678360.499258375</v>
      </c>
      <c r="I148" s="51">
        <f t="shared" si="26"/>
        <v>14982711.908931447</v>
      </c>
      <c r="J148" s="51">
        <f t="shared" si="26"/>
        <v>15295540.44941566</v>
      </c>
      <c r="K148" s="51">
        <f t="shared" si="26"/>
        <v>15617128.428018456</v>
      </c>
      <c r="L148" s="51">
        <f t="shared" si="26"/>
        <v>15947769.294878749</v>
      </c>
      <c r="M148" s="51">
        <f t="shared" si="26"/>
        <v>16287768.137685275</v>
      </c>
      <c r="N148" s="51">
        <f t="shared" si="26"/>
        <v>16637442.199820017</v>
      </c>
      <c r="O148" s="51">
        <f t="shared" si="26"/>
        <v>16997121.423070334</v>
      </c>
      <c r="P148" s="51">
        <f t="shared" si="26"/>
        <v>17367149.0161102</v>
      </c>
      <c r="Q148" s="51">
        <f t="shared" si="26"/>
        <v>17747882.050010245</v>
      </c>
      <c r="R148" s="51">
        <f t="shared" si="26"/>
        <v>18139692.082098853</v>
      </c>
      <c r="S148" s="51">
        <f t="shared" si="26"/>
        <v>18542965.809561826</v>
      </c>
      <c r="T148" s="51">
        <f t="shared" si="26"/>
        <v>18958105.754237037</v>
      </c>
      <c r="U148" s="51">
        <f t="shared" si="26"/>
        <v>12324764.307580955</v>
      </c>
      <c r="V148" s="57">
        <f t="shared" si="7"/>
        <v>312799674.64024848</v>
      </c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 spans="1:35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spans="1:35">
      <c r="A150" s="18" t="s">
        <v>69</v>
      </c>
      <c r="B150" s="9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 spans="1:35">
      <c r="A151" s="40" t="s">
        <v>43</v>
      </c>
      <c r="B151" s="58">
        <f>CostOfEquity/100</f>
        <v>0.15</v>
      </c>
      <c r="C151" s="60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6"/>
      <c r="Y151" s="7"/>
      <c r="Z151" s="4"/>
      <c r="AA151" s="4"/>
      <c r="AB151" s="4"/>
      <c r="AC151" s="4"/>
      <c r="AD151" s="4"/>
      <c r="AE151" s="4"/>
      <c r="AF151" s="4"/>
      <c r="AG151" s="4"/>
      <c r="AH151" s="4"/>
    </row>
    <row r="152" spans="1:35">
      <c r="A152" s="40" t="s">
        <v>44</v>
      </c>
      <c r="B152" s="59">
        <f>EnergyRevenueRequired1*(1+CostOfEquity/100)^-B130</f>
        <v>16472951.222073622</v>
      </c>
      <c r="C152" s="24">
        <f t="shared" ref="C152:U152" si="27">C148*(1+$B$151)^-C130</f>
        <v>9163094.2253687959</v>
      </c>
      <c r="D152" s="24">
        <f t="shared" si="27"/>
        <v>8126736.1061343746</v>
      </c>
      <c r="E152" s="24">
        <f t="shared" si="27"/>
        <v>7208673.1475899117</v>
      </c>
      <c r="F152" s="24">
        <f t="shared" si="27"/>
        <v>6395288.0138748512</v>
      </c>
      <c r="G152" s="24">
        <f t="shared" si="27"/>
        <v>6217828.2547848308</v>
      </c>
      <c r="H152" s="24">
        <f t="shared" si="27"/>
        <v>5518139.3970152419</v>
      </c>
      <c r="I152" s="24">
        <f t="shared" si="27"/>
        <v>4897875.1000557886</v>
      </c>
      <c r="J152" s="24">
        <f t="shared" si="27"/>
        <v>4347947.2216085102</v>
      </c>
      <c r="K152" s="24">
        <f t="shared" si="27"/>
        <v>3860315.3009471791</v>
      </c>
      <c r="L152" s="24">
        <f t="shared" si="27"/>
        <v>3427864.9273512345</v>
      </c>
      <c r="M152" s="24">
        <f t="shared" si="27"/>
        <v>3044300.3255159361</v>
      </c>
      <c r="N152" s="24">
        <f t="shared" si="27"/>
        <v>2704049.4851858579</v>
      </c>
      <c r="O152" s="24">
        <f t="shared" si="27"/>
        <v>2402180.3603499485</v>
      </c>
      <c r="P152" s="24">
        <f t="shared" si="27"/>
        <v>2134326.8378192293</v>
      </c>
      <c r="Q152" s="24">
        <f t="shared" si="27"/>
        <v>1896623.3287139493</v>
      </c>
      <c r="R152" s="24">
        <f t="shared" si="27"/>
        <v>1685646.9718055634</v>
      </c>
      <c r="S152" s="24">
        <f t="shared" si="27"/>
        <v>1498366.5569795398</v>
      </c>
      <c r="T152" s="24">
        <f t="shared" si="27"/>
        <v>1332097.3822336481</v>
      </c>
      <c r="U152" s="59">
        <f t="shared" si="27"/>
        <v>753046.53706977039</v>
      </c>
      <c r="V152" s="55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 spans="1:35">
      <c r="A153" s="40" t="s">
        <v>45</v>
      </c>
      <c r="B153" s="59">
        <f>SUM(B152:U152)</f>
        <v>93087350.702477798</v>
      </c>
      <c r="C153" s="49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5"/>
    </row>
    <row r="154" spans="1:35">
      <c r="A154" s="40" t="s">
        <v>46</v>
      </c>
      <c r="B154" s="58">
        <f>B151*(1+B151)^EconomicLife/((1+B151)^EconomicLife-1)</f>
        <v>0.1597614704057439</v>
      </c>
      <c r="C154" s="49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5"/>
    </row>
    <row r="155" spans="1:35" ht="12.75" thickBot="1">
      <c r="A155" s="46" t="s">
        <v>72</v>
      </c>
      <c r="B155" s="60">
        <f>TotalPresentWorth*CapitalRecoveryFactorCurrent</f>
        <v>14871772.02440301</v>
      </c>
      <c r="C155" s="49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6">
        <f>EconomicLife*CurrentLevelAnnualRevenueRequirements</f>
        <v>297435440.48806018</v>
      </c>
      <c r="Z155" s="4"/>
      <c r="AA155" s="4"/>
      <c r="AB155" s="4"/>
      <c r="AC155" s="4"/>
      <c r="AD155" s="4"/>
      <c r="AE155" s="4"/>
      <c r="AF155" s="4"/>
      <c r="AG155" s="4"/>
      <c r="AH155" s="4"/>
      <c r="AI155" s="4"/>
    </row>
    <row r="156" spans="1:35" ht="12.75" thickBot="1">
      <c r="A156" s="71" t="s">
        <v>73</v>
      </c>
      <c r="B156" s="72">
        <f>CurrentLevelAnnualRevenueRequirements/AnnualGeneration</f>
        <v>7.9891335076030134E-2</v>
      </c>
      <c r="C156" s="62"/>
      <c r="D156" s="62"/>
      <c r="E156" s="62"/>
      <c r="F156" s="51"/>
      <c r="G156" s="51"/>
      <c r="H156" s="51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57">
        <f>CurrentLACofEnergy*AnnualGeneration*EconomicLife</f>
        <v>297435440.48806018</v>
      </c>
      <c r="Z156" s="4"/>
      <c r="AA156" s="4"/>
      <c r="AB156" s="4"/>
      <c r="AC156" s="4"/>
      <c r="AD156" s="4"/>
      <c r="AE156" s="4"/>
      <c r="AF156" s="4"/>
      <c r="AG156" s="4"/>
      <c r="AH156" s="4"/>
      <c r="AI156" s="4"/>
    </row>
    <row r="157" spans="1:35" s="25" customFormat="1">
      <c r="B157" s="26"/>
      <c r="F157" s="27"/>
      <c r="G157" s="27"/>
      <c r="H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</row>
    <row r="158" spans="1:35">
      <c r="A158" s="18" t="s">
        <v>70</v>
      </c>
      <c r="B158" s="20"/>
      <c r="F158" s="4"/>
      <c r="G158" s="4"/>
      <c r="H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</row>
    <row r="159" spans="1:35">
      <c r="A159" s="40" t="s">
        <v>86</v>
      </c>
      <c r="B159" s="43">
        <f>(1+CostOfEquity/100)/(1+GeneralInflation/100)-1</f>
        <v>0.12634671890303628</v>
      </c>
      <c r="D159" s="4"/>
      <c r="F159" s="4"/>
      <c r="G159" s="4"/>
      <c r="H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</row>
    <row r="160" spans="1:35">
      <c r="A160" s="40" t="s">
        <v>47</v>
      </c>
      <c r="B160" s="43">
        <f>B159*(1+B159)^B70/((1+B159)^B70-1)</f>
        <v>0.13923864551402346</v>
      </c>
      <c r="F160" s="4"/>
      <c r="G160" s="4"/>
      <c r="H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</row>
    <row r="161" spans="1:57" ht="12.75" thickBot="1">
      <c r="A161" s="46" t="s">
        <v>71</v>
      </c>
      <c r="B161" s="47">
        <f>TotalPresentWorth*CapitalRecoveryFactorConstant</f>
        <v>12961356.626301888</v>
      </c>
      <c r="F161" s="4"/>
      <c r="G161" s="4"/>
      <c r="H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</row>
    <row r="162" spans="1:57" ht="12.75" thickBot="1">
      <c r="A162" s="71" t="s">
        <v>74</v>
      </c>
      <c r="B162" s="72">
        <f>ConstantLevelAnnualRevenueRequirements/AnnualGeneration</f>
        <v>6.9628560979327903E-2</v>
      </c>
      <c r="F162" s="4"/>
      <c r="G162" s="4"/>
      <c r="H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 spans="1:57">
      <c r="F163" s="4"/>
      <c r="G163" s="4"/>
      <c r="H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</row>
    <row r="164" spans="1:57">
      <c r="F164" s="4"/>
      <c r="G164" s="4"/>
      <c r="H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 spans="1:57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 spans="1:57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</row>
    <row r="167" spans="1:57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</row>
    <row r="168" spans="1:57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</row>
    <row r="169" spans="1:57" ht="15">
      <c r="A169" s="89" t="s">
        <v>161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</row>
    <row r="170" spans="1:57">
      <c r="A170" s="10" t="s">
        <v>162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</row>
    <row r="171" spans="1:57" ht="12.75" thickBot="1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Z171" s="4"/>
      <c r="AA171" s="4"/>
      <c r="AB171" s="4"/>
      <c r="AC171" s="4"/>
      <c r="AD171" s="4"/>
      <c r="AE171" s="4"/>
    </row>
    <row r="172" spans="1:57">
      <c r="B172" s="124" t="s">
        <v>163</v>
      </c>
      <c r="C172" s="125"/>
      <c r="D172" s="125"/>
      <c r="E172" s="125"/>
      <c r="F172" s="125"/>
      <c r="G172" s="126"/>
      <c r="I172" s="124" t="s">
        <v>164</v>
      </c>
      <c r="J172" s="125"/>
      <c r="K172" s="125"/>
      <c r="L172" s="125"/>
      <c r="M172" s="125"/>
      <c r="N172" s="126"/>
      <c r="P172" s="124" t="s">
        <v>165</v>
      </c>
      <c r="Q172" s="125"/>
      <c r="R172" s="125"/>
      <c r="S172" s="125"/>
      <c r="T172" s="125"/>
      <c r="U172" s="126"/>
      <c r="W172" s="124" t="s">
        <v>166</v>
      </c>
      <c r="X172" s="125"/>
      <c r="Y172" s="125"/>
      <c r="Z172" s="125"/>
      <c r="AA172" s="125"/>
      <c r="AB172" s="126"/>
      <c r="AD172" s="124" t="s">
        <v>167</v>
      </c>
      <c r="AE172" s="125"/>
      <c r="AF172" s="125"/>
      <c r="AG172" s="125"/>
      <c r="AH172" s="125"/>
      <c r="AI172" s="126"/>
      <c r="AK172" s="124" t="s">
        <v>183</v>
      </c>
      <c r="AL172" s="125"/>
      <c r="AM172" s="125"/>
      <c r="AN172" s="125"/>
      <c r="AO172" s="125"/>
      <c r="AP172" s="126"/>
      <c r="AR172" s="124" t="s">
        <v>168</v>
      </c>
      <c r="AS172" s="125"/>
      <c r="AT172" s="125"/>
      <c r="AU172" s="125"/>
      <c r="AV172" s="125"/>
      <c r="AW172" s="126"/>
    </row>
    <row r="173" spans="1:57" ht="36">
      <c r="A173" s="90"/>
      <c r="B173" s="91" t="s">
        <v>169</v>
      </c>
      <c r="C173" s="92" t="s">
        <v>170</v>
      </c>
      <c r="D173" s="92" t="s">
        <v>163</v>
      </c>
      <c r="E173" s="92" t="s">
        <v>171</v>
      </c>
      <c r="F173" s="92" t="s">
        <v>172</v>
      </c>
      <c r="G173" s="93" t="s">
        <v>173</v>
      </c>
      <c r="I173" s="91" t="s">
        <v>169</v>
      </c>
      <c r="J173" s="92" t="s">
        <v>170</v>
      </c>
      <c r="K173" s="92" t="s">
        <v>164</v>
      </c>
      <c r="L173" s="92" t="s">
        <v>171</v>
      </c>
      <c r="M173" s="92" t="s">
        <v>172</v>
      </c>
      <c r="N173" s="93" t="s">
        <v>173</v>
      </c>
      <c r="P173" s="91" t="s">
        <v>169</v>
      </c>
      <c r="Q173" s="92" t="s">
        <v>170</v>
      </c>
      <c r="R173" s="92" t="s">
        <v>165</v>
      </c>
      <c r="S173" s="92" t="s">
        <v>171</v>
      </c>
      <c r="T173" s="92" t="s">
        <v>172</v>
      </c>
      <c r="U173" s="93" t="s">
        <v>173</v>
      </c>
      <c r="W173" s="91" t="s">
        <v>169</v>
      </c>
      <c r="X173" s="92" t="s">
        <v>170</v>
      </c>
      <c r="Y173" s="92" t="s">
        <v>166</v>
      </c>
      <c r="Z173" s="92" t="s">
        <v>171</v>
      </c>
      <c r="AA173" s="92" t="s">
        <v>172</v>
      </c>
      <c r="AB173" s="93" t="s">
        <v>173</v>
      </c>
      <c r="AD173" s="91" t="s">
        <v>169</v>
      </c>
      <c r="AE173" s="92" t="s">
        <v>170</v>
      </c>
      <c r="AF173" s="92" t="s">
        <v>167</v>
      </c>
      <c r="AG173" s="92" t="s">
        <v>171</v>
      </c>
      <c r="AH173" s="92" t="s">
        <v>172</v>
      </c>
      <c r="AI173" s="93" t="s">
        <v>173</v>
      </c>
      <c r="AK173" s="91" t="s">
        <v>169</v>
      </c>
      <c r="AL173" s="92" t="s">
        <v>170</v>
      </c>
      <c r="AM173" s="92" t="s">
        <v>174</v>
      </c>
      <c r="AN173" s="92" t="s">
        <v>171</v>
      </c>
      <c r="AO173" s="92" t="s">
        <v>172</v>
      </c>
      <c r="AP173" s="93" t="s">
        <v>173</v>
      </c>
      <c r="AR173" s="91" t="s">
        <v>169</v>
      </c>
      <c r="AS173" s="92" t="s">
        <v>170</v>
      </c>
      <c r="AT173" s="92" t="s">
        <v>168</v>
      </c>
      <c r="AU173" s="92" t="s">
        <v>175</v>
      </c>
      <c r="AV173" s="92" t="s">
        <v>176</v>
      </c>
      <c r="AW173" s="93" t="s">
        <v>173</v>
      </c>
    </row>
    <row r="174" spans="1:57">
      <c r="A174" s="90"/>
      <c r="B174" s="91"/>
      <c r="C174" s="92" t="s">
        <v>177</v>
      </c>
      <c r="D174" s="92" t="s">
        <v>178</v>
      </c>
      <c r="E174" s="92" t="s">
        <v>179</v>
      </c>
      <c r="F174" s="92" t="s">
        <v>179</v>
      </c>
      <c r="G174" s="68" t="s">
        <v>177</v>
      </c>
      <c r="I174" s="91"/>
      <c r="J174" s="92" t="s">
        <v>177</v>
      </c>
      <c r="K174" s="92" t="s">
        <v>180</v>
      </c>
      <c r="L174" s="92" t="s">
        <v>179</v>
      </c>
      <c r="M174" s="92" t="s">
        <v>179</v>
      </c>
      <c r="N174" s="68" t="s">
        <v>177</v>
      </c>
      <c r="P174" s="91"/>
      <c r="Q174" s="92" t="s">
        <v>177</v>
      </c>
      <c r="R174" s="92" t="s">
        <v>177</v>
      </c>
      <c r="S174" s="92" t="s">
        <v>179</v>
      </c>
      <c r="T174" s="92" t="s">
        <v>179</v>
      </c>
      <c r="U174" s="68" t="s">
        <v>177</v>
      </c>
      <c r="W174" s="91"/>
      <c r="X174" s="92" t="s">
        <v>177</v>
      </c>
      <c r="Y174" s="92" t="s">
        <v>177</v>
      </c>
      <c r="Z174" s="92" t="s">
        <v>179</v>
      </c>
      <c r="AA174" s="92" t="s">
        <v>179</v>
      </c>
      <c r="AB174" s="68" t="s">
        <v>177</v>
      </c>
      <c r="AD174" s="91"/>
      <c r="AE174" s="92" t="s">
        <v>177</v>
      </c>
      <c r="AF174" s="92" t="s">
        <v>177</v>
      </c>
      <c r="AG174" s="92" t="s">
        <v>179</v>
      </c>
      <c r="AH174" s="92" t="s">
        <v>179</v>
      </c>
      <c r="AI174" s="68" t="s">
        <v>177</v>
      </c>
      <c r="AK174" s="91"/>
      <c r="AL174" s="92" t="s">
        <v>177</v>
      </c>
      <c r="AM174" s="92" t="s">
        <v>177</v>
      </c>
      <c r="AN174" s="92" t="s">
        <v>179</v>
      </c>
      <c r="AO174" s="92" t="s">
        <v>179</v>
      </c>
      <c r="AP174" s="68" t="s">
        <v>177</v>
      </c>
      <c r="AR174" s="91"/>
      <c r="AS174" s="92" t="s">
        <v>177</v>
      </c>
      <c r="AT174" s="92" t="s">
        <v>177</v>
      </c>
      <c r="AU174" s="92" t="s">
        <v>179</v>
      </c>
      <c r="AV174" s="92" t="s">
        <v>179</v>
      </c>
      <c r="AW174" s="68" t="s">
        <v>177</v>
      </c>
    </row>
    <row r="175" spans="1:57" ht="24">
      <c r="A175" s="90"/>
      <c r="B175" s="94" t="s">
        <v>181</v>
      </c>
      <c r="C175" s="95"/>
      <c r="D175" s="95"/>
      <c r="E175" s="96">
        <f>$B$156</f>
        <v>7.9891335076030134E-2</v>
      </c>
      <c r="F175" s="96">
        <f>$B$162</f>
        <v>6.9628560979327903E-2</v>
      </c>
      <c r="G175" s="97"/>
      <c r="I175" s="94" t="s">
        <v>181</v>
      </c>
      <c r="J175" s="95"/>
      <c r="K175" s="95"/>
      <c r="L175" s="96">
        <f>$B$156</f>
        <v>7.9891335076030134E-2</v>
      </c>
      <c r="M175" s="96">
        <f>$B$162</f>
        <v>6.9628560979327903E-2</v>
      </c>
      <c r="N175" s="97"/>
      <c r="P175" s="94" t="s">
        <v>181</v>
      </c>
      <c r="Q175" s="95"/>
      <c r="R175" s="95"/>
      <c r="S175" s="96">
        <f>$B$156</f>
        <v>7.9891335076030134E-2</v>
      </c>
      <c r="T175" s="96">
        <f>$B$162</f>
        <v>6.9628560979327903E-2</v>
      </c>
      <c r="U175" s="97"/>
      <c r="W175" s="94" t="s">
        <v>181</v>
      </c>
      <c r="X175" s="95"/>
      <c r="Y175" s="95"/>
      <c r="Z175" s="96">
        <f>$B$156</f>
        <v>7.9891335076030134E-2</v>
      </c>
      <c r="AA175" s="96">
        <f>$B$162</f>
        <v>6.9628560979327903E-2</v>
      </c>
      <c r="AB175" s="97"/>
      <c r="AD175" s="94" t="s">
        <v>181</v>
      </c>
      <c r="AE175" s="95"/>
      <c r="AF175" s="95"/>
      <c r="AG175" s="96">
        <f>$B$156</f>
        <v>7.9891335076030134E-2</v>
      </c>
      <c r="AH175" s="96">
        <f>$B$162</f>
        <v>6.9628560979327903E-2</v>
      </c>
      <c r="AI175" s="97"/>
      <c r="AK175" s="94" t="s">
        <v>181</v>
      </c>
      <c r="AL175" s="95"/>
      <c r="AM175" s="95"/>
      <c r="AN175" s="96">
        <f>$B$156</f>
        <v>7.9891335076030134E-2</v>
      </c>
      <c r="AO175" s="96">
        <f>$B$162</f>
        <v>6.9628560979327903E-2</v>
      </c>
      <c r="AP175" s="97"/>
      <c r="AR175" s="94" t="s">
        <v>181</v>
      </c>
      <c r="AS175" s="95"/>
      <c r="AT175" s="95"/>
      <c r="AU175" s="96">
        <f>$B$156</f>
        <v>7.9891335076030134E-2</v>
      </c>
      <c r="AV175" s="96">
        <f>$B$162</f>
        <v>6.9628560979327903E-2</v>
      </c>
      <c r="AW175" s="97"/>
    </row>
    <row r="176" spans="1:57">
      <c r="B176" s="98">
        <f t="shared" ref="B176:B183" si="28">B177-1</f>
        <v>-10</v>
      </c>
      <c r="C176" s="99">
        <f>IF(ISERROR((D176-D186)/D186*100),"error",(D176-D186)/D186*100)</f>
        <v>-100</v>
      </c>
      <c r="D176" s="100">
        <v>0</v>
      </c>
      <c r="E176" s="101">
        <f t="dataTable" ref="E176:F196" dt2D="0" dtr="0" r1="B21" ca="1"/>
        <v>3.3312210456474922E-2</v>
      </c>
      <c r="F176" s="101">
        <v>2.9032951757753073E-2</v>
      </c>
      <c r="G176" s="102">
        <f>(F176-F186)/F186*100</f>
        <v>-58.303099547938821</v>
      </c>
      <c r="I176" s="98">
        <f t="shared" ref="I176:I183" si="29">I177-1</f>
        <v>-10</v>
      </c>
      <c r="J176" s="99">
        <f>IF(ISERROR((K176-K$186)/K$186*100),"error",(K176-K$186)/K$186*100)</f>
        <v>-100</v>
      </c>
      <c r="K176" s="103">
        <v>0</v>
      </c>
      <c r="L176" s="101">
        <f t="dataTable" ref="L176:M196" dt2D="0" dtr="0" r1="B37" ca="1"/>
        <v>5.592134144959908E-2</v>
      </c>
      <c r="M176" s="101">
        <v>4.8737732689830379E-2</v>
      </c>
      <c r="N176" s="102">
        <f>(M176-M186)/M186*100</f>
        <v>-30.003245788319283</v>
      </c>
      <c r="P176" s="98">
        <f t="shared" ref="P176:P183" si="30">P177-1</f>
        <v>-10</v>
      </c>
      <c r="Q176" s="99">
        <f t="shared" ref="Q176:Q196" si="31">IF(ISERROR((R176-R$186)/R$186*100),"error",(R176-R$186)/R$186*100)</f>
        <v>-100</v>
      </c>
      <c r="R176" s="21">
        <v>0</v>
      </c>
      <c r="S176" s="101">
        <f t="dataTable" ref="S176:T196" dt2D="0" dtr="0" r1="B67" ca="1"/>
        <v>0.12129297623757074</v>
      </c>
      <c r="T176" s="101">
        <v>0.10571178193836143</v>
      </c>
      <c r="U176" s="102">
        <f>(T176-T186)/T186*100</f>
        <v>51.822442474067962</v>
      </c>
      <c r="W176" s="98">
        <f t="shared" ref="W176:W183" si="32">W177-1</f>
        <v>-10</v>
      </c>
      <c r="X176" s="99">
        <f t="shared" ref="X176:X196" si="33">IF(ISERROR((Y176-Y$186)/Y$186*100),"error",(Y176-Y$186)/Y$186*100)</f>
        <v>-80</v>
      </c>
      <c r="Y176" s="104">
        <v>1</v>
      </c>
      <c r="Z176" s="101">
        <f t="dataTable" ref="Z176:AA196" dt2D="0" dtr="0" r1="B69" ca="1"/>
        <v>7.3149549907170805E-2</v>
      </c>
      <c r="AA176" s="101">
        <v>6.3752819895608159E-2</v>
      </c>
      <c r="AB176" s="102">
        <f>(AA176-AA186)/AA186*100</f>
        <v>-8.4386938363758492</v>
      </c>
      <c r="AD176" s="98">
        <f t="shared" ref="AD176:AD183" si="34">AD177-1</f>
        <v>-10</v>
      </c>
      <c r="AE176" s="99">
        <f t="shared" ref="AE176:AE196" si="35">IF(ISERROR((AF176-AF$186)/AF$186*100),"error",(AF176-AF$186)/AF$186*100)</f>
        <v>-93.333333333333329</v>
      </c>
      <c r="AF176" s="104">
        <v>1</v>
      </c>
      <c r="AG176" s="101">
        <f t="dataTable" ref="AG176:AH196" dt2D="0" dtr="0" r1="B71" ca="1"/>
        <v>6.7224110763739048E-2</v>
      </c>
      <c r="AH176" s="101">
        <v>5.4028454107885981E-2</v>
      </c>
      <c r="AI176" s="102">
        <f>(AH176-AH186)/AH186*100</f>
        <v>-22.404752664748383</v>
      </c>
      <c r="AK176" s="98">
        <f t="shared" ref="AK176:AK183" si="36">AK177-1</f>
        <v>-10</v>
      </c>
      <c r="AL176" s="99">
        <f t="shared" ref="AL176:AL196" si="37">IF(ISERROR((AM176-AM$186)/AM$186*100),"error",(AM176-AM$186)/AM$186*100)</f>
        <v>-75</v>
      </c>
      <c r="AM176" s="104">
        <v>5</v>
      </c>
      <c r="AN176" s="101">
        <f t="dataTable" ref="AN176:AO196" dt2D="0" dtr="0" r1="B27"/>
        <v>0.15180131595532328</v>
      </c>
      <c r="AO176" s="101">
        <v>0.13230104584782043</v>
      </c>
      <c r="AP176" s="102">
        <f>(AO176-AO186)/AO186*100</f>
        <v>90.009737364957786</v>
      </c>
      <c r="AR176" s="98">
        <f t="shared" ref="AR176:AR183" si="38">AR177-1</f>
        <v>-10</v>
      </c>
      <c r="AS176" s="99">
        <f t="shared" ref="AS176:AS196" si="39">IF(ISERROR((AT176-AT$186)/AT$186*100),"error",(AT176-AT$186)/AT$186*100)</f>
        <v>-52.941176470588239</v>
      </c>
      <c r="AT176" s="104">
        <v>40</v>
      </c>
      <c r="AU176" s="101">
        <f t="dataTable" ref="AU176:AV196" dt2D="0" dtr="0" r1="B25" ca="1"/>
        <v>0.1466039037678469</v>
      </c>
      <c r="AV176" s="101">
        <v>0.12777128888373912</v>
      </c>
      <c r="AW176" s="102">
        <f>(AV176-AV186)/AV186*100</f>
        <v>83.504135496457081</v>
      </c>
    </row>
    <row r="177" spans="2:49">
      <c r="B177" s="98">
        <f t="shared" si="28"/>
        <v>-9</v>
      </c>
      <c r="C177" s="99">
        <f>IF(ISERROR((D177-D186)/D186*100),"error",(D177-D186)/D186*100)</f>
        <v>-90</v>
      </c>
      <c r="D177" s="99">
        <f>D186+B177*(D186-D176)/10</f>
        <v>7000000</v>
      </c>
      <c r="E177" s="101">
        <v>3.7970122918430452E-2</v>
      </c>
      <c r="F177" s="101">
        <v>3.3092512679910556E-2</v>
      </c>
      <c r="G177" s="102">
        <f>(F177-F186)/F186*100</f>
        <v>-52.472789593144931</v>
      </c>
      <c r="I177" s="98">
        <f t="shared" si="29"/>
        <v>-9</v>
      </c>
      <c r="J177" s="99">
        <f t="shared" ref="J177:J196" si="40">IF(ISERROR((K177-K$186)/K$186*100),"error",(K177-K$186)/K$186*100)</f>
        <v>-90.000000000000014</v>
      </c>
      <c r="K177" s="105">
        <f>K186+I177*(K186-K176)/10</f>
        <v>2.2049999999999983</v>
      </c>
      <c r="L177" s="101">
        <v>5.8318340812242186E-2</v>
      </c>
      <c r="M177" s="101">
        <v>5.0826815518780134E-2</v>
      </c>
      <c r="N177" s="102">
        <f>(M177-M186)/M186*100</f>
        <v>-27.002921209487351</v>
      </c>
      <c r="P177" s="98">
        <f t="shared" si="30"/>
        <v>-9</v>
      </c>
      <c r="Q177" s="99">
        <f t="shared" si="31"/>
        <v>-90</v>
      </c>
      <c r="R177" s="99">
        <f>R186+P177*(R186-R176)/10</f>
        <v>7.5</v>
      </c>
      <c r="S177" s="101">
        <v>0.11715281212141662</v>
      </c>
      <c r="T177" s="101">
        <v>0.10210345984245804</v>
      </c>
      <c r="U177" s="102">
        <f>(T177-T186)/T186*100</f>
        <v>46.640198226661106</v>
      </c>
      <c r="W177" s="98">
        <f t="shared" si="32"/>
        <v>-9</v>
      </c>
      <c r="X177" s="99">
        <f t="shared" si="33"/>
        <v>-72</v>
      </c>
      <c r="Y177" s="106">
        <f>Y186+W177*(Y186-Y176)/10</f>
        <v>1.4</v>
      </c>
      <c r="Z177" s="101">
        <v>7.3740207730376539E-2</v>
      </c>
      <c r="AA177" s="101">
        <v>6.4267602308767963E-2</v>
      </c>
      <c r="AB177" s="102">
        <f>(AA177-AA186)/AA186*100</f>
        <v>-7.6993673216247576</v>
      </c>
      <c r="AD177" s="98">
        <f t="shared" si="34"/>
        <v>-9</v>
      </c>
      <c r="AE177" s="99">
        <f t="shared" si="35"/>
        <v>-84</v>
      </c>
      <c r="AF177" s="106">
        <f>AF186+AD177*(AF186-AF176)/10</f>
        <v>2.4000000000000004</v>
      </c>
      <c r="AG177" s="101">
        <v>6.801865064651888E-2</v>
      </c>
      <c r="AH177" s="101">
        <v>5.5188565335658878E-2</v>
      </c>
      <c r="AI177" s="102">
        <f>(AH177-AH186)/AH186*100</f>
        <v>-20.738609904570811</v>
      </c>
      <c r="AK177" s="98">
        <f t="shared" si="36"/>
        <v>-9</v>
      </c>
      <c r="AL177" s="99">
        <f t="shared" si="37"/>
        <v>-67.5</v>
      </c>
      <c r="AM177" s="107">
        <f>AM186+AK177*(AM186-AM176)/10</f>
        <v>6.5</v>
      </c>
      <c r="AN177" s="101">
        <v>0.12967516799246384</v>
      </c>
      <c r="AO177" s="101">
        <v>0.11301720434982272</v>
      </c>
      <c r="AP177" s="102">
        <f>(AO177-AO186)/AO186*100</f>
        <v>62.31443356035539</v>
      </c>
      <c r="AR177" s="98">
        <f t="shared" si="38"/>
        <v>-9</v>
      </c>
      <c r="AS177" s="99">
        <f t="shared" si="39"/>
        <v>-47.647058823529406</v>
      </c>
      <c r="AT177" s="106">
        <f>AT186+AR177*(AT186-AT176)/10</f>
        <v>44.5</v>
      </c>
      <c r="AU177" s="101">
        <v>0.1338610535682864</v>
      </c>
      <c r="AV177" s="101">
        <v>0.11666537456491902</v>
      </c>
      <c r="AW177" s="102">
        <f>(AV177-AV186)/AV186*100</f>
        <v>67.55390736792036</v>
      </c>
    </row>
    <row r="178" spans="2:49">
      <c r="B178" s="98">
        <f t="shared" si="28"/>
        <v>-8</v>
      </c>
      <c r="C178" s="99">
        <f>IF(ISERROR((D178-D186)/D186*100),"error",(D178-D186)/D186*100)</f>
        <v>-80</v>
      </c>
      <c r="D178" s="99">
        <f>D186+B178*(D186-D176)/10</f>
        <v>14000000</v>
      </c>
      <c r="E178" s="101">
        <v>4.2628035380385974E-2</v>
      </c>
      <c r="F178" s="101">
        <v>3.7152073602068049E-2</v>
      </c>
      <c r="G178" s="102">
        <f>(F178-F186)/F186*100</f>
        <v>-46.642479638351034</v>
      </c>
      <c r="I178" s="98">
        <f t="shared" si="29"/>
        <v>-8</v>
      </c>
      <c r="J178" s="99">
        <f t="shared" si="40"/>
        <v>-80</v>
      </c>
      <c r="K178" s="105">
        <f>K186+I178*(K186-K176)/10</f>
        <v>4.41</v>
      </c>
      <c r="L178" s="101">
        <v>6.0715340174885273E-2</v>
      </c>
      <c r="M178" s="101">
        <v>5.2915898347729869E-2</v>
      </c>
      <c r="N178" s="102">
        <f>(M178-M186)/M186*100</f>
        <v>-24.002596630655447</v>
      </c>
      <c r="P178" s="98">
        <f t="shared" si="30"/>
        <v>-8</v>
      </c>
      <c r="Q178" s="99">
        <f t="shared" si="31"/>
        <v>-80</v>
      </c>
      <c r="R178" s="99">
        <f>R186+P178*(R186-R176)/10</f>
        <v>15</v>
      </c>
      <c r="S178" s="101">
        <v>0.11301264800526262</v>
      </c>
      <c r="T178" s="101">
        <v>9.8495137746554731E-2</v>
      </c>
      <c r="U178" s="102">
        <f>(T178-T186)/T186*100</f>
        <v>41.45795397925437</v>
      </c>
      <c r="W178" s="98">
        <f t="shared" si="32"/>
        <v>-8</v>
      </c>
      <c r="X178" s="99">
        <f t="shared" si="33"/>
        <v>-64</v>
      </c>
      <c r="Y178" s="106">
        <f>Y186+W178*(Y186-Y176)/10</f>
        <v>1.7999999999999998</v>
      </c>
      <c r="Z178" s="101">
        <v>7.4349853240913533E-2</v>
      </c>
      <c r="AA178" s="101">
        <v>6.4798933266822442E-2</v>
      </c>
      <c r="AB178" s="102">
        <f>(AA178-AA186)/AA186*100</f>
        <v>-6.9362739148656729</v>
      </c>
      <c r="AD178" s="98">
        <f t="shared" si="34"/>
        <v>-8</v>
      </c>
      <c r="AE178" s="99">
        <f t="shared" si="35"/>
        <v>-74.666666666666657</v>
      </c>
      <c r="AF178" s="106">
        <f>AF186+AD178*(AF186-AF176)/10</f>
        <v>3.8000000000000007</v>
      </c>
      <c r="AG178" s="101">
        <v>6.8924323671502322E-2</v>
      </c>
      <c r="AH178" s="101">
        <v>5.6445840319745061E-2</v>
      </c>
      <c r="AI178" s="102">
        <f>(AH178-AH186)/AH186*100</f>
        <v>-18.9329213101168</v>
      </c>
      <c r="AK178" s="98">
        <f t="shared" si="36"/>
        <v>-8</v>
      </c>
      <c r="AL178" s="99">
        <f t="shared" si="37"/>
        <v>-60</v>
      </c>
      <c r="AM178" s="107">
        <f>AM186+AK178*(AM186-AM176)/10</f>
        <v>8</v>
      </c>
      <c r="AN178" s="101">
        <v>0.1158463255156767</v>
      </c>
      <c r="AO178" s="101">
        <v>0.10096480341357415</v>
      </c>
      <c r="AP178" s="102">
        <f>(AO178-AO186)/AO186*100</f>
        <v>45.004868682478879</v>
      </c>
      <c r="AR178" s="98">
        <f t="shared" si="38"/>
        <v>-8</v>
      </c>
      <c r="AS178" s="99">
        <f t="shared" si="39"/>
        <v>-42.352941176470587</v>
      </c>
      <c r="AT178" s="106">
        <f>AT186+AR178*(AT186-AT176)/10</f>
        <v>49</v>
      </c>
      <c r="AU178" s="101">
        <v>0.12345872687476768</v>
      </c>
      <c r="AV178" s="101">
        <v>0.10759932205975978</v>
      </c>
      <c r="AW178" s="102">
        <f>(AV178-AV186)/AV186*100</f>
        <v>54.533312977278179</v>
      </c>
    </row>
    <row r="179" spans="2:49">
      <c r="B179" s="98">
        <f t="shared" si="28"/>
        <v>-7</v>
      </c>
      <c r="C179" s="99">
        <f>IF(ISERROR((D179-D186)/D186*100),"error",(D179-D186)/D186*100)</f>
        <v>-70</v>
      </c>
      <c r="D179" s="99">
        <f>D186+B179*(D186-D176)/10</f>
        <v>21000000</v>
      </c>
      <c r="E179" s="101">
        <v>4.7285947842341497E-2</v>
      </c>
      <c r="F179" s="101">
        <v>4.1211634524225528E-2</v>
      </c>
      <c r="G179" s="102">
        <f>(F179-F186)/F186*100</f>
        <v>-40.812169683557165</v>
      </c>
      <c r="I179" s="98">
        <f t="shared" si="29"/>
        <v>-7</v>
      </c>
      <c r="J179" s="99">
        <f t="shared" si="40"/>
        <v>-70</v>
      </c>
      <c r="K179" s="105">
        <f>K186+I179*(K186-K176)/10</f>
        <v>6.615000000000002</v>
      </c>
      <c r="L179" s="101">
        <v>6.3112339537528372E-2</v>
      </c>
      <c r="M179" s="101">
        <v>5.500498117667961E-2</v>
      </c>
      <c r="N179" s="102">
        <f>(M179-M186)/M186*100</f>
        <v>-21.002272051823535</v>
      </c>
      <c r="P179" s="98">
        <f t="shared" si="30"/>
        <v>-7</v>
      </c>
      <c r="Q179" s="99">
        <f t="shared" si="31"/>
        <v>-70</v>
      </c>
      <c r="R179" s="99">
        <f>R186+P179*(R186-R176)/10</f>
        <v>22.5</v>
      </c>
      <c r="S179" s="101">
        <v>0.10887248388910854</v>
      </c>
      <c r="T179" s="101">
        <v>9.4886815650651365E-2</v>
      </c>
      <c r="U179" s="102">
        <f>(T179-T186)/T186*100</f>
        <v>36.275709731847556</v>
      </c>
      <c r="W179" s="98">
        <f t="shared" si="32"/>
        <v>-7</v>
      </c>
      <c r="X179" s="99">
        <f t="shared" si="33"/>
        <v>-55.999999999999993</v>
      </c>
      <c r="Y179" s="106">
        <f>Y186+W179*(Y186-Y176)/10</f>
        <v>2.2000000000000002</v>
      </c>
      <c r="Z179" s="101">
        <v>7.4978362843307653E-2</v>
      </c>
      <c r="AA179" s="101">
        <v>6.5346705051268703E-2</v>
      </c>
      <c r="AB179" s="102">
        <f>(AA179-AA186)/AA186*100</f>
        <v>-6.149568320578167</v>
      </c>
      <c r="AD179" s="98">
        <f t="shared" si="34"/>
        <v>-7</v>
      </c>
      <c r="AE179" s="99">
        <f t="shared" si="35"/>
        <v>-65.333333333333343</v>
      </c>
      <c r="AF179" s="106">
        <f>AF186+AD179*(AF186-AF176)/10</f>
        <v>5.1999999999999993</v>
      </c>
      <c r="AG179" s="101">
        <v>6.9941368159059006E-2</v>
      </c>
      <c r="AH179" s="101">
        <v>5.7799099741444447E-2</v>
      </c>
      <c r="AI179" s="102">
        <f>(AH179-AH186)/AH186*100</f>
        <v>-16.989380609769483</v>
      </c>
      <c r="AK179" s="98">
        <f t="shared" si="36"/>
        <v>-7</v>
      </c>
      <c r="AL179" s="99">
        <f t="shared" si="37"/>
        <v>-52.5</v>
      </c>
      <c r="AM179" s="107">
        <f>AM186+AK179*(AM186-AM176)/10</f>
        <v>9.5</v>
      </c>
      <c r="AN179" s="101">
        <v>0.10638448592629601</v>
      </c>
      <c r="AO179" s="101">
        <v>9.2718423825614599E-2</v>
      </c>
      <c r="AP179" s="102">
        <f>(AO179-AO186)/AO186*100</f>
        <v>33.161482187089675</v>
      </c>
      <c r="AR179" s="98">
        <f t="shared" si="38"/>
        <v>-7</v>
      </c>
      <c r="AS179" s="99">
        <f t="shared" si="39"/>
        <v>-37.058823529411768</v>
      </c>
      <c r="AT179" s="106">
        <f>AT186+AR179*(AT186-AT176)/10</f>
        <v>53.5</v>
      </c>
      <c r="AU179" s="101">
        <v>0.11480632429791557</v>
      </c>
      <c r="AV179" s="101">
        <v>0.10005839988257118</v>
      </c>
      <c r="AW179" s="102">
        <f>(AV179-AV186)/AV186*100</f>
        <v>43.70309895141682</v>
      </c>
    </row>
    <row r="180" spans="2:49">
      <c r="B180" s="98">
        <f t="shared" si="28"/>
        <v>-6</v>
      </c>
      <c r="C180" s="99">
        <f>IF(ISERROR((D180-D186)/D186*100),"error",(D180-D186)/D186*100)</f>
        <v>-60</v>
      </c>
      <c r="D180" s="99">
        <f>D186+B180*(D186-D176)/10</f>
        <v>28000000</v>
      </c>
      <c r="E180" s="101">
        <v>5.1943860304297006E-2</v>
      </c>
      <c r="F180" s="101">
        <v>4.5271195446383E-2</v>
      </c>
      <c r="G180" s="102">
        <f>(F180-F186)/F186*100</f>
        <v>-34.981859728763297</v>
      </c>
      <c r="I180" s="98">
        <f t="shared" si="29"/>
        <v>-6</v>
      </c>
      <c r="J180" s="99">
        <f t="shared" si="40"/>
        <v>-60</v>
      </c>
      <c r="K180" s="105">
        <f>K186+I180*(K186-K176)/10</f>
        <v>8.82</v>
      </c>
      <c r="L180" s="101">
        <v>6.5509338900171507E-2</v>
      </c>
      <c r="M180" s="101">
        <v>5.7094064005629386E-2</v>
      </c>
      <c r="N180" s="102">
        <f>(M180-M186)/M186*100</f>
        <v>-18.001947472991574</v>
      </c>
      <c r="P180" s="98">
        <f t="shared" si="30"/>
        <v>-6</v>
      </c>
      <c r="Q180" s="99">
        <f t="shared" si="31"/>
        <v>-60</v>
      </c>
      <c r="R180" s="99">
        <f>R186+P180*(R186-R176)/10</f>
        <v>30</v>
      </c>
      <c r="S180" s="101">
        <v>0.10473231977295445</v>
      </c>
      <c r="T180" s="101">
        <v>9.1278493554747986E-2</v>
      </c>
      <c r="U180" s="102">
        <f>(T180-T186)/T186*100</f>
        <v>31.093465484440724</v>
      </c>
      <c r="W180" s="98">
        <f t="shared" si="32"/>
        <v>-6</v>
      </c>
      <c r="X180" s="99">
        <f t="shared" si="33"/>
        <v>-48</v>
      </c>
      <c r="Y180" s="106">
        <f>Y186+W180*(Y186-Y176)/10</f>
        <v>2.6</v>
      </c>
      <c r="Z180" s="101">
        <v>7.5625590767046696E-2</v>
      </c>
      <c r="AA180" s="101">
        <v>6.5910790617152687E-2</v>
      </c>
      <c r="AB180" s="102">
        <f>(AA180-AA186)/AA186*100</f>
        <v>-5.3394329997412822</v>
      </c>
      <c r="AD180" s="98">
        <f t="shared" si="34"/>
        <v>-6</v>
      </c>
      <c r="AE180" s="99">
        <f t="shared" si="35"/>
        <v>-56.000000000000007</v>
      </c>
      <c r="AF180" s="106">
        <f>AF186+AD180*(AF186-AF176)/10</f>
        <v>6.6</v>
      </c>
      <c r="AG180" s="101">
        <v>7.1068248620471119E-2</v>
      </c>
      <c r="AH180" s="101">
        <v>5.924581259911383E-2</v>
      </c>
      <c r="AI180" s="102">
        <f>(AH180-AH186)/AH186*100</f>
        <v>-14.911622808486044</v>
      </c>
      <c r="AK180" s="98">
        <f t="shared" si="36"/>
        <v>-6</v>
      </c>
      <c r="AL180" s="99">
        <f t="shared" si="37"/>
        <v>-45</v>
      </c>
      <c r="AM180" s="107">
        <f>AM186+AK180*(AM186-AM176)/10</f>
        <v>11</v>
      </c>
      <c r="AN180" s="101">
        <v>9.9503148043110085E-2</v>
      </c>
      <c r="AO180" s="101">
        <v>8.672105685255313E-2</v>
      </c>
      <c r="AP180" s="102">
        <f>(AO180-AO186)/AO186*100</f>
        <v>24.548110190443023</v>
      </c>
      <c r="AR180" s="98">
        <f t="shared" si="38"/>
        <v>-6</v>
      </c>
      <c r="AS180" s="99">
        <f t="shared" si="39"/>
        <v>-31.764705882352938</v>
      </c>
      <c r="AT180" s="106">
        <f>AT186+AR180*(AT186-AT176)/10</f>
        <v>58</v>
      </c>
      <c r="AU180" s="101">
        <v>0.10749653591402326</v>
      </c>
      <c r="AV180" s="101">
        <v>9.3687620801842869E-2</v>
      </c>
      <c r="AW180" s="102">
        <f>(AV180-AV186)/AV186*100</f>
        <v>34.553435377844281</v>
      </c>
    </row>
    <row r="181" spans="2:49">
      <c r="B181" s="98">
        <f t="shared" si="28"/>
        <v>-5</v>
      </c>
      <c r="C181" s="99">
        <f>IF(ISERROR((D181-D186)/D186*100),"error",(D181-D186)/D186*100)</f>
        <v>-50</v>
      </c>
      <c r="D181" s="99">
        <f>D186+B181*(D186-D176)/10</f>
        <v>35000000</v>
      </c>
      <c r="E181" s="101">
        <v>5.6601772766252535E-2</v>
      </c>
      <c r="F181" s="101">
        <v>4.9330756368540486E-2</v>
      </c>
      <c r="G181" s="102">
        <f>(F181-F186)/F186*100</f>
        <v>-29.15154977396941</v>
      </c>
      <c r="I181" s="98">
        <f t="shared" si="29"/>
        <v>-5</v>
      </c>
      <c r="J181" s="99">
        <f t="shared" si="40"/>
        <v>-50</v>
      </c>
      <c r="K181" s="105">
        <f>K186+I181*(K186-K176)/10</f>
        <v>11.025</v>
      </c>
      <c r="L181" s="101">
        <v>6.7906338262814614E-2</v>
      </c>
      <c r="M181" s="101">
        <v>5.9183146834579141E-2</v>
      </c>
      <c r="N181" s="102">
        <f>(M181-M186)/M186*100</f>
        <v>-15.001622894159642</v>
      </c>
      <c r="P181" s="98">
        <f t="shared" si="30"/>
        <v>-5</v>
      </c>
      <c r="Q181" s="99">
        <f t="shared" si="31"/>
        <v>-50</v>
      </c>
      <c r="R181" s="99">
        <f>R186+P181*(R186-R176)/10</f>
        <v>37.5</v>
      </c>
      <c r="S181" s="101">
        <v>0.10059215565680041</v>
      </c>
      <c r="T181" s="101">
        <v>8.7670171458844648E-2</v>
      </c>
      <c r="U181" s="102">
        <f>(T181-T186)/T186*100</f>
        <v>25.911221237033949</v>
      </c>
      <c r="W181" s="98">
        <f t="shared" si="32"/>
        <v>-5</v>
      </c>
      <c r="X181" s="99">
        <f t="shared" si="33"/>
        <v>-40</v>
      </c>
      <c r="Y181" s="106">
        <f>Y186+W181*(Y186-Y176)/10</f>
        <v>3</v>
      </c>
      <c r="Z181" s="101">
        <v>7.6291370006148163E-2</v>
      </c>
      <c r="AA181" s="101">
        <v>6.6491044411940689E-2</v>
      </c>
      <c r="AB181" s="102">
        <f>(AA181-AA186)/AA186*100</f>
        <v>-4.5060769937766114</v>
      </c>
      <c r="AD181" s="98">
        <f t="shared" si="34"/>
        <v>-5</v>
      </c>
      <c r="AE181" s="99">
        <f t="shared" si="35"/>
        <v>-46.666666666666664</v>
      </c>
      <c r="AF181" s="106">
        <f>AF186+AD181*(AF186-AF176)/10</f>
        <v>8</v>
      </c>
      <c r="AG181" s="101">
        <v>7.2301889446502107E-2</v>
      </c>
      <c r="AH181" s="101">
        <v>6.0782282054473016E-2</v>
      </c>
      <c r="AI181" s="102">
        <f>(AH181-AH186)/AH186*100</f>
        <v>-12.704957276772197</v>
      </c>
      <c r="AK181" s="98">
        <f t="shared" si="36"/>
        <v>-5</v>
      </c>
      <c r="AL181" s="99">
        <f t="shared" si="37"/>
        <v>-37.5</v>
      </c>
      <c r="AM181" s="107">
        <f>AM186+AK181*(AM186-AM176)/10</f>
        <v>12.5</v>
      </c>
      <c r="AN181" s="101">
        <v>9.4273331251888762E-2</v>
      </c>
      <c r="AO181" s="101">
        <v>8.2163057953026405E-2</v>
      </c>
      <c r="AP181" s="102">
        <f>(AO181-AO186)/AO186*100</f>
        <v>18.001947472991557</v>
      </c>
      <c r="AR181" s="98">
        <f t="shared" si="38"/>
        <v>-5</v>
      </c>
      <c r="AS181" s="99">
        <f t="shared" si="39"/>
        <v>-26.47058823529412</v>
      </c>
      <c r="AT181" s="106">
        <f>AT186+AR181*(AT186-AT176)/10</f>
        <v>62.5</v>
      </c>
      <c r="AU181" s="101">
        <v>0.10123935705741147</v>
      </c>
      <c r="AV181" s="101">
        <v>8.8234233908739468E-2</v>
      </c>
      <c r="AW181" s="102">
        <f>(AV181-AV186)/AV186*100</f>
        <v>26.721323358866233</v>
      </c>
    </row>
    <row r="182" spans="2:49">
      <c r="B182" s="98">
        <f t="shared" si="28"/>
        <v>-4</v>
      </c>
      <c r="C182" s="99">
        <f>IF(ISERROR((D182-D186)/D186*100),"error",(D182-D186)/D186*100)</f>
        <v>-40</v>
      </c>
      <c r="D182" s="99">
        <f>D186+B182*(D186-D176)/10</f>
        <v>42000000</v>
      </c>
      <c r="E182" s="101">
        <v>6.1259685228208058E-2</v>
      </c>
      <c r="F182" s="101">
        <v>5.3390317290697965E-2</v>
      </c>
      <c r="G182" s="102">
        <f>(F182-F186)/F186*100</f>
        <v>-23.321239819175535</v>
      </c>
      <c r="I182" s="98">
        <f t="shared" si="29"/>
        <v>-4</v>
      </c>
      <c r="J182" s="99">
        <f t="shared" si="40"/>
        <v>-40</v>
      </c>
      <c r="K182" s="105">
        <f>K186+I182*(K186-K176)/10</f>
        <v>13.23</v>
      </c>
      <c r="L182" s="101">
        <v>7.0303337625457707E-2</v>
      </c>
      <c r="M182" s="101">
        <v>6.1272229663528896E-2</v>
      </c>
      <c r="N182" s="102">
        <f>(M182-M186)/M186*100</f>
        <v>-12.001298315327711</v>
      </c>
      <c r="P182" s="98">
        <f t="shared" si="30"/>
        <v>-4</v>
      </c>
      <c r="Q182" s="99">
        <f t="shared" si="31"/>
        <v>-40</v>
      </c>
      <c r="R182" s="99">
        <f>R186+P182*(R186-R176)/10</f>
        <v>45</v>
      </c>
      <c r="S182" s="101">
        <v>9.6451991540646362E-2</v>
      </c>
      <c r="T182" s="101">
        <v>8.4061849362941296E-2</v>
      </c>
      <c r="U182" s="102">
        <f>(T182-T186)/T186*100</f>
        <v>20.728976989627157</v>
      </c>
      <c r="W182" s="98">
        <f t="shared" si="32"/>
        <v>-4</v>
      </c>
      <c r="X182" s="99">
        <f t="shared" si="33"/>
        <v>-32</v>
      </c>
      <c r="Y182" s="106">
        <f>Y186+W182*(Y186-Y176)/10</f>
        <v>3.4</v>
      </c>
      <c r="Z182" s="101">
        <v>7.6975513323089911E-2</v>
      </c>
      <c r="AA182" s="101">
        <v>6.7087303250486133E-2</v>
      </c>
      <c r="AB182" s="102">
        <f>(AA182-AA186)/AA186*100</f>
        <v>-3.6497346679277869</v>
      </c>
      <c r="AD182" s="98">
        <f t="shared" si="34"/>
        <v>-4</v>
      </c>
      <c r="AE182" s="99">
        <f t="shared" si="35"/>
        <v>-37.333333333333329</v>
      </c>
      <c r="AF182" s="106">
        <f>AF186+AD182*(AF186-AF176)/10</f>
        <v>9.4</v>
      </c>
      <c r="AG182" s="101">
        <v>7.3637950166637822E-2</v>
      </c>
      <c r="AH182" s="101">
        <v>6.2403866788449745E-2</v>
      </c>
      <c r="AI182" s="102">
        <f>(AH182-AH186)/AH186*100</f>
        <v>-10.376049841132154</v>
      </c>
      <c r="AK182" s="98">
        <f t="shared" si="36"/>
        <v>-4</v>
      </c>
      <c r="AL182" s="99">
        <f t="shared" si="37"/>
        <v>-30</v>
      </c>
      <c r="AM182" s="107">
        <f>AM186+AK182*(AM186-AM176)/10</f>
        <v>14</v>
      </c>
      <c r="AN182" s="101">
        <v>9.0164189487357702E-2</v>
      </c>
      <c r="AO182" s="101">
        <v>7.8581773103398228E-2</v>
      </c>
      <c r="AP182" s="102">
        <f>(AO182-AO186)/AO186*100</f>
        <v>12.858533909279634</v>
      </c>
      <c r="AR182" s="98">
        <f t="shared" si="38"/>
        <v>-4</v>
      </c>
      <c r="AS182" s="99">
        <f t="shared" si="39"/>
        <v>-21.176470588235293</v>
      </c>
      <c r="AT182" s="106">
        <f>AT186+AR182*(AT186-AT176)/10</f>
        <v>67</v>
      </c>
      <c r="AU182" s="101">
        <v>9.5822694763628175E-2</v>
      </c>
      <c r="AV182" s="101">
        <v>8.3513391523664923E-2</v>
      </c>
      <c r="AW182" s="102">
        <f>(AV182-AV186)/AV186*100</f>
        <v>19.941286088706189</v>
      </c>
    </row>
    <row r="183" spans="2:49">
      <c r="B183" s="98">
        <f t="shared" si="28"/>
        <v>-3</v>
      </c>
      <c r="C183" s="99">
        <f>IF(ISERROR((D183-D186)/D186*100),"error",(D183-D186)/D186*100)</f>
        <v>-30</v>
      </c>
      <c r="D183" s="99">
        <f>D186+B183*(D186-D176)/10</f>
        <v>49000000</v>
      </c>
      <c r="E183" s="101">
        <v>6.591759769016356E-2</v>
      </c>
      <c r="F183" s="101">
        <v>5.7449878212855437E-2</v>
      </c>
      <c r="G183" s="102">
        <f>(F183-F186)/F186*100</f>
        <v>-17.49092986438167</v>
      </c>
      <c r="I183" s="98">
        <f t="shared" si="29"/>
        <v>-3</v>
      </c>
      <c r="J183" s="99">
        <f t="shared" si="40"/>
        <v>-30</v>
      </c>
      <c r="K183" s="105">
        <f>K186+I183*(K186-K176)/10</f>
        <v>15.435</v>
      </c>
      <c r="L183" s="101">
        <v>7.2700336988100814E-2</v>
      </c>
      <c r="M183" s="101">
        <v>6.3361312492478644E-2</v>
      </c>
      <c r="N183" s="102">
        <f>(M183-M186)/M186*100</f>
        <v>-9.0009737364957871</v>
      </c>
      <c r="P183" s="98">
        <f t="shared" si="30"/>
        <v>-3</v>
      </c>
      <c r="Q183" s="99">
        <f t="shared" si="31"/>
        <v>-30</v>
      </c>
      <c r="R183" s="99">
        <f>R186+P183*(R186-R176)/10</f>
        <v>52.5</v>
      </c>
      <c r="S183" s="101">
        <v>9.2311827424492301E-2</v>
      </c>
      <c r="T183" s="101">
        <v>8.0453527267037958E-2</v>
      </c>
      <c r="U183" s="102">
        <f>(T183-T186)/T186*100</f>
        <v>15.546732742220382</v>
      </c>
      <c r="W183" s="98">
        <f t="shared" si="32"/>
        <v>-3</v>
      </c>
      <c r="X183" s="99">
        <f t="shared" si="33"/>
        <v>-24.000000000000004</v>
      </c>
      <c r="Y183" s="106">
        <f>Y186+W183*(Y186-Y176)/10</f>
        <v>3.8</v>
      </c>
      <c r="Z183" s="101">
        <v>7.7677814308242235E-2</v>
      </c>
      <c r="AA183" s="101">
        <v>6.7699387238367714E-2</v>
      </c>
      <c r="AB183" s="102">
        <f>(AA183-AA186)/AA186*100</f>
        <v>-2.7706643851693888</v>
      </c>
      <c r="AD183" s="98">
        <f t="shared" si="34"/>
        <v>-3</v>
      </c>
      <c r="AE183" s="99">
        <f t="shared" si="35"/>
        <v>-27.999999999999996</v>
      </c>
      <c r="AF183" s="106">
        <f>AF186+AD183*(AF186-AF176)/10</f>
        <v>10.8</v>
      </c>
      <c r="AG183" s="101">
        <v>7.5071116694679932E-2</v>
      </c>
      <c r="AH183" s="101">
        <v>6.4105217860947181E-2</v>
      </c>
      <c r="AI183" s="102">
        <f>(AH183-AH186)/AH186*100</f>
        <v>-7.9325826079050419</v>
      </c>
      <c r="AK183" s="98">
        <f t="shared" si="36"/>
        <v>-3</v>
      </c>
      <c r="AL183" s="99">
        <f t="shared" si="37"/>
        <v>-22.5</v>
      </c>
      <c r="AM183" s="107">
        <f>AM186+AK183*(AM186-AM176)/10</f>
        <v>15.5</v>
      </c>
      <c r="AN183" s="101">
        <v>8.6850365483703673E-2</v>
      </c>
      <c r="AO183" s="101">
        <v>7.5693640160149761E-2</v>
      </c>
      <c r="AP183" s="102">
        <f>(AO183-AO186)/AO186*100</f>
        <v>8.7106197449959168</v>
      </c>
      <c r="AR183" s="98">
        <f t="shared" si="38"/>
        <v>-3</v>
      </c>
      <c r="AS183" s="99">
        <f t="shared" si="39"/>
        <v>-15.882352941176469</v>
      </c>
      <c r="AT183" s="106">
        <f>AT186+AR183*(AT186-AT176)/10</f>
        <v>71.5</v>
      </c>
      <c r="AU183" s="101">
        <v>9.1087850101230147E-2</v>
      </c>
      <c r="AV183" s="101">
        <v>7.9386781047201094E-2</v>
      </c>
      <c r="AW183" s="102">
        <f>(AV183-AV186)/AV186*100</f>
        <v>14.014680083321441</v>
      </c>
    </row>
    <row r="184" spans="2:49">
      <c r="B184" s="98">
        <f>B185-1</f>
        <v>-2</v>
      </c>
      <c r="C184" s="99">
        <f>IF(ISERROR((D184-D186)/D186*100),"error",(D184-D186)/D186*100)</f>
        <v>-20</v>
      </c>
      <c r="D184" s="99">
        <f>D186+B184*(D186-D176)/10</f>
        <v>56000000</v>
      </c>
      <c r="E184" s="101">
        <v>7.0575510152119075E-2</v>
      </c>
      <c r="F184" s="101">
        <v>6.1509439135012924E-2</v>
      </c>
      <c r="G184" s="102">
        <f>(F184-F186)/F186*100</f>
        <v>-11.660619909587783</v>
      </c>
      <c r="I184" s="98">
        <f>I185-1</f>
        <v>-2</v>
      </c>
      <c r="J184" s="99">
        <f t="shared" si="40"/>
        <v>-20</v>
      </c>
      <c r="K184" s="105">
        <f>K186+I184*(K186-K176)/10</f>
        <v>17.64</v>
      </c>
      <c r="L184" s="101">
        <v>7.5097336350743921E-2</v>
      </c>
      <c r="M184" s="101">
        <v>6.5450395321428378E-2</v>
      </c>
      <c r="N184" s="102">
        <f>(M184-M186)/M186*100</f>
        <v>-6.0006491576638847</v>
      </c>
      <c r="P184" s="98">
        <f>P185-1</f>
        <v>-2</v>
      </c>
      <c r="Q184" s="99">
        <f t="shared" si="31"/>
        <v>-20</v>
      </c>
      <c r="R184" s="99">
        <f>R186+P184*(R186-R176)/10</f>
        <v>60</v>
      </c>
      <c r="S184" s="101">
        <v>8.8171663308338227E-2</v>
      </c>
      <c r="T184" s="101">
        <v>7.6845205171134578E-2</v>
      </c>
      <c r="U184" s="102">
        <f>(T184-T186)/T186*100</f>
        <v>10.364488494813548</v>
      </c>
      <c r="W184" s="98">
        <f>W185-1</f>
        <v>-2</v>
      </c>
      <c r="X184" s="99">
        <f t="shared" si="33"/>
        <v>-15.999999999999998</v>
      </c>
      <c r="Y184" s="106">
        <f>Y186+W184*(Y186-Y176)/10</f>
        <v>4.2</v>
      </c>
      <c r="Z184" s="101">
        <v>7.8398048485870217E-2</v>
      </c>
      <c r="AA184" s="101">
        <v>6.832710073581573E-2</v>
      </c>
      <c r="AB184" s="102">
        <f>(AA184-AA186)/AA186*100</f>
        <v>-1.869147121823421</v>
      </c>
      <c r="AD184" s="98">
        <f>AD185-1</f>
        <v>-2</v>
      </c>
      <c r="AE184" s="99">
        <f t="shared" si="35"/>
        <v>-18.666666666666671</v>
      </c>
      <c r="AF184" s="106">
        <f>AF186+AD184*(AF186-AF176)/10</f>
        <v>12.2</v>
      </c>
      <c r="AG184" s="101">
        <v>7.6595386819410638E-2</v>
      </c>
      <c r="AH184" s="101">
        <v>6.5880513130804855E-2</v>
      </c>
      <c r="AI184" s="102">
        <f>(AH184-AH186)/AH186*100</f>
        <v>-5.3829172911325998</v>
      </c>
      <c r="AK184" s="98">
        <f>AK185-1</f>
        <v>-2</v>
      </c>
      <c r="AL184" s="99">
        <f t="shared" si="37"/>
        <v>-15</v>
      </c>
      <c r="AM184" s="107">
        <f>AM186+AK184*(AM186-AM176)/10</f>
        <v>17</v>
      </c>
      <c r="AN184" s="101">
        <v>8.412133395128267E-2</v>
      </c>
      <c r="AO184" s="101">
        <v>7.3315177736298046E-2</v>
      </c>
      <c r="AP184" s="102">
        <f>(AO184-AO186)/AO186*100</f>
        <v>5.2946904332328026</v>
      </c>
      <c r="AR184" s="98">
        <f>AR185-1</f>
        <v>-2</v>
      </c>
      <c r="AS184" s="99">
        <f t="shared" si="39"/>
        <v>-10.588235294117647</v>
      </c>
      <c r="AT184" s="106">
        <f>AT186+AR184*(AT186-AT176)/10</f>
        <v>76</v>
      </c>
      <c r="AU184" s="101">
        <v>8.6913710727800297E-2</v>
      </c>
      <c r="AV184" s="101">
        <v>7.5748848127160637E-2</v>
      </c>
      <c r="AW184" s="102">
        <f>(AV184-AV186)/AV186*100</f>
        <v>8.7899089996270252</v>
      </c>
    </row>
    <row r="185" spans="2:49">
      <c r="B185" s="98">
        <v>-1</v>
      </c>
      <c r="C185" s="99">
        <f>IF(ISERROR((D185-D186)/D186*100),"error",(D185-D186)/D186*100)</f>
        <v>-10</v>
      </c>
      <c r="D185" s="99">
        <f>D186+B185*(D186-D176)/10</f>
        <v>63000000</v>
      </c>
      <c r="E185" s="101">
        <v>7.5233422614074619E-2</v>
      </c>
      <c r="F185" s="101">
        <v>6.556900005717041E-2</v>
      </c>
      <c r="G185" s="102">
        <f>(F185-F186)/F186*100</f>
        <v>-5.8303099547938961</v>
      </c>
      <c r="I185" s="98">
        <v>-1</v>
      </c>
      <c r="J185" s="99">
        <f t="shared" si="40"/>
        <v>-10.000000000000007</v>
      </c>
      <c r="K185" s="105">
        <f>K186+I185*(K186-K176)/10</f>
        <v>19.844999999999999</v>
      </c>
      <c r="L185" s="101">
        <v>7.7494335713387E-2</v>
      </c>
      <c r="M185" s="101">
        <v>6.7539478150378113E-2</v>
      </c>
      <c r="N185" s="102">
        <f>(M185-M186)/M186*100</f>
        <v>-3.0003245788319819</v>
      </c>
      <c r="P185" s="98">
        <v>-1</v>
      </c>
      <c r="Q185" s="99">
        <f t="shared" si="31"/>
        <v>-10</v>
      </c>
      <c r="R185" s="99">
        <f>R186+P185*(R186-R176)/10</f>
        <v>67.5</v>
      </c>
      <c r="S185" s="101">
        <v>8.4031499192184181E-2</v>
      </c>
      <c r="T185" s="101">
        <v>7.3236883075231241E-2</v>
      </c>
      <c r="U185" s="102">
        <f>(T185-T186)/T186*100</f>
        <v>5.182244247406774</v>
      </c>
      <c r="W185" s="98">
        <v>-1</v>
      </c>
      <c r="X185" s="99">
        <f t="shared" si="33"/>
        <v>-8.0000000000000071</v>
      </c>
      <c r="Y185" s="106">
        <f>Y186+W185*(Y186-Y176)/10</f>
        <v>4.5999999999999996</v>
      </c>
      <c r="Z185" s="101">
        <v>7.9135974457807789E-2</v>
      </c>
      <c r="AA185" s="101">
        <v>6.8970233354470653E-2</v>
      </c>
      <c r="AB185" s="102">
        <f>(AA185-AA186)/AA186*100</f>
        <v>-0.94548503602236011</v>
      </c>
      <c r="AD185" s="98">
        <v>-1</v>
      </c>
      <c r="AE185" s="99">
        <f t="shared" si="35"/>
        <v>-9.3333333333333357</v>
      </c>
      <c r="AF185" s="106">
        <f>AF186+AD185*(AF186-AF176)/10</f>
        <v>13.6</v>
      </c>
      <c r="AG185" s="101">
        <v>7.8204333486494138E-2</v>
      </c>
      <c r="AH185" s="101">
        <v>6.7723674922725283E-2</v>
      </c>
      <c r="AI185" s="102">
        <f>(AH185-AH186)/AH186*100</f>
        <v>-2.735782601005015</v>
      </c>
      <c r="AK185" s="98">
        <v>-1</v>
      </c>
      <c r="AL185" s="99">
        <f t="shared" si="37"/>
        <v>-7.5</v>
      </c>
      <c r="AM185" s="107">
        <f>AM186+AK185*(AM186-AM176)/10</f>
        <v>18.5</v>
      </c>
      <c r="AN185" s="101">
        <v>8.183484807276778E-2</v>
      </c>
      <c r="AO185" s="101">
        <v>7.1322411921719578E-2</v>
      </c>
      <c r="AP185" s="102">
        <f>(AO185-AO186)/AO186*100</f>
        <v>2.4326956044582975</v>
      </c>
      <c r="AR185" s="98">
        <v>-1</v>
      </c>
      <c r="AS185" s="99">
        <f t="shared" si="39"/>
        <v>-5.2941176470588234</v>
      </c>
      <c r="AT185" s="106">
        <f>AT186+AR185*(AT186-AT176)/10</f>
        <v>80.5</v>
      </c>
      <c r="AU185" s="101">
        <v>8.3206245321586256E-2</v>
      </c>
      <c r="AV185" s="101">
        <v>7.2517640626752047E-2</v>
      </c>
      <c r="AW185" s="102">
        <f>(AV185-AV186)/AV186*100</f>
        <v>4.149273813488529</v>
      </c>
    </row>
    <row r="186" spans="2:49">
      <c r="B186" s="98" t="s">
        <v>182</v>
      </c>
      <c r="C186" s="99">
        <f>IF(ISERROR((D186-D186)/D186*100),"error",(D186-D186)/D186*100)</f>
        <v>0</v>
      </c>
      <c r="D186" s="100">
        <v>70000000</v>
      </c>
      <c r="E186" s="101">
        <v>7.9891335076030134E-2</v>
      </c>
      <c r="F186" s="101">
        <v>6.9628560979327903E-2</v>
      </c>
      <c r="G186" s="102">
        <f>(F186-F186)/F186*100</f>
        <v>0</v>
      </c>
      <c r="I186" s="98" t="s">
        <v>182</v>
      </c>
      <c r="J186" s="99">
        <f t="shared" si="40"/>
        <v>0</v>
      </c>
      <c r="K186" s="103">
        <v>22.05</v>
      </c>
      <c r="L186" s="101">
        <v>7.9891335076030134E-2</v>
      </c>
      <c r="M186" s="101">
        <v>6.9628560979327903E-2</v>
      </c>
      <c r="N186" s="102">
        <f>(M186-M186)/M186*100</f>
        <v>0</v>
      </c>
      <c r="P186" s="98" t="s">
        <v>182</v>
      </c>
      <c r="Q186" s="99">
        <f t="shared" si="31"/>
        <v>0</v>
      </c>
      <c r="R186" s="100">
        <v>75</v>
      </c>
      <c r="S186" s="101">
        <v>7.9891335076030134E-2</v>
      </c>
      <c r="T186" s="101">
        <v>6.9628560979327903E-2</v>
      </c>
      <c r="U186" s="102">
        <f>(T186-T186)/T186*100</f>
        <v>0</v>
      </c>
      <c r="W186" s="98" t="s">
        <v>182</v>
      </c>
      <c r="X186" s="99">
        <f t="shared" si="33"/>
        <v>0</v>
      </c>
      <c r="Y186" s="104">
        <v>5</v>
      </c>
      <c r="Z186" s="101">
        <v>7.9891335076030134E-2</v>
      </c>
      <c r="AA186" s="101">
        <v>6.9628560979327903E-2</v>
      </c>
      <c r="AB186" s="102">
        <f>(AA186-AA186)/AA186*100</f>
        <v>0</v>
      </c>
      <c r="AD186" s="98" t="s">
        <v>182</v>
      </c>
      <c r="AE186" s="99">
        <f t="shared" si="35"/>
        <v>0</v>
      </c>
      <c r="AF186" s="104">
        <v>15</v>
      </c>
      <c r="AG186" s="101">
        <v>7.9891335076030134E-2</v>
      </c>
      <c r="AH186" s="101">
        <v>6.9628560979327903E-2</v>
      </c>
      <c r="AI186" s="102">
        <f>(AH186-AH186)/AH186*100</f>
        <v>0</v>
      </c>
      <c r="AK186" s="98" t="s">
        <v>182</v>
      </c>
      <c r="AL186" s="99">
        <f t="shared" si="37"/>
        <v>0</v>
      </c>
      <c r="AM186" s="104">
        <v>20</v>
      </c>
      <c r="AN186" s="101">
        <v>7.9891335076030134E-2</v>
      </c>
      <c r="AO186" s="101">
        <v>6.9628560979327903E-2</v>
      </c>
      <c r="AP186" s="102">
        <f>(AO186-AO186)/AO186*100</f>
        <v>0</v>
      </c>
      <c r="AR186" s="98" t="s">
        <v>182</v>
      </c>
      <c r="AS186" s="99">
        <f t="shared" si="39"/>
        <v>0</v>
      </c>
      <c r="AT186" s="104">
        <v>85</v>
      </c>
      <c r="AU186" s="101">
        <v>7.9891335076030134E-2</v>
      </c>
      <c r="AV186" s="101">
        <v>6.9628560979327903E-2</v>
      </c>
      <c r="AW186" s="102">
        <f>(AV186-AV186)/AV186*100</f>
        <v>0</v>
      </c>
    </row>
    <row r="187" spans="2:49">
      <c r="B187" s="98">
        <v>1</v>
      </c>
      <c r="C187" s="99">
        <f>IF(ISERROR((D187-D186)/D186*100),"error",(D187-D186)/D186*100)</f>
        <v>18.571428571428573</v>
      </c>
      <c r="D187" s="99">
        <f>D186+B187*(D196-D186)/10</f>
        <v>83000000</v>
      </c>
      <c r="E187" s="101">
        <v>8.8541743933947509E-2</v>
      </c>
      <c r="F187" s="101">
        <v>7.7167745549048913E-2</v>
      </c>
      <c r="G187" s="102">
        <f>(F187-F186)/F186*100</f>
        <v>10.827718487474309</v>
      </c>
      <c r="I187" s="98">
        <v>1</v>
      </c>
      <c r="J187" s="99">
        <f t="shared" si="40"/>
        <v>35.351473922902485</v>
      </c>
      <c r="K187" s="105">
        <f>K186+I187*(K196-K186)/10</f>
        <v>29.844999999999999</v>
      </c>
      <c r="L187" s="101">
        <v>8.836508112219929E-2</v>
      </c>
      <c r="M187" s="101">
        <v>7.7013776694367944E-2</v>
      </c>
      <c r="N187" s="102">
        <f>(M187-M186)/M186*100</f>
        <v>10.606589610882015</v>
      </c>
      <c r="P187" s="98">
        <v>1</v>
      </c>
      <c r="Q187" s="99">
        <f t="shared" si="31"/>
        <v>3.3333333333333335</v>
      </c>
      <c r="R187" s="99">
        <f>R186+P187*(R196-R186)/10</f>
        <v>77.5</v>
      </c>
      <c r="S187" s="101">
        <v>7.8511280370645448E-2</v>
      </c>
      <c r="T187" s="101">
        <v>6.8425786947360095E-2</v>
      </c>
      <c r="U187" s="102">
        <f>(T187-T186)/T186*100</f>
        <v>-1.7274147491356313</v>
      </c>
      <c r="W187" s="98">
        <v>1</v>
      </c>
      <c r="X187" s="99">
        <f t="shared" si="33"/>
        <v>20</v>
      </c>
      <c r="Y187" s="106">
        <f>Y186+W187*(Y196-Y186)/10</f>
        <v>6</v>
      </c>
      <c r="Z187" s="101">
        <v>8.1854197574490764E-2</v>
      </c>
      <c r="AA187" s="101">
        <v>7.1339275802631774E-2</v>
      </c>
      <c r="AB187" s="102">
        <f>(AA187-AA186)/AA186*100</f>
        <v>2.4569153796123508</v>
      </c>
      <c r="AD187" s="98">
        <v>1</v>
      </c>
      <c r="AE187" s="99">
        <f t="shared" si="35"/>
        <v>23.333333333333332</v>
      </c>
      <c r="AF187" s="106">
        <f>AF186+AD187*(AF196-AF186)/10</f>
        <v>18.5</v>
      </c>
      <c r="AG187" s="101">
        <v>8.4407251401700467E-2</v>
      </c>
      <c r="AH187" s="101">
        <v>7.4621688936990949E-2</v>
      </c>
      <c r="AI187" s="102">
        <f>(AH187-AH186)/AH186*100</f>
        <v>7.1710917006391401</v>
      </c>
      <c r="AK187" s="98">
        <v>1</v>
      </c>
      <c r="AL187" s="99">
        <f t="shared" si="37"/>
        <v>15</v>
      </c>
      <c r="AM187" s="107">
        <f>AM186+AK187*(AM196-AM186)/10</f>
        <v>23</v>
      </c>
      <c r="AN187" s="101">
        <v>7.676481416823476E-2</v>
      </c>
      <c r="AO187" s="101">
        <v>6.6903670332871687E-2</v>
      </c>
      <c r="AP187" s="102">
        <f>(AO187-AO186)/AO186*100</f>
        <v>-3.9134668419547136</v>
      </c>
      <c r="AR187" s="98">
        <v>1</v>
      </c>
      <c r="AS187" s="99">
        <f t="shared" si="39"/>
        <v>1.7647058823529411</v>
      </c>
      <c r="AT187" s="106">
        <f>AT186+AR187*(AT196-AT186)/10</f>
        <v>86.5</v>
      </c>
      <c r="AU187" s="101">
        <v>7.8863010317774762E-2</v>
      </c>
      <c r="AV187" s="101">
        <v>6.873233395960672E-2</v>
      </c>
      <c r="AW187" s="102">
        <f>(AV187-AV186)/AV186*100</f>
        <v>-1.2871543043769986</v>
      </c>
    </row>
    <row r="188" spans="2:49">
      <c r="B188" s="98">
        <f>B187+1</f>
        <v>2</v>
      </c>
      <c r="C188" s="99">
        <f>IF(ISERROR((D188-D186)/D186*100),"error",(D188-D186)/D186*100)</f>
        <v>37.142857142857146</v>
      </c>
      <c r="D188" s="99">
        <f>D186+B188*(D196-D186)/10</f>
        <v>96000000</v>
      </c>
      <c r="E188" s="101">
        <v>9.7192152791864897E-2</v>
      </c>
      <c r="F188" s="101">
        <v>8.4706930118769938E-2</v>
      </c>
      <c r="G188" s="102">
        <f>(F188-F186)/F186*100</f>
        <v>21.655436974948643</v>
      </c>
      <c r="I188" s="98">
        <f>I187+1</f>
        <v>2</v>
      </c>
      <c r="J188" s="99">
        <f t="shared" si="40"/>
        <v>70.702947845804985</v>
      </c>
      <c r="K188" s="105">
        <f>K186+I188*(K196-K186)/10</f>
        <v>37.64</v>
      </c>
      <c r="L188" s="101">
        <v>9.6838827168368447E-2</v>
      </c>
      <c r="M188" s="101">
        <v>8.4398992409407986E-2</v>
      </c>
      <c r="N188" s="102">
        <f>(M188-M186)/M186*100</f>
        <v>21.21317922176403</v>
      </c>
      <c r="P188" s="98">
        <f>P187+1</f>
        <v>2</v>
      </c>
      <c r="Q188" s="99">
        <f t="shared" si="31"/>
        <v>6.666666666666667</v>
      </c>
      <c r="R188" s="99">
        <f>R186+P188*(R196-R186)/10</f>
        <v>80</v>
      </c>
      <c r="S188" s="101">
        <v>7.7131225665260761E-2</v>
      </c>
      <c r="T188" s="101">
        <v>6.722301291539233E-2</v>
      </c>
      <c r="U188" s="102">
        <f>(T188-T186)/T186*100</f>
        <v>-3.4548294982712022</v>
      </c>
      <c r="W188" s="98">
        <f>W187+1</f>
        <v>2</v>
      </c>
      <c r="X188" s="99">
        <f t="shared" si="33"/>
        <v>40</v>
      </c>
      <c r="Y188" s="106">
        <f>Y186+W188*(Y196-Y186)/10</f>
        <v>7</v>
      </c>
      <c r="Z188" s="101">
        <v>8.3919706231235819E-2</v>
      </c>
      <c r="AA188" s="101">
        <v>7.3139450944562187E-2</v>
      </c>
      <c r="AB188" s="102">
        <f>(AA188-AA186)/AA186*100</f>
        <v>5.0423129759591561</v>
      </c>
      <c r="AD188" s="98">
        <f>AD187+1</f>
        <v>2</v>
      </c>
      <c r="AE188" s="99">
        <f t="shared" si="35"/>
        <v>46.666666666666664</v>
      </c>
      <c r="AF188" s="106">
        <f>AF186+AD188*(AF196-AF186)/10</f>
        <v>22</v>
      </c>
      <c r="AG188" s="101">
        <v>8.9272679003172206E-2</v>
      </c>
      <c r="AH188" s="101">
        <v>7.9876524862556447E-2</v>
      </c>
      <c r="AI188" s="102">
        <f>(AH188-AH186)/AH186*100</f>
        <v>14.71804635783163</v>
      </c>
      <c r="AK188" s="98">
        <f>AK187+1</f>
        <v>2</v>
      </c>
      <c r="AL188" s="99">
        <f t="shared" si="37"/>
        <v>30</v>
      </c>
      <c r="AM188" s="107">
        <f>AM186+AK188*(AM196-AM186)/10</f>
        <v>26</v>
      </c>
      <c r="AN188" s="101">
        <v>7.435979808531526E-2</v>
      </c>
      <c r="AO188" s="101">
        <v>6.4807600604828458E-2</v>
      </c>
      <c r="AP188" s="102">
        <f>(AO188-AO186)/AO186*100</f>
        <v>-6.9238259511506266</v>
      </c>
      <c r="AR188" s="98">
        <f>AR187+1</f>
        <v>2</v>
      </c>
      <c r="AS188" s="99">
        <f t="shared" si="39"/>
        <v>3.5294117647058822</v>
      </c>
      <c r="AT188" s="106">
        <f>AT186+AR188*(AT196-AT186)/10</f>
        <v>88</v>
      </c>
      <c r="AU188" s="101">
        <v>7.7869742085368995E-2</v>
      </c>
      <c r="AV188" s="101">
        <v>6.7866660133739654E-2</v>
      </c>
      <c r="AW188" s="102">
        <f>(AV188-AV186)/AV186*100</f>
        <v>-2.5304283483775309</v>
      </c>
    </row>
    <row r="189" spans="2:49">
      <c r="B189" s="98">
        <f t="shared" ref="B189:B196" si="41">B188+1</f>
        <v>3</v>
      </c>
      <c r="C189" s="99">
        <f>IF(ISERROR((D189-D186)/D186*100),"error",(D189-D186)/D186*100)</f>
        <v>55.714285714285715</v>
      </c>
      <c r="D189" s="99">
        <f>D186+B189*(D196-D186)/10</f>
        <v>109000000</v>
      </c>
      <c r="E189" s="101">
        <v>0.10584256164978229</v>
      </c>
      <c r="F189" s="101">
        <v>9.2246114688490963E-2</v>
      </c>
      <c r="G189" s="102">
        <f>(F189-F186)/F186*100</f>
        <v>32.483155462422971</v>
      </c>
      <c r="I189" s="98">
        <f t="shared" ref="I189:I196" si="42">I188+1</f>
        <v>3</v>
      </c>
      <c r="J189" s="99">
        <f t="shared" si="40"/>
        <v>106.0544217687075</v>
      </c>
      <c r="K189" s="105">
        <f>K186+I189*(K196-K186)/10</f>
        <v>45.435000000000002</v>
      </c>
      <c r="L189" s="101">
        <v>0.1053125732145376</v>
      </c>
      <c r="M189" s="101">
        <v>9.1784208124448041E-2</v>
      </c>
      <c r="N189" s="102">
        <f>(M189-M186)/M186*100</f>
        <v>31.819768832646062</v>
      </c>
      <c r="P189" s="98">
        <f t="shared" ref="P189:P196" si="43">P188+1</f>
        <v>3</v>
      </c>
      <c r="Q189" s="99">
        <f t="shared" si="31"/>
        <v>10</v>
      </c>
      <c r="R189" s="99">
        <f>R186+P189*(R196-R186)/10</f>
        <v>82.5</v>
      </c>
      <c r="S189" s="101">
        <v>7.575117095987606E-2</v>
      </c>
      <c r="T189" s="101">
        <v>6.6020238883424537E-2</v>
      </c>
      <c r="U189" s="102">
        <f>(T189-T186)/T186*100</f>
        <v>-5.1822442474068131</v>
      </c>
      <c r="W189" s="98">
        <f t="shared" ref="W189:W196" si="44">W188+1</f>
        <v>3</v>
      </c>
      <c r="X189" s="99">
        <f t="shared" si="33"/>
        <v>60</v>
      </c>
      <c r="Y189" s="106">
        <f>Y186+W189*(Y196-Y186)/10</f>
        <v>8</v>
      </c>
      <c r="Z189" s="101">
        <v>8.6082871062161656E-2</v>
      </c>
      <c r="AA189" s="101">
        <v>7.5024737430200689E-2</v>
      </c>
      <c r="AB189" s="102">
        <f>(AA189-AA186)/AA186*100</f>
        <v>7.7499468249456749</v>
      </c>
      <c r="AD189" s="98">
        <f t="shared" ref="AD189:AD196" si="45">AD188+1</f>
        <v>3</v>
      </c>
      <c r="AE189" s="99">
        <f t="shared" si="35"/>
        <v>70</v>
      </c>
      <c r="AF189" s="106">
        <f>AF186+AD189*(AF196-AF186)/10</f>
        <v>25.5</v>
      </c>
      <c r="AG189" s="101">
        <v>9.4403878804406344E-2</v>
      </c>
      <c r="AH189" s="101">
        <v>8.5320722220240064E-2</v>
      </c>
      <c r="AI189" s="102">
        <f>(AH189-AH186)/AH186*100</f>
        <v>22.536960437213434</v>
      </c>
      <c r="AK189" s="98">
        <f t="shared" ref="AK189:AK196" si="46">AK188+1</f>
        <v>3</v>
      </c>
      <c r="AL189" s="99">
        <f t="shared" si="37"/>
        <v>45</v>
      </c>
      <c r="AM189" s="107">
        <f>AM186+AK189*(AM196-AM186)/10</f>
        <v>29</v>
      </c>
      <c r="AN189" s="101">
        <v>7.2452371536792903E-2</v>
      </c>
      <c r="AO189" s="101">
        <v>6.3145200475690735E-2</v>
      </c>
      <c r="AP189" s="102">
        <f>(AO189-AO186)/AO186*100</f>
        <v>-9.3113521412025424</v>
      </c>
      <c r="AR189" s="98">
        <f t="shared" ref="AR189:AR196" si="47">AR188+1</f>
        <v>3</v>
      </c>
      <c r="AS189" s="99">
        <f t="shared" si="39"/>
        <v>5.2941176470588234</v>
      </c>
      <c r="AT189" s="106">
        <f>AT186+AR189*(AT196-AT186)/10</f>
        <v>89.5</v>
      </c>
      <c r="AU189" s="101">
        <v>7.6909767760194717E-2</v>
      </c>
      <c r="AV189" s="101">
        <v>6.7030003307622335E-2</v>
      </c>
      <c r="AW189" s="102">
        <f>(AV189-AV186)/AV186*100</f>
        <v>-3.7320284020763492</v>
      </c>
    </row>
    <row r="190" spans="2:49">
      <c r="B190" s="98">
        <f t="shared" si="41"/>
        <v>4</v>
      </c>
      <c r="C190" s="99">
        <f>IF(ISERROR((D190-D186)/D186*100),"error",(D190-D186)/D186*100)</f>
        <v>74.285714285714292</v>
      </c>
      <c r="D190" s="99">
        <f>D186+B190*(D196-D186)/10</f>
        <v>122000000</v>
      </c>
      <c r="E190" s="101">
        <v>0.11449297050769967</v>
      </c>
      <c r="F190" s="101">
        <v>9.9785299258212001E-2</v>
      </c>
      <c r="G190" s="102">
        <f>(F190-F186)/F186*100</f>
        <v>43.310873949897321</v>
      </c>
      <c r="I190" s="98">
        <f t="shared" si="42"/>
        <v>4</v>
      </c>
      <c r="J190" s="99">
        <f t="shared" si="40"/>
        <v>141.40589569161</v>
      </c>
      <c r="K190" s="105">
        <f>K186+I190*(K196-K186)/10</f>
        <v>53.230000000000004</v>
      </c>
      <c r="L190" s="101">
        <v>0.11378631926070676</v>
      </c>
      <c r="M190" s="101">
        <v>9.9169423839488083E-2</v>
      </c>
      <c r="N190" s="102">
        <f>(M190-M186)/M186*100</f>
        <v>42.42635844352808</v>
      </c>
      <c r="P190" s="98">
        <f t="shared" si="43"/>
        <v>4</v>
      </c>
      <c r="Q190" s="99">
        <f t="shared" si="31"/>
        <v>13.333333333333334</v>
      </c>
      <c r="R190" s="99">
        <f>R186+P190*(R196-R186)/10</f>
        <v>85</v>
      </c>
      <c r="S190" s="101">
        <v>7.4371116254491373E-2</v>
      </c>
      <c r="T190" s="101">
        <v>6.4817464851456744E-2</v>
      </c>
      <c r="U190" s="102">
        <f>(T190-T186)/T186*100</f>
        <v>-6.9096589965424258</v>
      </c>
      <c r="W190" s="98">
        <f t="shared" si="44"/>
        <v>4</v>
      </c>
      <c r="X190" s="99">
        <f t="shared" si="33"/>
        <v>80</v>
      </c>
      <c r="Y190" s="106">
        <f>Y186+W190*(Y196-Y186)/10</f>
        <v>9</v>
      </c>
      <c r="Z190" s="101">
        <v>8.8338411803235234E-2</v>
      </c>
      <c r="AA190" s="101">
        <v>7.6990533293816429E-2</v>
      </c>
      <c r="AB190" s="102">
        <f>(AA190-AA186)/AA186*100</f>
        <v>10.573207619031837</v>
      </c>
      <c r="AD190" s="98">
        <f t="shared" si="45"/>
        <v>4</v>
      </c>
      <c r="AE190" s="99">
        <f t="shared" si="35"/>
        <v>93.333333333333329</v>
      </c>
      <c r="AF190" s="106">
        <f>AF186+AD190*(AF196-AF186)/10</f>
        <v>29</v>
      </c>
      <c r="AG190" s="101">
        <v>9.9733340569101325E-2</v>
      </c>
      <c r="AH190" s="101">
        <v>9.0897922104066692E-2</v>
      </c>
      <c r="AI190" s="102">
        <f>(AH190-AH186)/AH186*100</f>
        <v>30.546891714527135</v>
      </c>
      <c r="AK190" s="98">
        <f t="shared" si="46"/>
        <v>4</v>
      </c>
      <c r="AL190" s="99">
        <f t="shared" si="37"/>
        <v>60</v>
      </c>
      <c r="AM190" s="107">
        <f>AM186+AK190*(AM196-AM186)/10</f>
        <v>32</v>
      </c>
      <c r="AN190" s="101">
        <v>7.0902587466118466E-2</v>
      </c>
      <c r="AO190" s="101">
        <v>6.1794500370766309E-2</v>
      </c>
      <c r="AP190" s="102">
        <f>(AO190-AO186)/AO186*100</f>
        <v>-11.251217170619764</v>
      </c>
      <c r="AR190" s="98">
        <f t="shared" si="47"/>
        <v>4</v>
      </c>
      <c r="AS190" s="99">
        <f t="shared" si="39"/>
        <v>7.0588235294117645</v>
      </c>
      <c r="AT190" s="106">
        <f>AT186+AR190*(AT196-AT186)/10</f>
        <v>91</v>
      </c>
      <c r="AU190" s="101">
        <v>7.5981440940246003E-2</v>
      </c>
      <c r="AV190" s="101">
        <v>6.6220928574673765E-2</v>
      </c>
      <c r="AW190" s="102">
        <f>(AV190-AV186)/AV186*100</f>
        <v>-4.8940152671916239</v>
      </c>
    </row>
    <row r="191" spans="2:49">
      <c r="B191" s="98">
        <f t="shared" si="41"/>
        <v>5</v>
      </c>
      <c r="C191" s="99">
        <f>IF(ISERROR((D191-D186)/D186*100),"error",(D191-D186)/D186*100)</f>
        <v>92.857142857142861</v>
      </c>
      <c r="D191" s="99">
        <f>D186+B191*(D196-D186)/10</f>
        <v>135000000</v>
      </c>
      <c r="E191" s="101">
        <v>0.12314337936561712</v>
      </c>
      <c r="F191" s="101">
        <v>0.1073244838279331</v>
      </c>
      <c r="G191" s="102">
        <f>(F191-F186)/F186*100</f>
        <v>54.138592437371749</v>
      </c>
      <c r="I191" s="98">
        <f t="shared" si="42"/>
        <v>5</v>
      </c>
      <c r="J191" s="99">
        <f t="shared" si="40"/>
        <v>176.7573696145125</v>
      </c>
      <c r="K191" s="105">
        <f>K186+I191*(K196-K186)/10</f>
        <v>61.025000000000006</v>
      </c>
      <c r="L191" s="101">
        <v>0.12226006530687591</v>
      </c>
      <c r="M191" s="101">
        <v>0.10655463955452811</v>
      </c>
      <c r="N191" s="102">
        <f>(M191-M186)/M186*100</f>
        <v>53.03294805441007</v>
      </c>
      <c r="P191" s="98">
        <f t="shared" si="43"/>
        <v>5</v>
      </c>
      <c r="Q191" s="99">
        <f t="shared" si="31"/>
        <v>16.666666666666664</v>
      </c>
      <c r="R191" s="99">
        <f>R186+P191*(R196-R186)/10</f>
        <v>87.5</v>
      </c>
      <c r="S191" s="101">
        <v>7.2991061549106701E-2</v>
      </c>
      <c r="T191" s="101">
        <v>6.3614690819488978E-2</v>
      </c>
      <c r="U191" s="102">
        <f>(T191-T186)/T186*100</f>
        <v>-8.6370737456779967</v>
      </c>
      <c r="W191" s="98">
        <f t="shared" si="44"/>
        <v>5</v>
      </c>
      <c r="X191" s="99">
        <f t="shared" si="33"/>
        <v>100</v>
      </c>
      <c r="Y191" s="106">
        <f>Y186+W191*(Y196-Y186)/10</f>
        <v>10</v>
      </c>
      <c r="Z191" s="101">
        <v>9.0680865211248296E-2</v>
      </c>
      <c r="AA191" s="101">
        <v>7.9032077095855219E-2</v>
      </c>
      <c r="AB191" s="102">
        <f>(AA191-AA186)/AA186*100</f>
        <v>13.505257015607627</v>
      </c>
      <c r="AD191" s="98">
        <f t="shared" si="45"/>
        <v>5</v>
      </c>
      <c r="AE191" s="99">
        <f t="shared" si="35"/>
        <v>116.66666666666667</v>
      </c>
      <c r="AF191" s="106">
        <f>AF186+AD191*(AF196-AF186)/10</f>
        <v>32.5</v>
      </c>
      <c r="AG191" s="101">
        <v>0.10520881787445208</v>
      </c>
      <c r="AH191" s="101">
        <v>9.6566138649695418E-2</v>
      </c>
      <c r="AI191" s="102">
        <f>(AH191-AH186)/AH186*100</f>
        <v>38.687540416590025</v>
      </c>
      <c r="AK191" s="98">
        <f t="shared" si="46"/>
        <v>5</v>
      </c>
      <c r="AL191" s="99">
        <f t="shared" si="37"/>
        <v>75</v>
      </c>
      <c r="AM191" s="107">
        <f>AM186+AK191*(AM196-AM186)/10</f>
        <v>35</v>
      </c>
      <c r="AN191" s="101">
        <v>6.9618480664702539E-2</v>
      </c>
      <c r="AO191" s="101">
        <v>6.0675348855257535E-2</v>
      </c>
      <c r="AP191" s="102">
        <f>(AO191-AO186)/AO186*100</f>
        <v>-12.858533909279693</v>
      </c>
      <c r="AR191" s="98">
        <f t="shared" si="47"/>
        <v>5</v>
      </c>
      <c r="AS191" s="99">
        <f t="shared" si="39"/>
        <v>8.8235294117647065</v>
      </c>
      <c r="AT191" s="106">
        <f>AT186+AR191*(AT196-AT186)/10</f>
        <v>92.5</v>
      </c>
      <c r="AU191" s="101">
        <v>7.5083222017160445E-2</v>
      </c>
      <c r="AV191" s="101">
        <v>6.5438094103334288E-2</v>
      </c>
      <c r="AW191" s="102">
        <f>(AV191-AV186)/AV186*100</f>
        <v>-6.0183160718167459</v>
      </c>
    </row>
    <row r="192" spans="2:49">
      <c r="B192" s="98">
        <f t="shared" si="41"/>
        <v>6</v>
      </c>
      <c r="C192" s="99">
        <f>IF(ISERROR((D192-D186)/D186*100),"error",(D192-D186)/D186*100)</f>
        <v>111.42857142857143</v>
      </c>
      <c r="D192" s="99">
        <f>D186+B192*(D196-D186)/10</f>
        <v>148000000</v>
      </c>
      <c r="E192" s="101">
        <v>0.13179378822353452</v>
      </c>
      <c r="F192" s="101">
        <v>0.11486366839765413</v>
      </c>
      <c r="G192" s="102">
        <f>(F192-F186)/F186*100</f>
        <v>64.966310924846098</v>
      </c>
      <c r="I192" s="98">
        <f t="shared" si="42"/>
        <v>6</v>
      </c>
      <c r="J192" s="99">
        <f t="shared" si="40"/>
        <v>212.108843537415</v>
      </c>
      <c r="K192" s="105">
        <f>K186+I192*(K196-K186)/10</f>
        <v>68.820000000000007</v>
      </c>
      <c r="L192" s="101">
        <v>0.1307338113530451</v>
      </c>
      <c r="M192" s="101">
        <v>0.11393985526956819</v>
      </c>
      <c r="N192" s="102">
        <f>(M192-M186)/M186*100</f>
        <v>63.639537665292146</v>
      </c>
      <c r="P192" s="98">
        <f t="shared" si="43"/>
        <v>6</v>
      </c>
      <c r="Q192" s="99">
        <f t="shared" si="31"/>
        <v>20</v>
      </c>
      <c r="R192" s="99">
        <f>R186+P192*(R196-R186)/10</f>
        <v>90</v>
      </c>
      <c r="S192" s="101">
        <v>7.1611006843722E-2</v>
      </c>
      <c r="T192" s="101">
        <v>6.2411916787521178E-2</v>
      </c>
      <c r="U192" s="102">
        <f>(T192-T186)/T186*100</f>
        <v>-10.364488494813617</v>
      </c>
      <c r="W192" s="98">
        <f t="shared" si="44"/>
        <v>6</v>
      </c>
      <c r="X192" s="99">
        <f t="shared" si="33"/>
        <v>120</v>
      </c>
      <c r="Y192" s="106">
        <f>Y186+W192*(Y196-Y186)/10</f>
        <v>11</v>
      </c>
      <c r="Z192" s="101">
        <v>9.3104683008965766E-2</v>
      </c>
      <c r="AA192" s="101">
        <v>8.1144533286135939E-2</v>
      </c>
      <c r="AB192" s="102">
        <f>(AA192-AA186)/AA186*100</f>
        <v>16.539150234954629</v>
      </c>
      <c r="AD192" s="98">
        <f t="shared" si="45"/>
        <v>6</v>
      </c>
      <c r="AE192" s="99">
        <f t="shared" si="35"/>
        <v>140</v>
      </c>
      <c r="AF192" s="106">
        <f>AF186+AD192*(AF196-AF186)/10</f>
        <v>36</v>
      </c>
      <c r="AG192" s="101">
        <v>0.1107908738058761</v>
      </c>
      <c r="AH192" s="101">
        <v>0.10229499446274076</v>
      </c>
      <c r="AI192" s="102">
        <f>(AH192-AH186)/AH186*100</f>
        <v>46.915278764860915</v>
      </c>
      <c r="AK192" s="98">
        <f t="shared" si="46"/>
        <v>6</v>
      </c>
      <c r="AL192" s="99">
        <f t="shared" si="37"/>
        <v>90</v>
      </c>
      <c r="AM192" s="107">
        <f>AM186+AK192*(AM196-AM186)/10</f>
        <v>38</v>
      </c>
      <c r="AN192" s="101">
        <v>6.8537127568773309E-2</v>
      </c>
      <c r="AO192" s="101">
        <v>5.9732905473776438E-2</v>
      </c>
      <c r="AP192" s="102">
        <f>(AO192-AO186)/AO186*100</f>
        <v>-14.212063794467038</v>
      </c>
      <c r="AR192" s="98">
        <f t="shared" si="47"/>
        <v>6</v>
      </c>
      <c r="AS192" s="99">
        <f t="shared" si="39"/>
        <v>10.588235294117647</v>
      </c>
      <c r="AT192" s="106">
        <f>AT186+AR192*(AT196-AT186)/10</f>
        <v>94</v>
      </c>
      <c r="AU192" s="101">
        <v>7.4213669655449968E-2</v>
      </c>
      <c r="AV192" s="101">
        <v>6.4680243710867349E-2</v>
      </c>
      <c r="AW192" s="102">
        <f>(AV192-AV186)/AV186*100</f>
        <v>-7.1067349358687224</v>
      </c>
    </row>
    <row r="193" spans="2:49">
      <c r="B193" s="98">
        <f t="shared" si="41"/>
        <v>7</v>
      </c>
      <c r="C193" s="99">
        <f>IF(ISERROR((D193-D186)/D186*100),"error",(D193-D186)/D186*100)</f>
        <v>130</v>
      </c>
      <c r="D193" s="99">
        <f>D186+B193*(D196-D186)/10</f>
        <v>161000000</v>
      </c>
      <c r="E193" s="101">
        <v>0.14044419708145187</v>
      </c>
      <c r="F193" s="101">
        <v>0.12240285296737513</v>
      </c>
      <c r="G193" s="102">
        <f>(F193-F186)/F186*100</f>
        <v>75.794029412320384</v>
      </c>
      <c r="I193" s="98">
        <f t="shared" si="42"/>
        <v>7</v>
      </c>
      <c r="J193" s="99">
        <f t="shared" si="40"/>
        <v>247.46031746031741</v>
      </c>
      <c r="K193" s="105">
        <f>K186+I193*(K196-K186)/10</f>
        <v>76.614999999999995</v>
      </c>
      <c r="L193" s="101">
        <v>0.13920755739921425</v>
      </c>
      <c r="M193" s="101">
        <v>0.12132507098460822</v>
      </c>
      <c r="N193" s="102">
        <f>(M193-M186)/M186*100</f>
        <v>74.24612727617415</v>
      </c>
      <c r="P193" s="98">
        <f t="shared" si="43"/>
        <v>7</v>
      </c>
      <c r="Q193" s="99">
        <f t="shared" si="31"/>
        <v>23.333333333333332</v>
      </c>
      <c r="R193" s="99">
        <f>R186+P193*(R196-R186)/10</f>
        <v>92.5</v>
      </c>
      <c r="S193" s="101">
        <v>7.0230952138337327E-2</v>
      </c>
      <c r="T193" s="101">
        <v>6.1209142755553399E-2</v>
      </c>
      <c r="U193" s="102">
        <f>(T193-T186)/T186*100</f>
        <v>-12.09190324394921</v>
      </c>
      <c r="W193" s="98">
        <f t="shared" si="44"/>
        <v>7</v>
      </c>
      <c r="X193" s="99">
        <f t="shared" si="33"/>
        <v>140</v>
      </c>
      <c r="Y193" s="106">
        <f>Y186+W193*(Y196-Y186)/10</f>
        <v>12</v>
      </c>
      <c r="Z193" s="101">
        <v>9.5604318664949367E-2</v>
      </c>
      <c r="AA193" s="101">
        <v>8.3323067836010747E-2</v>
      </c>
      <c r="AB193" s="102">
        <f>(AA193-AA186)/AA186*100</f>
        <v>19.667944682568724</v>
      </c>
      <c r="AD193" s="98">
        <f t="shared" si="45"/>
        <v>7</v>
      </c>
      <c r="AE193" s="99">
        <f t="shared" si="35"/>
        <v>163.33333333333334</v>
      </c>
      <c r="AF193" s="106">
        <f>AF186+AD193*(AF196-AF186)/10</f>
        <v>39.5</v>
      </c>
      <c r="AG193" s="101">
        <v>0.11645015824870428</v>
      </c>
      <c r="AH193" s="101">
        <v>0.10806291044229326</v>
      </c>
      <c r="AI193" s="102">
        <f>(AH193-AH186)/AH186*100</f>
        <v>55.199115021745413</v>
      </c>
      <c r="AK193" s="98">
        <f t="shared" si="46"/>
        <v>7</v>
      </c>
      <c r="AL193" s="99">
        <f t="shared" si="37"/>
        <v>105</v>
      </c>
      <c r="AM193" s="107">
        <f>AM186+AK193*(AM196-AM186)/10</f>
        <v>41</v>
      </c>
      <c r="AN193" s="101">
        <v>6.7614021267370331E-2</v>
      </c>
      <c r="AO193" s="101">
        <v>5.892838063592673E-2</v>
      </c>
      <c r="AP193" s="102">
        <f>(AO193-AO186)/AO186*100</f>
        <v>-15.36751613548061</v>
      </c>
      <c r="AR193" s="98">
        <f t="shared" si="47"/>
        <v>7</v>
      </c>
      <c r="AS193" s="99">
        <f t="shared" si="39"/>
        <v>12.352941176470589</v>
      </c>
      <c r="AT193" s="106">
        <f>AT186+AR193*(AT196-AT186)/10</f>
        <v>95.5</v>
      </c>
      <c r="AU193" s="101">
        <v>7.3371433074735662E-2</v>
      </c>
      <c r="AV193" s="101">
        <v>6.3946200137011966E-2</v>
      </c>
      <c r="AW193" s="102">
        <f>(AV193-AV186)/AV186*100</f>
        <v>-8.1609626314164068</v>
      </c>
    </row>
    <row r="194" spans="2:49">
      <c r="B194" s="98">
        <f t="shared" si="41"/>
        <v>8</v>
      </c>
      <c r="C194" s="99">
        <f>IF(ISERROR((D194-D186)/D186*100),"error",(D194-D186)/D186*100)</f>
        <v>148.57142857142858</v>
      </c>
      <c r="D194" s="99">
        <f>D186+B194*(D196-D186)/10</f>
        <v>174000000</v>
      </c>
      <c r="E194" s="101">
        <v>0.1490946059393693</v>
      </c>
      <c r="F194" s="101">
        <v>0.12994203753709618</v>
      </c>
      <c r="G194" s="102">
        <f>(F194-F186)/F186*100</f>
        <v>86.621747899794755</v>
      </c>
      <c r="I194" s="98">
        <f t="shared" si="42"/>
        <v>8</v>
      </c>
      <c r="J194" s="99">
        <f t="shared" si="40"/>
        <v>282.81179138321994</v>
      </c>
      <c r="K194" s="105">
        <f>K186+I194*(K196-K186)/10</f>
        <v>84.41</v>
      </c>
      <c r="L194" s="101">
        <v>0.14768130344538341</v>
      </c>
      <c r="M194" s="101">
        <v>0.12871028669964829</v>
      </c>
      <c r="N194" s="102">
        <f>(M194-M186)/M186*100</f>
        <v>84.852716887056204</v>
      </c>
      <c r="P194" s="98">
        <f t="shared" si="43"/>
        <v>8</v>
      </c>
      <c r="Q194" s="99">
        <f t="shared" si="31"/>
        <v>26.666666666666668</v>
      </c>
      <c r="R194" s="99">
        <f>R186+P194*(R196-R186)/10</f>
        <v>95</v>
      </c>
      <c r="S194" s="101">
        <v>6.885089743295264E-2</v>
      </c>
      <c r="T194" s="101">
        <v>6.0006368723585619E-2</v>
      </c>
      <c r="U194" s="102">
        <f>(T194-T186)/T186*100</f>
        <v>-13.819317993084802</v>
      </c>
      <c r="W194" s="98">
        <f t="shared" si="44"/>
        <v>8</v>
      </c>
      <c r="X194" s="99">
        <f t="shared" si="33"/>
        <v>160</v>
      </c>
      <c r="Y194" s="106">
        <f>Y186+W194*(Y196-Y186)/10</f>
        <v>13</v>
      </c>
      <c r="Z194" s="101">
        <v>9.8174301996567348E-2</v>
      </c>
      <c r="AA194" s="101">
        <v>8.5562913257934442E-2</v>
      </c>
      <c r="AB194" s="102">
        <f>(AA194-AA186)/AA186*100</f>
        <v>22.884793329762061</v>
      </c>
      <c r="AD194" s="98">
        <f t="shared" si="45"/>
        <v>8</v>
      </c>
      <c r="AE194" s="99">
        <f t="shared" si="35"/>
        <v>186.66666666666666</v>
      </c>
      <c r="AF194" s="106">
        <f>AF186+AD194*(AF196-AF186)/10</f>
        <v>43</v>
      </c>
      <c r="AG194" s="101">
        <v>0.12216497504752885</v>
      </c>
      <c r="AH194" s="101">
        <v>0.11385472196223595</v>
      </c>
      <c r="AI194" s="102">
        <f>(AH194-AH186)/AH186*100</f>
        <v>63.517269868665529</v>
      </c>
      <c r="AK194" s="98">
        <f t="shared" si="46"/>
        <v>8</v>
      </c>
      <c r="AL194" s="99">
        <f t="shared" si="37"/>
        <v>120</v>
      </c>
      <c r="AM194" s="107">
        <f>AM186+AK194*(AM196-AM186)/10</f>
        <v>44</v>
      </c>
      <c r="AN194" s="101">
        <v>6.6816793097976848E-2</v>
      </c>
      <c r="AO194" s="101">
        <v>5.8233563730511077E-2</v>
      </c>
      <c r="AP194" s="102">
        <f>(AO194-AO186)/AO186*100</f>
        <v>-16.365406793628694</v>
      </c>
      <c r="AR194" s="98">
        <f t="shared" si="47"/>
        <v>8</v>
      </c>
      <c r="AS194" s="99">
        <f t="shared" si="39"/>
        <v>14.117647058823529</v>
      </c>
      <c r="AT194" s="106">
        <f>AT186+AR194*(AT196-AT186)/10</f>
        <v>97</v>
      </c>
      <c r="AU194" s="101">
        <v>7.2555245048064015E-2</v>
      </c>
      <c r="AV194" s="101">
        <v>6.3234858941729394E-2</v>
      </c>
      <c r="AW194" s="102">
        <f>(AV194-AV186)/AV186*100</f>
        <v>-9.1825853466894749</v>
      </c>
    </row>
    <row r="195" spans="2:49">
      <c r="B195" s="98">
        <f t="shared" si="41"/>
        <v>9</v>
      </c>
      <c r="C195" s="99">
        <f>IF(ISERROR((D195-D186)/D186*100),"error",(D195-D186)/D186*100)</f>
        <v>167.14285714285714</v>
      </c>
      <c r="D195" s="99">
        <f>D186+B195*(D196-D186)/10</f>
        <v>187000000</v>
      </c>
      <c r="E195" s="101">
        <v>0.15774501479728664</v>
      </c>
      <c r="F195" s="101">
        <v>0.13748122210681718</v>
      </c>
      <c r="G195" s="102">
        <f>(F195-F186)/F186*100</f>
        <v>97.449466387269041</v>
      </c>
      <c r="I195" s="98">
        <f t="shared" si="42"/>
        <v>9</v>
      </c>
      <c r="J195" s="99">
        <f t="shared" si="40"/>
        <v>318.16326530612241</v>
      </c>
      <c r="K195" s="105">
        <f>K186+I195*(K196-K186)/10</f>
        <v>92.204999999999998</v>
      </c>
      <c r="L195" s="101">
        <v>0.15615504949155259</v>
      </c>
      <c r="M195" s="101">
        <v>0.13609550241468835</v>
      </c>
      <c r="N195" s="102">
        <f>(M195-M186)/M186*100</f>
        <v>95.459306497938229</v>
      </c>
      <c r="P195" s="98">
        <f t="shared" si="43"/>
        <v>9</v>
      </c>
      <c r="Q195" s="99">
        <f t="shared" si="31"/>
        <v>30</v>
      </c>
      <c r="R195" s="99">
        <f>R186+P195*(R196-R186)/10</f>
        <v>97.5</v>
      </c>
      <c r="S195" s="101">
        <v>6.7470842727567953E-2</v>
      </c>
      <c r="T195" s="101">
        <v>5.8803594691617833E-2</v>
      </c>
      <c r="U195" s="102">
        <f>(T195-T186)/T186*100</f>
        <v>-15.546732742220401</v>
      </c>
      <c r="W195" s="98">
        <f t="shared" si="44"/>
        <v>9</v>
      </c>
      <c r="X195" s="99">
        <f t="shared" si="33"/>
        <v>180</v>
      </c>
      <c r="Y195" s="106">
        <f>Y186+W195*(Y196-Y186)/10</f>
        <v>14</v>
      </c>
      <c r="Z195" s="101">
        <v>0.10080930128046049</v>
      </c>
      <c r="AA195" s="101">
        <v>8.7859422737272042E-2</v>
      </c>
      <c r="AB195" s="102">
        <f>(AA195-AA186)/AA186*100</f>
        <v>26.1830224573458</v>
      </c>
      <c r="AD195" s="98">
        <f t="shared" si="45"/>
        <v>9</v>
      </c>
      <c r="AE195" s="99">
        <f t="shared" si="35"/>
        <v>210</v>
      </c>
      <c r="AF195" s="106">
        <f>AF186+AD195*(AF196-AF186)/10</f>
        <v>46.5</v>
      </c>
      <c r="AG195" s="101">
        <v>0.12791931520040789</v>
      </c>
      <c r="AH195" s="101">
        <v>0.1196598339414524</v>
      </c>
      <c r="AI195" s="102">
        <f>(AH195-AH186)/AH186*100</f>
        <v>71.85452673218154</v>
      </c>
      <c r="AK195" s="98">
        <f t="shared" si="46"/>
        <v>9</v>
      </c>
      <c r="AL195" s="99">
        <f t="shared" si="37"/>
        <v>135</v>
      </c>
      <c r="AM195" s="107">
        <f>AM186+AK195*(AM196-AM186)/10</f>
        <v>47</v>
      </c>
      <c r="AN195" s="101">
        <v>6.6121338737442095E-2</v>
      </c>
      <c r="AO195" s="101">
        <v>5.7627446855574006E-2</v>
      </c>
      <c r="AP195" s="102">
        <f>(AO195-AO186)/AO186*100</f>
        <v>-17.235907154991928</v>
      </c>
      <c r="AR195" s="98">
        <f t="shared" si="47"/>
        <v>9</v>
      </c>
      <c r="AS195" s="99">
        <f t="shared" si="39"/>
        <v>15.882352941176469</v>
      </c>
      <c r="AT195" s="106">
        <f>AT186+AR195*(AT196-AT186)/10</f>
        <v>98.5</v>
      </c>
      <c r="AU195" s="101">
        <v>7.1763915539971246E-2</v>
      </c>
      <c r="AV195" s="101">
        <v>6.2545182960516379E-2</v>
      </c>
      <c r="AW195" s="102">
        <f>(AV195-AV186)/AV186*100</f>
        <v>-10.173092649314574</v>
      </c>
    </row>
    <row r="196" spans="2:49" ht="12.75" thickBot="1">
      <c r="B196" s="108">
        <f t="shared" si="41"/>
        <v>10</v>
      </c>
      <c r="C196" s="109">
        <f>IF(ISERROR((D196-D186)/D186*100),"error",(D196-D186)/D186*100)</f>
        <v>185.71428571428572</v>
      </c>
      <c r="D196" s="110">
        <v>200000000</v>
      </c>
      <c r="E196" s="111">
        <v>0.16639542365520404</v>
      </c>
      <c r="F196" s="111">
        <v>0.14502040667653823</v>
      </c>
      <c r="G196" s="112">
        <f>(F196-F186)/F186*100</f>
        <v>108.27718487474343</v>
      </c>
      <c r="I196" s="108">
        <f t="shared" si="42"/>
        <v>10</v>
      </c>
      <c r="J196" s="109">
        <f t="shared" si="40"/>
        <v>353.51473922902494</v>
      </c>
      <c r="K196" s="113">
        <v>100</v>
      </c>
      <c r="L196" s="111">
        <v>0.16462879553772178</v>
      </c>
      <c r="M196" s="111">
        <v>0.14348071812972843</v>
      </c>
      <c r="N196" s="112">
        <f>(M196-M186)/M186*100</f>
        <v>106.06589610882031</v>
      </c>
      <c r="P196" s="108">
        <f t="shared" si="43"/>
        <v>10</v>
      </c>
      <c r="Q196" s="109">
        <f t="shared" si="31"/>
        <v>33.333333333333329</v>
      </c>
      <c r="R196" s="110">
        <v>100</v>
      </c>
      <c r="S196" s="111">
        <v>6.6090788022183281E-2</v>
      </c>
      <c r="T196" s="111">
        <v>5.7600820659650054E-2</v>
      </c>
      <c r="U196" s="112">
        <f>(T196-T186)/T186*100</f>
        <v>-17.274147491355993</v>
      </c>
      <c r="W196" s="108">
        <f t="shared" si="44"/>
        <v>10</v>
      </c>
      <c r="X196" s="109">
        <f t="shared" si="33"/>
        <v>200</v>
      </c>
      <c r="Y196" s="114">
        <v>15</v>
      </c>
      <c r="Z196" s="111">
        <v>0.10350417312444919</v>
      </c>
      <c r="AA196" s="111">
        <v>9.0208113597702283E-2</v>
      </c>
      <c r="AB196" s="112">
        <f>(AA196-AA186)/AA186*100</f>
        <v>29.556194080306021</v>
      </c>
      <c r="AD196" s="108">
        <f t="shared" si="45"/>
        <v>10</v>
      </c>
      <c r="AE196" s="109">
        <f t="shared" si="35"/>
        <v>233.33333333333334</v>
      </c>
      <c r="AF196" s="114">
        <v>50</v>
      </c>
      <c r="AG196" s="111">
        <v>0.13370135053852894</v>
      </c>
      <c r="AH196" s="111">
        <v>0.12547086575706737</v>
      </c>
      <c r="AI196" s="112">
        <f>(AH196-AH186)/AH186*100</f>
        <v>80.200285618883527</v>
      </c>
      <c r="AK196" s="108">
        <f t="shared" si="46"/>
        <v>10</v>
      </c>
      <c r="AL196" s="109">
        <f t="shared" si="37"/>
        <v>150</v>
      </c>
      <c r="AM196" s="114">
        <v>50</v>
      </c>
      <c r="AN196" s="111">
        <v>6.5509338900171493E-2</v>
      </c>
      <c r="AO196" s="111">
        <v>5.7094064005629379E-2</v>
      </c>
      <c r="AP196" s="112">
        <f>(AO196-AO186)/AO186*100</f>
        <v>-18.001947472991585</v>
      </c>
      <c r="AR196" s="108">
        <f t="shared" si="47"/>
        <v>10</v>
      </c>
      <c r="AS196" s="109">
        <f t="shared" si="39"/>
        <v>17.647058823529413</v>
      </c>
      <c r="AT196" s="114">
        <v>100</v>
      </c>
      <c r="AU196" s="111">
        <v>7.0996325917121225E-2</v>
      </c>
      <c r="AV196" s="111">
        <v>6.1876197258739725E-2</v>
      </c>
      <c r="AW196" s="112">
        <f>(AV196-AV186)/AV186*100</f>
        <v>-11.133884732860967</v>
      </c>
    </row>
    <row r="198" spans="2:49">
      <c r="B198" s="4"/>
      <c r="D198" s="4"/>
    </row>
    <row r="199" spans="2:49">
      <c r="B199" s="4"/>
      <c r="D199" s="4"/>
    </row>
    <row r="200" spans="2:49">
      <c r="B200" s="4"/>
      <c r="D200" s="4"/>
    </row>
    <row r="201" spans="2:49">
      <c r="B201" s="4"/>
      <c r="D201" s="4"/>
    </row>
    <row r="202" spans="2:49">
      <c r="B202" s="4"/>
      <c r="D202" s="4"/>
    </row>
    <row r="203" spans="2:49">
      <c r="B203" s="4"/>
      <c r="D203" s="4"/>
    </row>
    <row r="204" spans="2:49">
      <c r="B204" s="4"/>
      <c r="D204" s="4"/>
    </row>
    <row r="205" spans="2:49">
      <c r="B205" s="4"/>
      <c r="D205" s="4"/>
    </row>
    <row r="206" spans="2:49">
      <c r="B206" s="4"/>
      <c r="D206" s="4"/>
    </row>
    <row r="207" spans="2:49">
      <c r="B207" s="4"/>
      <c r="D207" s="4"/>
    </row>
    <row r="208" spans="2:49">
      <c r="B208" s="4"/>
      <c r="D208" s="4"/>
    </row>
    <row r="209" spans="2:4">
      <c r="B209" s="4"/>
      <c r="D209" s="4"/>
    </row>
    <row r="210" spans="2:4">
      <c r="B210" s="4"/>
      <c r="D210" s="4"/>
    </row>
    <row r="211" spans="2:4">
      <c r="B211" s="4"/>
      <c r="D211" s="4"/>
    </row>
    <row r="212" spans="2:4">
      <c r="B212" s="4"/>
      <c r="D212" s="4"/>
    </row>
    <row r="213" spans="2:4">
      <c r="B213" s="4"/>
      <c r="D213" s="4"/>
    </row>
    <row r="214" spans="2:4">
      <c r="B214" s="7"/>
      <c r="D214" s="4"/>
    </row>
    <row r="215" spans="2:4">
      <c r="B215" s="4"/>
      <c r="D215" s="4"/>
    </row>
  </sheetData>
  <sheetProtection selectLockedCells="1"/>
  <mergeCells count="7">
    <mergeCell ref="AD172:AI172"/>
    <mergeCell ref="AK172:AP172"/>
    <mergeCell ref="AR172:AW172"/>
    <mergeCell ref="B172:G172"/>
    <mergeCell ref="I172:N172"/>
    <mergeCell ref="P172:U172"/>
    <mergeCell ref="W172:AB172"/>
  </mergeCells>
  <phoneticPr fontId="0" type="noConversion"/>
  <printOptions horizontalCentered="1" verticalCentered="1"/>
  <pageMargins left="0.5" right="0.5" top="1" bottom="1" header="0.5" footer="0.5"/>
  <pageSetup orientation="portrait" r:id="rId1"/>
  <headerFooter alignWithMargins="0"/>
  <ignoredErrors>
    <ignoredError sqref="B105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106</vt:i4>
      </vt:variant>
    </vt:vector>
  </HeadingPairs>
  <TitlesOfParts>
    <vt:vector size="109" baseType="lpstr">
      <vt:lpstr>Power_EconomicExample</vt:lpstr>
      <vt:lpstr>SensitivityDiagram_COE</vt:lpstr>
      <vt:lpstr>SensitivityDiagram_Relative</vt:lpstr>
      <vt:lpstr>AnnualAshDisposal</vt:lpstr>
      <vt:lpstr>AnnualCapacityPayment</vt:lpstr>
      <vt:lpstr>AnnualDebtPayment</vt:lpstr>
      <vt:lpstr>AnnualDebtReserveInterest</vt:lpstr>
      <vt:lpstr>AnnualEquityRecovery</vt:lpstr>
      <vt:lpstr>AnnualFuelConsumption</vt:lpstr>
      <vt:lpstr>AnnualGeneration</vt:lpstr>
      <vt:lpstr>AnnualHours</vt:lpstr>
      <vt:lpstr>AshDisposal</vt:lpstr>
      <vt:lpstr>AshDisposalKwh</vt:lpstr>
      <vt:lpstr>CapacityFactor</vt:lpstr>
      <vt:lpstr>CapacityIncome</vt:lpstr>
      <vt:lpstr>CapacityPayment</vt:lpstr>
      <vt:lpstr>CapitalCost</vt:lpstr>
      <vt:lpstr>CapitalCostNEC</vt:lpstr>
      <vt:lpstr>CapitalRecoveryFactorConstant</vt:lpstr>
      <vt:lpstr>CapitalRecoveryFactorCurrent</vt:lpstr>
      <vt:lpstr>CapitalRecoveryFactorDebt</vt:lpstr>
      <vt:lpstr>CapitalRecoveryFactorEquity</vt:lpstr>
      <vt:lpstr>CombinedTaxRate</vt:lpstr>
      <vt:lpstr>ConstantLACofEnergy</vt:lpstr>
      <vt:lpstr>ConstantLevelAnnualRevenueRequirements</vt:lpstr>
      <vt:lpstr>CostOfEquity</vt:lpstr>
      <vt:lpstr>CostOfMoney</vt:lpstr>
      <vt:lpstr>CostOfMoney2</vt:lpstr>
      <vt:lpstr>CurrentLACofEnergy</vt:lpstr>
      <vt:lpstr>CurrentLevelAnnualRevenueRequirements</vt:lpstr>
      <vt:lpstr>DebtInterest1</vt:lpstr>
      <vt:lpstr>DebtInterest2</vt:lpstr>
      <vt:lpstr>DebtPrincipalPaid1</vt:lpstr>
      <vt:lpstr>DebtPrincipalPaid2</vt:lpstr>
      <vt:lpstr>DebtPrincipalRemaining1</vt:lpstr>
      <vt:lpstr>DebtPrincipalRemaining2</vt:lpstr>
      <vt:lpstr>DebtRatio</vt:lpstr>
      <vt:lpstr>DebtRecovery</vt:lpstr>
      <vt:lpstr>DebtReserve</vt:lpstr>
      <vt:lpstr>DebtReserve1</vt:lpstr>
      <vt:lpstr>DebtReserve2</vt:lpstr>
      <vt:lpstr>Depreciation</vt:lpstr>
      <vt:lpstr>DepreciationFraction</vt:lpstr>
      <vt:lpstr>EconomicLife</vt:lpstr>
      <vt:lpstr>EnergyRevenueRequired1</vt:lpstr>
      <vt:lpstr>EnergyRevenueRequired2</vt:lpstr>
      <vt:lpstr>EquityInterest1</vt:lpstr>
      <vt:lpstr>EquityInterest2</vt:lpstr>
      <vt:lpstr>EquityPrincipalPaid1</vt:lpstr>
      <vt:lpstr>EquityPrincipalPaid2</vt:lpstr>
      <vt:lpstr>EquityPrincipalRemaining1</vt:lpstr>
      <vt:lpstr>EquityPrincipalRemaining2</vt:lpstr>
      <vt:lpstr>EquityRatio</vt:lpstr>
      <vt:lpstr>EquityRecovery</vt:lpstr>
      <vt:lpstr>EscalationFuel</vt:lpstr>
      <vt:lpstr>EscalationOther</vt:lpstr>
      <vt:lpstr>EscalationProductionTaxCredit</vt:lpstr>
      <vt:lpstr>FederalTaxRate</vt:lpstr>
      <vt:lpstr>FuelAshConcentration</vt:lpstr>
      <vt:lpstr>FuelConsumptionRate</vt:lpstr>
      <vt:lpstr>FuelCost</vt:lpstr>
      <vt:lpstr>FuelCost1</vt:lpstr>
      <vt:lpstr>FuelCost2</vt:lpstr>
      <vt:lpstr>FuelCostKwh</vt:lpstr>
      <vt:lpstr>FuelHeatingValue</vt:lpstr>
      <vt:lpstr>GeneralInflation</vt:lpstr>
      <vt:lpstr>InsurancePropertyTax</vt:lpstr>
      <vt:lpstr>InsurancePropertyTaxKwh</vt:lpstr>
      <vt:lpstr>InterestOnDebtReserve</vt:lpstr>
      <vt:lpstr>InterestRateOnDebt</vt:lpstr>
      <vt:lpstr>InterestRateonDebtReserve</vt:lpstr>
      <vt:lpstr>LaborCost</vt:lpstr>
      <vt:lpstr>LaborCostKwh</vt:lpstr>
      <vt:lpstr>MaintenanceCost</vt:lpstr>
      <vt:lpstr>MaintenanceCostKwh</vt:lpstr>
      <vt:lpstr>Management</vt:lpstr>
      <vt:lpstr>ManagementKwh</vt:lpstr>
      <vt:lpstr>NetPlantCapacity</vt:lpstr>
      <vt:lpstr>NetStationEfficiency</vt:lpstr>
      <vt:lpstr>NonFuelExpenses1</vt:lpstr>
      <vt:lpstr>NonFuelExpenses2</vt:lpstr>
      <vt:lpstr>OtherOperatingExpenses</vt:lpstr>
      <vt:lpstr>OtherOperatingExpensesKwh</vt:lpstr>
      <vt:lpstr>PresentWorth1</vt:lpstr>
      <vt:lpstr>Power_EconomicExample!Print_Area</vt:lpstr>
      <vt:lpstr>ProductionTaxCredit</vt:lpstr>
      <vt:lpstr>RealCostOfMoney</vt:lpstr>
      <vt:lpstr>StateTaxRate</vt:lpstr>
      <vt:lpstr>TaxCredit1</vt:lpstr>
      <vt:lpstr>TaxCredit2</vt:lpstr>
      <vt:lpstr>TaxCreditFrac</vt:lpstr>
      <vt:lpstr>TaxCreditFrac1</vt:lpstr>
      <vt:lpstr>TaxCreditFrac2</vt:lpstr>
      <vt:lpstr>TaxCreditFrac3</vt:lpstr>
      <vt:lpstr>Taxes1</vt:lpstr>
      <vt:lpstr>Taxes2</vt:lpstr>
      <vt:lpstr>TaxesWoCredit1</vt:lpstr>
      <vt:lpstr>TaxesWoCredit2</vt:lpstr>
      <vt:lpstr>TotalCostOfPlant</vt:lpstr>
      <vt:lpstr>TotalDebtCost</vt:lpstr>
      <vt:lpstr>TotalEquityCost</vt:lpstr>
      <vt:lpstr>TotalExpensesIncludingFuel</vt:lpstr>
      <vt:lpstr>TotalExpensesIncludingFuelKwh</vt:lpstr>
      <vt:lpstr>TotalNonFuelExpenses</vt:lpstr>
      <vt:lpstr>TotalNonFuelExpensesKwh</vt:lpstr>
      <vt:lpstr>TotalPresentWorth</vt:lpstr>
      <vt:lpstr>Utilities</vt:lpstr>
      <vt:lpstr>UtilitiesKwh</vt:lpstr>
      <vt:lpstr>Year</vt:lpstr>
    </vt:vector>
  </TitlesOfParts>
  <Company>ucd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bmj</dc:creator>
  <cp:lastModifiedBy>kzl0049</cp:lastModifiedBy>
  <dcterms:created xsi:type="dcterms:W3CDTF">2003-01-23T02:19:24Z</dcterms:created>
  <dcterms:modified xsi:type="dcterms:W3CDTF">2019-08-22T03:15:50Z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1044895245</vt:i4>
  </property>
  <property fmtid="{D5CDD505-2E9C-101B-9397-08002B2CF9AE}" pid="3" name="_EmailSubject">
    <vt:lpwstr>power econ model</vt:lpwstr>
  </property>
  <property fmtid="{D5CDD505-2E9C-101B-9397-08002B2CF9AE}" pid="4" name="_AuthorEmail">
    <vt:lpwstr>Bryan.Jenkins@SEN.CA.GOV</vt:lpwstr>
  </property>
  <property fmtid="{D5CDD505-2E9C-101B-9397-08002B2CF9AE}" pid="5" name="_AuthorEmailDisplayName">
    <vt:lpwstr>Jenkins, Bryan</vt:lpwstr>
  </property>
  <property fmtid="{D5CDD505-2E9C-101B-9397-08002B2CF9AE}" pid="6" name="_ReviewingToolsShownOnce">
    <vt:lpwstr/>
  </property>
</Properties>
</file>