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omkai\Documents\Github\technoeconomic-assessment\docs\"/>
    </mc:Choice>
  </mc:AlternateContent>
  <xr:revisionPtr revIDLastSave="0" documentId="8_{B1122996-6585-4FBA-9CA9-2EB760848E4C}" xr6:coauthVersionLast="43" xr6:coauthVersionMax="43" xr10:uidLastSave="{00000000-0000-0000-0000-000000000000}"/>
  <bookViews>
    <workbookView xWindow="29955" yWindow="360" windowWidth="29040" windowHeight="15600"/>
  </bookViews>
  <sheets>
    <sheet name="Gasifier_EconomicExample" sheetId="1" r:id="rId1"/>
    <sheet name="SensitivityDiagram_COE" sheetId="2" r:id="rId2"/>
    <sheet name="SensitivityDiagram_Relative" sheetId="3" r:id="rId3"/>
  </sheets>
  <definedNames>
    <definedName name="AggregateFractionOfHeatRecovered">Gasifier_EconomicExample!$B$77</definedName>
    <definedName name="AggregateSalesPriceForHeat">Gasifier_EconomicExample!$B$80</definedName>
    <definedName name="AnnualBiomassConsumptionDryMass">Gasifier_EconomicExample!$B$68</definedName>
    <definedName name="AnnualBiomassConsumptionWetMass">Gasifier_EconomicExample!$B$69</definedName>
    <definedName name="AnnualCapacityPayment">Gasifier_EconomicExample!$B$109</definedName>
    <definedName name="AnnualCharProduction">Gasifier_EconomicExample!$B$73</definedName>
    <definedName name="AnnualCleanGasConsumption">Gasifier_EconomicExample!$B$62</definedName>
    <definedName name="AnnualDebtPayment">Gasifier_EconomicExample!$B$135</definedName>
    <definedName name="AnnualDebtReserveInterest">Gasifier_EconomicExample!$B$110</definedName>
    <definedName name="AnnualDualFuelConsumption">Gasifier_EconomicExample!$B$64</definedName>
    <definedName name="AnnualEquityRecovery">Gasifier_EconomicExample!$B$134</definedName>
    <definedName name="AnnualHeatSales">Gasifier_EconomicExample!$B$79</definedName>
    <definedName name="AnnualHours">Gasifier_EconomicExample!$B$40</definedName>
    <definedName name="AnnualIncomeFromChar">Gasifier_EconomicExample!$B$111</definedName>
    <definedName name="AnnualNetElectricityGeneration">Gasifier_EconomicExample!$B$41</definedName>
    <definedName name="AshContent">Gasifier_EconomicExample!$B$70</definedName>
    <definedName name="BiomassFeedRate">Gasifier_EconomicExample!$B$67</definedName>
    <definedName name="BiomassFuelCost">Gasifier_EconomicExample!$B$87</definedName>
    <definedName name="BiomassFuelCostCF">Gasifier_EconomicExample!$B$194</definedName>
    <definedName name="BiomassFuelCostPerKwh">Gasifier_EconomicExample!$C$87</definedName>
    <definedName name="BtuPerCubicFoot">Gasifier_EconomicExample!$C$12</definedName>
    <definedName name="BtuPerPound">Gasifier_EconomicExample!$C$14</definedName>
    <definedName name="CapacityFactor">Gasifier_EconomicExample!$B$39</definedName>
    <definedName name="CapacityIncome">Gasifier_EconomicExample!$B$199</definedName>
    <definedName name="CapitalRecoveryFactorDebt">Gasifier_EconomicExample!$B$133</definedName>
    <definedName name="CapitalRecoveryFactorEquity">Gasifier_EconomicExample!$B$132</definedName>
    <definedName name="CarbonConcentration">Gasifier_EconomicExample!$B$71</definedName>
    <definedName name="CarbonDioxide">Gasifier_EconomicExample!$B$50</definedName>
    <definedName name="CH4Density">Gasifier_EconomicExample!$H$23</definedName>
    <definedName name="CH4HigherHeatingValueKjPerM">Gasifier_EconomicExample!$J$23</definedName>
    <definedName name="CH4HigherHeatingValueMjPerKg">Gasifier_EconomicExample!$I$23</definedName>
    <definedName name="CH4LowerHeatingValueKjPerM">Gasifier_EconomicExample!$L$23</definedName>
    <definedName name="CH4LowerHeatingValueMjPerKg">Gasifier_EconomicExample!$K$23</definedName>
    <definedName name="CharIncome">Gasifier_EconomicExample!$B$201</definedName>
    <definedName name="CharProductionRate">Gasifier_EconomicExample!$B$72</definedName>
    <definedName name="CleanGasComposition">Gasifier_EconomicExample!$B$46</definedName>
    <definedName name="CleanGasDensity">Gasifier_EconomicExample!$B$54</definedName>
    <definedName name="CleanGasFlowRateMass">Gasifier_EconomicExample!$B$61</definedName>
    <definedName name="CleanGasFlowRateVolume">Gasifier_EconomicExample!$B$60</definedName>
    <definedName name="CleanGasHigherHeatingValue">Gasifier_EconomicExample!$B$55</definedName>
    <definedName name="CleanGasLowerHeatingValue">Gasifier_EconomicExample!$B$56</definedName>
    <definedName name="CleanGasMolecularMass">Gasifier_EconomicExample!$B$53</definedName>
    <definedName name="CleanGasPowerInput">Gasifier_EconomicExample!$B$58</definedName>
    <definedName name="CO">Gasifier_EconomicExample!$B$47</definedName>
    <definedName name="CODensity">Gasifier_EconomicExample!$H$19</definedName>
    <definedName name="COHigherHeatingValueKjPerM">Gasifier_EconomicExample!$J$19</definedName>
    <definedName name="COHigherHeatingValueMjPerKg">Gasifier_EconomicExample!$I$19</definedName>
    <definedName name="COLowerHeatingValueKjPerM">Gasifier_EconomicExample!$L$19</definedName>
    <definedName name="COLowerHeatingValueMjPerKg">Gasifier_EconomicExample!$K$19</definedName>
    <definedName name="CombinedTaxRate">Gasifier_EconomicExample!$B$103</definedName>
    <definedName name="ConstantCapitalRecoveryFactor">Gasifier_EconomicExample!$B$218</definedName>
    <definedName name="ConstantLACPerKwh">Gasifier_EconomicExample!$B$220</definedName>
    <definedName name="ConstantLevelAnnualRevenue">Gasifier_EconomicExample!$B$219</definedName>
    <definedName name="CostOfEquity">Gasifier_EconomicExample!$B$127</definedName>
    <definedName name="CostOfMoney">Gasifier_EconomicExample!$B$128</definedName>
    <definedName name="CubicFootPerPonds">Gasifier_EconomicExample!$C$20</definedName>
    <definedName name="CubicMeterPerKg">Gasifier_EconomicExample!$E$20</definedName>
    <definedName name="CurrentAnnualRevenueRequirements">Gasifier_EconomicExample!$B$213</definedName>
    <definedName name="CurrentCapitalRecoveryFactor">Gasifier_EconomicExample!$B$212</definedName>
    <definedName name="CurrentLACPerKwh">Gasifier_EconomicExample!$B$214</definedName>
    <definedName name="DebtInterest">Gasifier_EconomicExample!$B$191</definedName>
    <definedName name="DebtPrincipalPaid">Gasifier_EconomicExample!$B$192</definedName>
    <definedName name="DebtRatio">Gasifier_EconomicExample!$B$123</definedName>
    <definedName name="DebtReserve">Gasifier_EconomicExample!$B$136</definedName>
    <definedName name="DebtReserveCF">Gasifier_EconomicExample!$B$197</definedName>
    <definedName name="DentPrincipalRemaining">Gasifier_EconomicExample!$B$193</definedName>
    <definedName name="Depreciation">Gasifier_EconomicExample!$B$198</definedName>
    <definedName name="DollarPerKwh">Gasifier_EconomicExample!$E$24</definedName>
    <definedName name="DollarPerMetricTons">Gasifier_EconomicExample!$C$18</definedName>
    <definedName name="DollarPerMillionBtu">Gasifier_EconomicExample!$C$24</definedName>
    <definedName name="DollarPerUSTons">Gasifier_EconomicExample!$E$18</definedName>
    <definedName name="DualFuelCost">Gasifier_EconomicExample!$B$88</definedName>
    <definedName name="DualFuelCostCF">Gasifier_EconomicExample!$B$195</definedName>
    <definedName name="DualFuelFlowRate">Gasifier_EconomicExample!$B$63</definedName>
    <definedName name="DualFuelPerKwh">Gasifier_EconomicExample!$C$88</definedName>
    <definedName name="DualFuelPowerInput">Gasifier_EconomicExample!$B$59</definedName>
    <definedName name="EconomicLife">Gasifier_EconomicExample!$B$126</definedName>
    <definedName name="ElectricityCapacityPayment">Gasifier_EconomicExample!$B$106</definedName>
    <definedName name="EmissionControlSystemCapitalCost">Gasifier_EconomicExample!$B$31</definedName>
    <definedName name="EmissionControlSystemCapitalCostPerKwe">Gasifier_EconomicExample!$C$31</definedName>
    <definedName name="EnergyRevenueRequired">Gasifier_EconomicExample!$B$206</definedName>
    <definedName name="EquityInterest">Gasifier_EconomicExample!$B$187</definedName>
    <definedName name="EquityPrincipalPaid">Gasifier_EconomicExample!$B$188</definedName>
    <definedName name="EquityPrincipalRemaining">Gasifier_EconomicExample!$B$189</definedName>
    <definedName name="EquityRatio">Gasifier_EconomicExample!$B$124</definedName>
    <definedName name="EquityRecovery">Gasifier_EconomicExample!$B$186</definedName>
    <definedName name="EscalationBiomassFuel">Gasifier_EconomicExample!$B$115</definedName>
    <definedName name="EscalationCharSales">Gasifier_EconomicExample!$B$119</definedName>
    <definedName name="EscalationDualFuel">Gasifier_EconomicExample!$B$116</definedName>
    <definedName name="EscalationHeatSales">Gasifier_EconomicExample!$B$118</definedName>
    <definedName name="EscalationOther">Gasifier_EconomicExample!$B$120</definedName>
    <definedName name="EscalationProductionTaxCredit">Gasifier_EconomicExample!$B$117</definedName>
    <definedName name="FederalTaxRate">Gasifier_EconomicExample!$B$100</definedName>
    <definedName name="FractionOfInputEnergy">Gasifier_EconomicExample!$B$45</definedName>
    <definedName name="GasCleaningSystemCapitalCost">Gasifier_EconomicExample!$B$29</definedName>
    <definedName name="GasCleaningSystemCapitalCostPerKwe">Gasifier_EconomicExample!$C$29</definedName>
    <definedName name="GasifierSystemCapitalCost">Gasifier_EconomicExample!$B$28</definedName>
    <definedName name="GasifierSystemCapitalCostPerKwe">Gasifier_EconomicExample!$C$28</definedName>
    <definedName name="GasolineDensity">Gasifier_EconomicExample!$H$11</definedName>
    <definedName name="GasolineHigherHeatingValueKjPerL">Gasifier_EconomicExample!$J$11</definedName>
    <definedName name="GasolineHigherHeatingValueMjPerKg">Gasifier_EconomicExample!$I$11</definedName>
    <definedName name="GasolineLowerHeatingValueKjPerL">Gasifier_EconomicExample!$L$11</definedName>
    <definedName name="GasolineLowerHeatingValueMjPerKg">Gasifier_EconomicExample!$K$11</definedName>
    <definedName name="GeneralInflation">Gasifier_EconomicExample!$B$114</definedName>
    <definedName name="GrossCHPEfficiency">Gasifier_EconomicExample!$B$83</definedName>
    <definedName name="GrossElectricalCapacity">Gasifier_EconomicExample!$B$36</definedName>
    <definedName name="H2Density">Gasifier_EconomicExample!$H$21</definedName>
    <definedName name="H2HigherHeatingValueKjPerM">Gasifier_EconomicExample!$J$21</definedName>
    <definedName name="H2HigherHeatingValueMjPerKg">Gasifier_EconomicExample!$I$21</definedName>
    <definedName name="H2LowerHeatingValueKjPerM">Gasifier_EconomicExample!$L$21</definedName>
    <definedName name="H2LowerHeatingValueMjPerKg">Gasifier_EconomicExample!$K$21</definedName>
    <definedName name="HeatIncome">Gasifier_EconomicExample!$B$200</definedName>
    <definedName name="HeatIncomePerUnitElecEnergy">Gasifier_EconomicExample!$B$82</definedName>
    <definedName name="HeatRecoverySystemCapitalCost">Gasifier_EconomicExample!$B$32</definedName>
    <definedName name="HeatRecoverySystemCapitalCostPerKwe">Gasifier_EconomicExample!$C$32</definedName>
    <definedName name="HeavyDieselDensity">Gasifier_EconomicExample!$H$15</definedName>
    <definedName name="HeavyDieselHigherHeatingValueKjPerL">Gasifier_EconomicExample!$J$15</definedName>
    <definedName name="HeavyDieselHigherHeatingValueMjPerKg">Gasifier_EconomicExample!$I$15</definedName>
    <definedName name="HeavyDieselLowerHeatingValueKjPerL">Gasifier_EconomicExample!$L$15</definedName>
    <definedName name="HeavyDieselLowerHeatingValueMjPerKg">Gasifier_EconomicExample!$K$15</definedName>
    <definedName name="HHVEfficiencyOfGasificationSystem">Gasifier_EconomicExample!$B$42</definedName>
    <definedName name="HigherHeatingValue">Gasifier_EconomicExample!$B$65</definedName>
    <definedName name="Hydrocarbons">Gasifier_EconomicExample!$B$49</definedName>
    <definedName name="HydrogenGas">Gasifier_EconomicExample!$B$48</definedName>
    <definedName name="Insurance">Gasifier_EconomicExample!$B$92</definedName>
    <definedName name="InsurancePerKwh">Gasifier_EconomicExample!$C$92</definedName>
    <definedName name="InterestRateOnDebt">Gasifier_EconomicExample!$B$125</definedName>
    <definedName name="InterestRateOnDebtReserve">Gasifier_EconomicExample!$B$107</definedName>
    <definedName name="InterstOnDebtReserve">Gasifier_EconomicExample!$B$202</definedName>
    <definedName name="KjPerCubicMeter">Gasifier_EconomicExample!$E$12</definedName>
    <definedName name="KjPerKg">Gasifier_EconomicExample!$E$14</definedName>
    <definedName name="LaborCost">Gasifier_EconomicExample!$B$89</definedName>
    <definedName name="LaborCostPerKwh">Gasifier_EconomicExample!$C$89</definedName>
    <definedName name="LAC">Gasifier_EconomicExample!$E$237</definedName>
    <definedName name="LACCostOfMoney">Gasifier_EconomicExample!$B$209</definedName>
    <definedName name="LightDieselDensity">Gasifier_EconomicExample!$H$13</definedName>
    <definedName name="LightDieselHigherHeatingValueKjPerL">Gasifier_EconomicExample!$J$13</definedName>
    <definedName name="LightDieselHigherHeatingValueMjPerKg">Gasifier_EconomicExample!$I$13</definedName>
    <definedName name="LightDieselLowerHeatingValueKjPerL">Gasifier_EconomicExample!$L$13</definedName>
    <definedName name="LightDieselLowerHeatingValueMjPerKg">Gasifier_EconomicExample!$K$13</definedName>
    <definedName name="MaintenanceCost">Gasifier_EconomicExample!$B$90</definedName>
    <definedName name="MaintenanceCostPerKwh">Gasifier_EconomicExample!$C$90</definedName>
    <definedName name="Management">Gasifier_EconomicExample!$B$94</definedName>
    <definedName name="ManagementPerKwh">Gasifier_EconomicExample!$C$94</definedName>
    <definedName name="MetricTonsPerHour">Gasifier_EconomicExample!$E$16</definedName>
    <definedName name="MoistureContent">Gasifier_EconomicExample!$B$66</definedName>
    <definedName name="NaturalGasDensity">Gasifier_EconomicExample!$H$17</definedName>
    <definedName name="NaturalGasHigherHeatingValueKjPerL">Gasifier_EconomicExample!$J$17</definedName>
    <definedName name="NaturalGasHigherHeatingValueMjPerKg">Gasifier_EconomicExample!$I$17</definedName>
    <definedName name="NaturalGasLowerHeatingValueKjPerL">Gasifier_EconomicExample!$L$17</definedName>
    <definedName name="NaturalGasLowerHeatingValueMjPerKg">Gasifier_EconomicExample!$K$17</definedName>
    <definedName name="NetCHPEfficiency">Gasifier_EconomicExample!$B$84</definedName>
    <definedName name="NetElectricalCapacity">Gasifier_EconomicExample!$B$37</definedName>
    <definedName name="NetHHVEfficiencyofPowerGeneration">Gasifier_EconomicExample!$B$43</definedName>
    <definedName name="NitrogenGas">Gasifier_EconomicExample!$B$52</definedName>
    <definedName name="NonFuelExpensesCF">Gasifier_EconomicExample!$B$196</definedName>
    <definedName name="OtherOperatingExpenses">Gasifier_EconomicExample!$B$95</definedName>
    <definedName name="OtherOperatingExpensesPerKwh">Gasifier_EconomicExample!$C$95</definedName>
    <definedName name="OverallNetSystemEfficiency">Gasifier_EconomicExample!$B$44</definedName>
    <definedName name="Oxygen">Gasifier_EconomicExample!$B$51</definedName>
    <definedName name="ParasiticLoad">Gasifier_EconomicExample!$B$38</definedName>
    <definedName name="PowerGenerationCapitalCost">Gasifier_EconomicExample!$B$30</definedName>
    <definedName name="PowerGenerationCapitalCostPerKwe">Gasifier_EconomicExample!$C$30</definedName>
    <definedName name="PresentWorth">Gasifier_EconomicExample!$B$210</definedName>
    <definedName name="_xlnm.Print_Area" localSheetId="0">Gasifier_EconomicExample!$A$242:$K$269</definedName>
    <definedName name="ProductionTaxCredit">Gasifier_EconomicExample!$B$102</definedName>
    <definedName name="RealCostOfMoney">Gasifier_EconomicExample!$B$217</definedName>
    <definedName name="RebtRecovery">Gasifier_EconomicExample!$B$190</definedName>
    <definedName name="RecoveredHeat">Gasifier_EconomicExample!$B$78</definedName>
    <definedName name="SalesPriceForChar">Gasifier_EconomicExample!$B$108</definedName>
    <definedName name="StateTaxRate">Gasifier_EconomicExample!$B$101</definedName>
    <definedName name="TaxCredit">Gasifier_EconomicExample!$B$204</definedName>
    <definedName name="Taxes">Gasifier_EconomicExample!$B$205</definedName>
    <definedName name="TaxWithoutCredit">Gasifier_EconomicExample!$B$203</definedName>
    <definedName name="TotalCostOfPlant">Gasifier_EconomicExample!$B$129</definedName>
    <definedName name="TotalDebtCost">Gasifier_EconomicExample!$B$131</definedName>
    <definedName name="TotalEquityCost">Gasifier_EconomicExample!$B$130</definedName>
    <definedName name="TotalExpensesIncludingFuel">Gasifier_EconomicExample!$B$97</definedName>
    <definedName name="TotalExpensesIncludingFuelPerKwh">Gasifier_EconomicExample!$C$97</definedName>
    <definedName name="TotalFacilityCapitalCost">Gasifier_EconomicExample!$B$33</definedName>
    <definedName name="TotalFacilityCapitalCostPerKwe">Gasifier_EconomicExample!$C$33</definedName>
    <definedName name="TotalFuelPowerInput">Gasifier_EconomicExample!$B$57</definedName>
    <definedName name="TotalHearProductionRate">Gasifier_EconomicExample!$B$76</definedName>
    <definedName name="TotalIncomeFromHeatSales">Gasifier_EconomicExample!$B$81</definedName>
    <definedName name="TotalNonFuelExpenses">Gasifier_EconomicExample!$B$96</definedName>
    <definedName name="TotalNonFuelExpensesPerKwh">Gasifier_EconomicExample!$C$96</definedName>
    <definedName name="TotalPresentWorth">Gasifier_EconomicExample!$B$211</definedName>
    <definedName name="USTonsPerHour">Gasifier_EconomicExample!$C$16</definedName>
    <definedName name="Utilities">Gasifier_EconomicExample!$B$93</definedName>
    <definedName name="UtilitiesPerKwh">Gasifier_EconomicExample!$C$93</definedName>
    <definedName name="WasteTreatment">Gasifier_EconomicExample!$B$91</definedName>
    <definedName name="WasteTreatmentPerKwh">Gasifier_EconomicExample!$C$91</definedName>
    <definedName name="Year">Gasifier_EconomicExample!$C$185</definedName>
  </definedNames>
  <calcPr calcId="181029" iterate="1" iterateCount="1000" iterateDelta="10000" calcOnSave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3" i="1" l="1"/>
  <c r="C33" i="1" s="1"/>
  <c r="B209" i="1"/>
  <c r="B212" i="1" s="1"/>
  <c r="C196" i="1"/>
  <c r="B199" i="1"/>
  <c r="B196" i="1"/>
  <c r="J11" i="1"/>
  <c r="L11" i="1"/>
  <c r="E12" i="1"/>
  <c r="J13" i="1"/>
  <c r="L13" i="1"/>
  <c r="E14" i="1"/>
  <c r="J15" i="1"/>
  <c r="L15" i="1"/>
  <c r="C16" i="1"/>
  <c r="J17" i="1"/>
  <c r="L17" i="1"/>
  <c r="E18" i="1"/>
  <c r="H19" i="1"/>
  <c r="J19" i="1"/>
  <c r="L19" i="1"/>
  <c r="E20" i="1"/>
  <c r="H21" i="1"/>
  <c r="J21" i="1"/>
  <c r="L21" i="1"/>
  <c r="H23" i="1"/>
  <c r="J23" i="1"/>
  <c r="L23" i="1"/>
  <c r="E24" i="1"/>
  <c r="C28" i="1"/>
  <c r="C29" i="1"/>
  <c r="C30" i="1"/>
  <c r="C31" i="1"/>
  <c r="C32" i="1"/>
  <c r="B38" i="1"/>
  <c r="B40" i="1"/>
  <c r="B41" i="1" s="1"/>
  <c r="B44" i="1"/>
  <c r="B52" i="1"/>
  <c r="B53" i="1"/>
  <c r="B54" i="1"/>
  <c r="B55" i="1"/>
  <c r="B56" i="1"/>
  <c r="B57" i="1"/>
  <c r="B76" i="1" s="1"/>
  <c r="B78" i="1" s="1"/>
  <c r="B96" i="1"/>
  <c r="B103" i="1"/>
  <c r="B109" i="1"/>
  <c r="B124" i="1"/>
  <c r="B128" i="1" s="1"/>
  <c r="B132" i="1"/>
  <c r="B133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D160" i="1"/>
  <c r="E160" i="1"/>
  <c r="F160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AW227" i="1"/>
  <c r="B231" i="1"/>
  <c r="C231" i="1"/>
  <c r="G231" i="1"/>
  <c r="I231" i="1"/>
  <c r="J231" i="1"/>
  <c r="N231" i="1"/>
  <c r="P231" i="1"/>
  <c r="Q231" i="1"/>
  <c r="U231" i="1"/>
  <c r="W231" i="1"/>
  <c r="X231" i="1"/>
  <c r="AB231" i="1"/>
  <c r="AD231" i="1"/>
  <c r="AE231" i="1"/>
  <c r="AI231" i="1"/>
  <c r="AK231" i="1"/>
  <c r="AL231" i="1"/>
  <c r="AP231" i="1"/>
  <c r="AR231" i="1"/>
  <c r="AS231" i="1"/>
  <c r="AW231" i="1"/>
  <c r="AY231" i="1"/>
  <c r="AZ231" i="1"/>
  <c r="BD231" i="1"/>
  <c r="B232" i="1"/>
  <c r="D232" i="1"/>
  <c r="C232" i="1"/>
  <c r="G232" i="1"/>
  <c r="I232" i="1"/>
  <c r="J232" i="1"/>
  <c r="K232" i="1"/>
  <c r="N232" i="1"/>
  <c r="P232" i="1"/>
  <c r="Q232" i="1"/>
  <c r="R232" i="1"/>
  <c r="U232" i="1"/>
  <c r="W232" i="1"/>
  <c r="X232" i="1"/>
  <c r="Y232" i="1"/>
  <c r="AB232" i="1"/>
  <c r="AD232" i="1"/>
  <c r="AE232" i="1"/>
  <c r="AF232" i="1"/>
  <c r="AI232" i="1"/>
  <c r="AK232" i="1"/>
  <c r="AL232" i="1"/>
  <c r="AM232" i="1"/>
  <c r="AP232" i="1"/>
  <c r="AR232" i="1"/>
  <c r="AS232" i="1"/>
  <c r="AT232" i="1"/>
  <c r="AW232" i="1"/>
  <c r="AY232" i="1"/>
  <c r="AZ232" i="1"/>
  <c r="BA232" i="1"/>
  <c r="BD232" i="1"/>
  <c r="B233" i="1"/>
  <c r="D233" i="1"/>
  <c r="C233" i="1"/>
  <c r="G233" i="1"/>
  <c r="I233" i="1"/>
  <c r="J233" i="1"/>
  <c r="K233" i="1"/>
  <c r="N233" i="1"/>
  <c r="P233" i="1"/>
  <c r="Q233" i="1"/>
  <c r="R233" i="1"/>
  <c r="U233" i="1"/>
  <c r="W233" i="1"/>
  <c r="X233" i="1"/>
  <c r="Y233" i="1"/>
  <c r="AB233" i="1"/>
  <c r="AD233" i="1"/>
  <c r="AE233" i="1"/>
  <c r="AF233" i="1"/>
  <c r="AI233" i="1"/>
  <c r="AK233" i="1"/>
  <c r="AL233" i="1"/>
  <c r="AM233" i="1"/>
  <c r="AP233" i="1"/>
  <c r="AR233" i="1"/>
  <c r="AS233" i="1"/>
  <c r="AT233" i="1"/>
  <c r="AW233" i="1"/>
  <c r="AY233" i="1"/>
  <c r="AZ233" i="1"/>
  <c r="BA233" i="1"/>
  <c r="BD233" i="1"/>
  <c r="B234" i="1"/>
  <c r="D234" i="1"/>
  <c r="C234" i="1"/>
  <c r="G234" i="1"/>
  <c r="I234" i="1"/>
  <c r="J234" i="1"/>
  <c r="K234" i="1"/>
  <c r="N234" i="1"/>
  <c r="P234" i="1"/>
  <c r="Q234" i="1"/>
  <c r="R234" i="1"/>
  <c r="U234" i="1"/>
  <c r="W234" i="1"/>
  <c r="X234" i="1"/>
  <c r="Y234" i="1"/>
  <c r="AB234" i="1"/>
  <c r="AD234" i="1"/>
  <c r="AE234" i="1"/>
  <c r="AF234" i="1"/>
  <c r="AI234" i="1"/>
  <c r="AK234" i="1"/>
  <c r="AL234" i="1"/>
  <c r="AM234" i="1"/>
  <c r="AP234" i="1"/>
  <c r="AR234" i="1"/>
  <c r="AS234" i="1"/>
  <c r="AT234" i="1"/>
  <c r="AW234" i="1"/>
  <c r="AY234" i="1"/>
  <c r="AZ234" i="1"/>
  <c r="BA234" i="1"/>
  <c r="BD234" i="1"/>
  <c r="B235" i="1"/>
  <c r="D235" i="1"/>
  <c r="C235" i="1"/>
  <c r="G235" i="1"/>
  <c r="I235" i="1"/>
  <c r="J235" i="1"/>
  <c r="K235" i="1"/>
  <c r="N235" i="1"/>
  <c r="P235" i="1"/>
  <c r="Q235" i="1"/>
  <c r="R235" i="1"/>
  <c r="U235" i="1"/>
  <c r="W235" i="1"/>
  <c r="X235" i="1"/>
  <c r="Y235" i="1"/>
  <c r="AB235" i="1"/>
  <c r="AD235" i="1"/>
  <c r="AE235" i="1"/>
  <c r="AF235" i="1"/>
  <c r="AI235" i="1"/>
  <c r="AK235" i="1"/>
  <c r="AL235" i="1"/>
  <c r="AM235" i="1"/>
  <c r="AP235" i="1"/>
  <c r="AR235" i="1"/>
  <c r="AS235" i="1"/>
  <c r="AT235" i="1"/>
  <c r="AW235" i="1"/>
  <c r="AY235" i="1"/>
  <c r="AZ235" i="1"/>
  <c r="BA235" i="1"/>
  <c r="BD235" i="1"/>
  <c r="B236" i="1"/>
  <c r="D236" i="1"/>
  <c r="C236" i="1"/>
  <c r="G236" i="1"/>
  <c r="I236" i="1"/>
  <c r="J236" i="1"/>
  <c r="K236" i="1"/>
  <c r="N236" i="1"/>
  <c r="P236" i="1"/>
  <c r="Q236" i="1"/>
  <c r="R236" i="1"/>
  <c r="U236" i="1"/>
  <c r="W236" i="1"/>
  <c r="X236" i="1"/>
  <c r="Y236" i="1"/>
  <c r="AB236" i="1"/>
  <c r="AD236" i="1"/>
  <c r="AE236" i="1"/>
  <c r="AF236" i="1"/>
  <c r="AI236" i="1"/>
  <c r="AK236" i="1"/>
  <c r="AL236" i="1"/>
  <c r="AM236" i="1"/>
  <c r="AP236" i="1"/>
  <c r="AR236" i="1"/>
  <c r="AS236" i="1"/>
  <c r="AT236" i="1"/>
  <c r="AW236" i="1"/>
  <c r="AY236" i="1"/>
  <c r="AZ236" i="1"/>
  <c r="BA236" i="1"/>
  <c r="BD236" i="1"/>
  <c r="B237" i="1"/>
  <c r="D237" i="1"/>
  <c r="C237" i="1"/>
  <c r="G237" i="1"/>
  <c r="I237" i="1"/>
  <c r="J237" i="1"/>
  <c r="K237" i="1"/>
  <c r="N237" i="1"/>
  <c r="P237" i="1"/>
  <c r="Q237" i="1"/>
  <c r="R237" i="1"/>
  <c r="U237" i="1"/>
  <c r="W237" i="1"/>
  <c r="X237" i="1"/>
  <c r="Y237" i="1"/>
  <c r="AB237" i="1"/>
  <c r="AD237" i="1"/>
  <c r="AE237" i="1"/>
  <c r="AF237" i="1"/>
  <c r="AI237" i="1"/>
  <c r="AK237" i="1"/>
  <c r="AL237" i="1"/>
  <c r="AM237" i="1"/>
  <c r="AP237" i="1"/>
  <c r="AR237" i="1"/>
  <c r="AS237" i="1"/>
  <c r="AT237" i="1"/>
  <c r="AW237" i="1"/>
  <c r="AY237" i="1"/>
  <c r="AZ237" i="1"/>
  <c r="BA237" i="1"/>
  <c r="BD237" i="1"/>
  <c r="B238" i="1"/>
  <c r="D238" i="1"/>
  <c r="C238" i="1"/>
  <c r="G238" i="1"/>
  <c r="I238" i="1"/>
  <c r="J238" i="1"/>
  <c r="K238" i="1"/>
  <c r="N238" i="1"/>
  <c r="P238" i="1"/>
  <c r="Q238" i="1"/>
  <c r="R238" i="1"/>
  <c r="U238" i="1"/>
  <c r="W238" i="1"/>
  <c r="X238" i="1"/>
  <c r="Y238" i="1"/>
  <c r="AB238" i="1"/>
  <c r="AD238" i="1"/>
  <c r="AE238" i="1"/>
  <c r="AF238" i="1"/>
  <c r="AI238" i="1"/>
  <c r="AK238" i="1"/>
  <c r="AL238" i="1"/>
  <c r="AM238" i="1"/>
  <c r="AP238" i="1"/>
  <c r="AR238" i="1"/>
  <c r="AS238" i="1"/>
  <c r="AT238" i="1"/>
  <c r="AW238" i="1"/>
  <c r="AY238" i="1"/>
  <c r="AZ238" i="1"/>
  <c r="BA238" i="1"/>
  <c r="BD238" i="1"/>
  <c r="B239" i="1"/>
  <c r="D239" i="1"/>
  <c r="C239" i="1"/>
  <c r="G239" i="1"/>
  <c r="I239" i="1"/>
  <c r="J239" i="1"/>
  <c r="K239" i="1"/>
  <c r="N239" i="1"/>
  <c r="P239" i="1"/>
  <c r="Q239" i="1"/>
  <c r="R239" i="1"/>
  <c r="U239" i="1"/>
  <c r="W239" i="1"/>
  <c r="X239" i="1"/>
  <c r="Y239" i="1"/>
  <c r="AB239" i="1"/>
  <c r="AD239" i="1"/>
  <c r="AE239" i="1"/>
  <c r="AF239" i="1"/>
  <c r="AI239" i="1"/>
  <c r="AK239" i="1"/>
  <c r="AL239" i="1"/>
  <c r="AM239" i="1"/>
  <c r="AP239" i="1"/>
  <c r="AR239" i="1"/>
  <c r="AS239" i="1"/>
  <c r="AT239" i="1"/>
  <c r="AW239" i="1"/>
  <c r="AY239" i="1"/>
  <c r="AZ239" i="1"/>
  <c r="BA239" i="1"/>
  <c r="BD239" i="1"/>
  <c r="D240" i="1"/>
  <c r="C240" i="1"/>
  <c r="G240" i="1"/>
  <c r="J240" i="1"/>
  <c r="K240" i="1"/>
  <c r="N240" i="1"/>
  <c r="Q240" i="1"/>
  <c r="R240" i="1"/>
  <c r="U240" i="1"/>
  <c r="X240" i="1"/>
  <c r="Y240" i="1"/>
  <c r="AB240" i="1"/>
  <c r="AE240" i="1"/>
  <c r="AF240" i="1"/>
  <c r="AI240" i="1"/>
  <c r="AL240" i="1"/>
  <c r="AM240" i="1"/>
  <c r="AP240" i="1"/>
  <c r="AS240" i="1"/>
  <c r="AT240" i="1"/>
  <c r="AW240" i="1"/>
  <c r="AZ240" i="1"/>
  <c r="BA240" i="1"/>
  <c r="BD240" i="1"/>
  <c r="C241" i="1"/>
  <c r="G241" i="1"/>
  <c r="J241" i="1"/>
  <c r="N241" i="1"/>
  <c r="Q241" i="1"/>
  <c r="U241" i="1"/>
  <c r="X241" i="1"/>
  <c r="AB241" i="1"/>
  <c r="AE241" i="1"/>
  <c r="AI241" i="1"/>
  <c r="AL241" i="1"/>
  <c r="AP241" i="1"/>
  <c r="AS241" i="1"/>
  <c r="AW241" i="1"/>
  <c r="AZ241" i="1"/>
  <c r="BD241" i="1"/>
  <c r="D242" i="1"/>
  <c r="C242" i="1"/>
  <c r="G242" i="1"/>
  <c r="J242" i="1"/>
  <c r="K242" i="1"/>
  <c r="N242" i="1"/>
  <c r="Q242" i="1"/>
  <c r="R242" i="1"/>
  <c r="U242" i="1"/>
  <c r="X242" i="1"/>
  <c r="Y242" i="1"/>
  <c r="AB242" i="1"/>
  <c r="AE242" i="1"/>
  <c r="AF242" i="1"/>
  <c r="AI242" i="1"/>
  <c r="AL242" i="1"/>
  <c r="AM242" i="1"/>
  <c r="AP242" i="1"/>
  <c r="AS242" i="1"/>
  <c r="AT242" i="1"/>
  <c r="AW242" i="1"/>
  <c r="AZ242" i="1"/>
  <c r="BA242" i="1"/>
  <c r="BD242" i="1"/>
  <c r="B243" i="1"/>
  <c r="D243" i="1"/>
  <c r="C243" i="1"/>
  <c r="G243" i="1"/>
  <c r="I243" i="1"/>
  <c r="J243" i="1"/>
  <c r="K243" i="1"/>
  <c r="N243" i="1"/>
  <c r="P243" i="1"/>
  <c r="Q243" i="1"/>
  <c r="R243" i="1"/>
  <c r="U243" i="1"/>
  <c r="W243" i="1"/>
  <c r="X243" i="1"/>
  <c r="Y243" i="1"/>
  <c r="AB243" i="1"/>
  <c r="AD243" i="1"/>
  <c r="AE243" i="1"/>
  <c r="AF243" i="1"/>
  <c r="AI243" i="1"/>
  <c r="AK243" i="1"/>
  <c r="AL243" i="1"/>
  <c r="AM243" i="1"/>
  <c r="AP243" i="1"/>
  <c r="AR243" i="1"/>
  <c r="AS243" i="1"/>
  <c r="AT243" i="1"/>
  <c r="AW243" i="1"/>
  <c r="AY243" i="1"/>
  <c r="AZ243" i="1"/>
  <c r="BA243" i="1"/>
  <c r="BD243" i="1"/>
  <c r="B244" i="1"/>
  <c r="D244" i="1"/>
  <c r="C244" i="1"/>
  <c r="G244" i="1"/>
  <c r="I244" i="1"/>
  <c r="J244" i="1"/>
  <c r="K244" i="1"/>
  <c r="N244" i="1"/>
  <c r="P244" i="1"/>
  <c r="Q244" i="1"/>
  <c r="R244" i="1"/>
  <c r="U244" i="1"/>
  <c r="W244" i="1"/>
  <c r="X244" i="1"/>
  <c r="Y244" i="1"/>
  <c r="AB244" i="1"/>
  <c r="AD244" i="1"/>
  <c r="AE244" i="1"/>
  <c r="AF244" i="1"/>
  <c r="AI244" i="1"/>
  <c r="AK244" i="1"/>
  <c r="AL244" i="1"/>
  <c r="AM244" i="1"/>
  <c r="AP244" i="1"/>
  <c r="AR244" i="1"/>
  <c r="AS244" i="1"/>
  <c r="AT244" i="1"/>
  <c r="AW244" i="1"/>
  <c r="AY244" i="1"/>
  <c r="AZ244" i="1"/>
  <c r="BA244" i="1"/>
  <c r="BD244" i="1"/>
  <c r="B245" i="1"/>
  <c r="D245" i="1"/>
  <c r="C245" i="1"/>
  <c r="G245" i="1"/>
  <c r="I245" i="1"/>
  <c r="J245" i="1"/>
  <c r="K245" i="1"/>
  <c r="N245" i="1"/>
  <c r="P245" i="1"/>
  <c r="Q245" i="1"/>
  <c r="R245" i="1"/>
  <c r="U245" i="1"/>
  <c r="W245" i="1"/>
  <c r="X245" i="1"/>
  <c r="Y245" i="1"/>
  <c r="AB245" i="1"/>
  <c r="AD245" i="1"/>
  <c r="AE245" i="1"/>
  <c r="AF245" i="1"/>
  <c r="AI245" i="1"/>
  <c r="AK245" i="1"/>
  <c r="AL245" i="1"/>
  <c r="AM245" i="1"/>
  <c r="AP245" i="1"/>
  <c r="AR245" i="1"/>
  <c r="AS245" i="1"/>
  <c r="AT245" i="1"/>
  <c r="AW245" i="1"/>
  <c r="AY245" i="1"/>
  <c r="AZ245" i="1"/>
  <c r="BA245" i="1"/>
  <c r="BD245" i="1"/>
  <c r="B246" i="1"/>
  <c r="D246" i="1"/>
  <c r="C246" i="1"/>
  <c r="G246" i="1"/>
  <c r="I246" i="1"/>
  <c r="J246" i="1"/>
  <c r="K246" i="1"/>
  <c r="N246" i="1"/>
  <c r="P246" i="1"/>
  <c r="Q246" i="1"/>
  <c r="R246" i="1"/>
  <c r="U246" i="1"/>
  <c r="W246" i="1"/>
  <c r="X246" i="1"/>
  <c r="Y246" i="1"/>
  <c r="AB246" i="1"/>
  <c r="AD246" i="1"/>
  <c r="AE246" i="1"/>
  <c r="AF246" i="1"/>
  <c r="AI246" i="1"/>
  <c r="AK246" i="1"/>
  <c r="AL246" i="1"/>
  <c r="AM246" i="1"/>
  <c r="AP246" i="1"/>
  <c r="AR246" i="1"/>
  <c r="AS246" i="1"/>
  <c r="AT246" i="1"/>
  <c r="AW246" i="1"/>
  <c r="AY246" i="1"/>
  <c r="AZ246" i="1"/>
  <c r="BA246" i="1"/>
  <c r="BD246" i="1"/>
  <c r="B247" i="1"/>
  <c r="D247" i="1"/>
  <c r="C247" i="1"/>
  <c r="G247" i="1"/>
  <c r="I247" i="1"/>
  <c r="J247" i="1"/>
  <c r="K247" i="1"/>
  <c r="N247" i="1"/>
  <c r="P247" i="1"/>
  <c r="Q247" i="1"/>
  <c r="R247" i="1"/>
  <c r="U247" i="1"/>
  <c r="W247" i="1"/>
  <c r="X247" i="1"/>
  <c r="Y247" i="1"/>
  <c r="AB247" i="1"/>
  <c r="AD247" i="1"/>
  <c r="AE247" i="1"/>
  <c r="AF247" i="1"/>
  <c r="AI247" i="1"/>
  <c r="AK247" i="1"/>
  <c r="AL247" i="1"/>
  <c r="AM247" i="1"/>
  <c r="AP247" i="1"/>
  <c r="AR247" i="1"/>
  <c r="AS247" i="1"/>
  <c r="AT247" i="1"/>
  <c r="AW247" i="1"/>
  <c r="AY247" i="1"/>
  <c r="AZ247" i="1"/>
  <c r="BA247" i="1"/>
  <c r="BD247" i="1"/>
  <c r="B248" i="1"/>
  <c r="D248" i="1"/>
  <c r="C248" i="1"/>
  <c r="G248" i="1"/>
  <c r="I248" i="1"/>
  <c r="J248" i="1"/>
  <c r="K248" i="1"/>
  <c r="N248" i="1"/>
  <c r="P248" i="1"/>
  <c r="Q248" i="1"/>
  <c r="R248" i="1"/>
  <c r="U248" i="1"/>
  <c r="W248" i="1"/>
  <c r="X248" i="1"/>
  <c r="Y248" i="1"/>
  <c r="AB248" i="1"/>
  <c r="AD248" i="1"/>
  <c r="AE248" i="1"/>
  <c r="AF248" i="1"/>
  <c r="AI248" i="1"/>
  <c r="AK248" i="1"/>
  <c r="AL248" i="1"/>
  <c r="AM248" i="1"/>
  <c r="AP248" i="1"/>
  <c r="AR248" i="1"/>
  <c r="AS248" i="1"/>
  <c r="AT248" i="1"/>
  <c r="AW248" i="1"/>
  <c r="AY248" i="1"/>
  <c r="AZ248" i="1"/>
  <c r="BA248" i="1"/>
  <c r="BD248" i="1"/>
  <c r="B249" i="1"/>
  <c r="D249" i="1"/>
  <c r="C249" i="1"/>
  <c r="G249" i="1"/>
  <c r="I249" i="1"/>
  <c r="J249" i="1"/>
  <c r="K249" i="1"/>
  <c r="N249" i="1"/>
  <c r="P249" i="1"/>
  <c r="Q249" i="1"/>
  <c r="R249" i="1"/>
  <c r="U249" i="1"/>
  <c r="W249" i="1"/>
  <c r="X249" i="1"/>
  <c r="Y249" i="1"/>
  <c r="AB249" i="1"/>
  <c r="AD249" i="1"/>
  <c r="AE249" i="1"/>
  <c r="AF249" i="1"/>
  <c r="AI249" i="1"/>
  <c r="AK249" i="1"/>
  <c r="AL249" i="1"/>
  <c r="AM249" i="1"/>
  <c r="AP249" i="1"/>
  <c r="AR249" i="1"/>
  <c r="AS249" i="1"/>
  <c r="AT249" i="1"/>
  <c r="AW249" i="1"/>
  <c r="AY249" i="1"/>
  <c r="AZ249" i="1"/>
  <c r="BA249" i="1"/>
  <c r="BD249" i="1"/>
  <c r="B250" i="1"/>
  <c r="D250" i="1"/>
  <c r="C250" i="1"/>
  <c r="G250" i="1"/>
  <c r="I250" i="1"/>
  <c r="J250" i="1"/>
  <c r="K250" i="1"/>
  <c r="N250" i="1"/>
  <c r="P250" i="1"/>
  <c r="Q250" i="1"/>
  <c r="R250" i="1"/>
  <c r="U250" i="1"/>
  <c r="W250" i="1"/>
  <c r="X250" i="1"/>
  <c r="Y250" i="1"/>
  <c r="AB250" i="1"/>
  <c r="AD250" i="1"/>
  <c r="AE250" i="1"/>
  <c r="AF250" i="1"/>
  <c r="AI250" i="1"/>
  <c r="AK250" i="1"/>
  <c r="AL250" i="1"/>
  <c r="AM250" i="1"/>
  <c r="AP250" i="1"/>
  <c r="AR250" i="1"/>
  <c r="AS250" i="1"/>
  <c r="AT250" i="1"/>
  <c r="AW250" i="1"/>
  <c r="AY250" i="1"/>
  <c r="AZ250" i="1"/>
  <c r="BA250" i="1"/>
  <c r="BD250" i="1"/>
  <c r="B251" i="1"/>
  <c r="C251" i="1"/>
  <c r="G251" i="1"/>
  <c r="I251" i="1"/>
  <c r="J251" i="1"/>
  <c r="N251" i="1"/>
  <c r="P251" i="1"/>
  <c r="Q251" i="1"/>
  <c r="U251" i="1"/>
  <c r="W251" i="1"/>
  <c r="X251" i="1"/>
  <c r="AB251" i="1"/>
  <c r="AD251" i="1"/>
  <c r="AE251" i="1"/>
  <c r="AI251" i="1"/>
  <c r="AK251" i="1"/>
  <c r="AL251" i="1"/>
  <c r="AP251" i="1"/>
  <c r="AR251" i="1"/>
  <c r="AS251" i="1"/>
  <c r="AW251" i="1"/>
  <c r="AY251" i="1"/>
  <c r="AZ251" i="1"/>
  <c r="BD251" i="1"/>
  <c r="B58" i="1"/>
  <c r="B67" i="1" s="1"/>
  <c r="B59" i="1"/>
  <c r="B63" i="1" s="1"/>
  <c r="B217" i="1" l="1"/>
  <c r="B218" i="1" s="1"/>
  <c r="B129" i="1"/>
  <c r="B79" i="1"/>
  <c r="B81" i="1" s="1"/>
  <c r="B64" i="1"/>
  <c r="B195" i="1" s="1"/>
  <c r="B68" i="1"/>
  <c r="B72" i="1"/>
  <c r="B73" i="1" s="1"/>
  <c r="B111" i="1" s="1"/>
  <c r="B201" i="1" s="1"/>
  <c r="G201" i="1" s="1"/>
  <c r="B60" i="1"/>
  <c r="B61" i="1" s="1"/>
  <c r="B62" i="1" s="1"/>
  <c r="C88" i="1"/>
  <c r="C87" i="1"/>
  <c r="B69" i="1"/>
  <c r="T204" i="1"/>
  <c r="G204" i="1"/>
  <c r="C95" i="1"/>
  <c r="C94" i="1"/>
  <c r="C93" i="1"/>
  <c r="N204" i="1"/>
  <c r="E204" i="1"/>
  <c r="R204" i="1"/>
  <c r="C91" i="1"/>
  <c r="L204" i="1"/>
  <c r="S204" i="1"/>
  <c r="F204" i="1"/>
  <c r="P204" i="1"/>
  <c r="Q204" i="1"/>
  <c r="C204" i="1"/>
  <c r="U204" i="1"/>
  <c r="C90" i="1"/>
  <c r="C89" i="1"/>
  <c r="D204" i="1"/>
  <c r="H204" i="1"/>
  <c r="J204" i="1"/>
  <c r="B204" i="1"/>
  <c r="M204" i="1"/>
  <c r="C92" i="1"/>
  <c r="K204" i="1"/>
  <c r="O204" i="1"/>
  <c r="I204" i="1"/>
  <c r="B97" i="1"/>
  <c r="B194" i="1"/>
  <c r="H201" i="1" l="1"/>
  <c r="C201" i="1"/>
  <c r="D201" i="1"/>
  <c r="F201" i="1"/>
  <c r="S195" i="1"/>
  <c r="P195" i="1"/>
  <c r="R195" i="1"/>
  <c r="U195" i="1"/>
  <c r="N195" i="1"/>
  <c r="C195" i="1"/>
  <c r="F195" i="1"/>
  <c r="T195" i="1"/>
  <c r="D195" i="1"/>
  <c r="E195" i="1"/>
  <c r="Q195" i="1"/>
  <c r="G195" i="1"/>
  <c r="K195" i="1"/>
  <c r="B200" i="1"/>
  <c r="C200" i="1" s="1"/>
  <c r="B82" i="1"/>
  <c r="Q201" i="1"/>
  <c r="P201" i="1"/>
  <c r="U201" i="1"/>
  <c r="K201" i="1"/>
  <c r="B83" i="1"/>
  <c r="M201" i="1"/>
  <c r="L201" i="1"/>
  <c r="S201" i="1"/>
  <c r="I201" i="1"/>
  <c r="B84" i="1"/>
  <c r="J201" i="1"/>
  <c r="O201" i="1"/>
  <c r="T201" i="1"/>
  <c r="R201" i="1"/>
  <c r="F198" i="1"/>
  <c r="Q198" i="1"/>
  <c r="E198" i="1"/>
  <c r="H198" i="1"/>
  <c r="C198" i="1"/>
  <c r="B131" i="1"/>
  <c r="U198" i="1"/>
  <c r="R198" i="1"/>
  <c r="P198" i="1"/>
  <c r="M198" i="1"/>
  <c r="D198" i="1"/>
  <c r="O198" i="1"/>
  <c r="J198" i="1"/>
  <c r="N198" i="1"/>
  <c r="I198" i="1"/>
  <c r="B130" i="1"/>
  <c r="S198" i="1"/>
  <c r="T198" i="1"/>
  <c r="B198" i="1"/>
  <c r="K198" i="1"/>
  <c r="L198" i="1"/>
  <c r="G198" i="1"/>
  <c r="C96" i="1"/>
  <c r="C97" i="1" s="1"/>
  <c r="E201" i="1"/>
  <c r="N201" i="1"/>
  <c r="V201" i="1"/>
  <c r="L195" i="1"/>
  <c r="I195" i="1"/>
  <c r="O195" i="1"/>
  <c r="H195" i="1"/>
  <c r="V195" i="1" s="1"/>
  <c r="J195" i="1"/>
  <c r="M195" i="1"/>
  <c r="I194" i="1"/>
  <c r="O194" i="1"/>
  <c r="S194" i="1"/>
  <c r="E194" i="1"/>
  <c r="N194" i="1"/>
  <c r="R194" i="1"/>
  <c r="C194" i="1"/>
  <c r="U194" i="1"/>
  <c r="M194" i="1"/>
  <c r="J194" i="1"/>
  <c r="H194" i="1"/>
  <c r="Q194" i="1"/>
  <c r="G194" i="1"/>
  <c r="F194" i="1"/>
  <c r="T194" i="1"/>
  <c r="D194" i="1"/>
  <c r="L194" i="1"/>
  <c r="K194" i="1"/>
  <c r="P194" i="1"/>
  <c r="V204" i="1"/>
  <c r="K200" i="1"/>
  <c r="G200" i="1"/>
  <c r="J200" i="1"/>
  <c r="S200" i="1"/>
  <c r="E200" i="1"/>
  <c r="Q200" i="1"/>
  <c r="R200" i="1"/>
  <c r="I200" i="1"/>
  <c r="D200" i="1"/>
  <c r="F200" i="1"/>
  <c r="M200" i="1"/>
  <c r="O200" i="1"/>
  <c r="L200" i="1"/>
  <c r="P200" i="1"/>
  <c r="H200" i="1"/>
  <c r="N200" i="1"/>
  <c r="U200" i="1"/>
  <c r="T200" i="1" l="1"/>
  <c r="B187" i="1"/>
  <c r="B134" i="1"/>
  <c r="V198" i="1"/>
  <c r="B191" i="1"/>
  <c r="B135" i="1"/>
  <c r="V194" i="1"/>
  <c r="V200" i="1"/>
  <c r="O186" i="1" l="1"/>
  <c r="Q186" i="1"/>
  <c r="M186" i="1"/>
  <c r="K186" i="1"/>
  <c r="L186" i="1"/>
  <c r="I186" i="1"/>
  <c r="J186" i="1"/>
  <c r="N186" i="1"/>
  <c r="T186" i="1"/>
  <c r="C186" i="1"/>
  <c r="E186" i="1"/>
  <c r="S186" i="1"/>
  <c r="R186" i="1"/>
  <c r="B186" i="1"/>
  <c r="G186" i="1"/>
  <c r="P186" i="1"/>
  <c r="H186" i="1"/>
  <c r="U186" i="1"/>
  <c r="F186" i="1"/>
  <c r="D186" i="1"/>
  <c r="R190" i="1"/>
  <c r="Q190" i="1"/>
  <c r="N190" i="1"/>
  <c r="O190" i="1"/>
  <c r="J190" i="1"/>
  <c r="T190" i="1"/>
  <c r="C190" i="1"/>
  <c r="M190" i="1"/>
  <c r="G190" i="1"/>
  <c r="L190" i="1"/>
  <c r="F190" i="1"/>
  <c r="I190" i="1"/>
  <c r="B190" i="1"/>
  <c r="B136" i="1"/>
  <c r="E190" i="1"/>
  <c r="K190" i="1"/>
  <c r="U190" i="1"/>
  <c r="S190" i="1"/>
  <c r="D190" i="1"/>
  <c r="P190" i="1"/>
  <c r="H190" i="1"/>
  <c r="B110" i="1" l="1"/>
  <c r="B197" i="1"/>
  <c r="U197" i="1" s="1"/>
  <c r="V197" i="1" s="1"/>
  <c r="V186" i="1"/>
  <c r="B188" i="1"/>
  <c r="V190" i="1"/>
  <c r="B192" i="1"/>
  <c r="B193" i="1" s="1"/>
  <c r="C191" i="1" s="1"/>
  <c r="C192" i="1" s="1"/>
  <c r="B203" i="1" l="1"/>
  <c r="B205" i="1"/>
  <c r="B189" i="1"/>
  <c r="C187" i="1" s="1"/>
  <c r="C188" i="1" s="1"/>
  <c r="C203" i="1" s="1"/>
  <c r="J202" i="1"/>
  <c r="N202" i="1"/>
  <c r="D202" i="1"/>
  <c r="Q202" i="1"/>
  <c r="C202" i="1"/>
  <c r="E202" i="1"/>
  <c r="O202" i="1"/>
  <c r="T202" i="1"/>
  <c r="R202" i="1"/>
  <c r="P202" i="1"/>
  <c r="S202" i="1"/>
  <c r="U202" i="1"/>
  <c r="F202" i="1"/>
  <c r="I202" i="1"/>
  <c r="G202" i="1"/>
  <c r="L202" i="1"/>
  <c r="H202" i="1"/>
  <c r="K202" i="1"/>
  <c r="B202" i="1"/>
  <c r="V202" i="1" s="1"/>
  <c r="M202" i="1"/>
  <c r="C193" i="1"/>
  <c r="B206" i="1" l="1"/>
  <c r="B210" i="1" s="1"/>
  <c r="C189" i="1"/>
  <c r="C205" i="1"/>
  <c r="C206" i="1" s="1"/>
  <c r="D191" i="1"/>
  <c r="D187" i="1"/>
  <c r="D192" i="1" l="1"/>
  <c r="D188" i="1"/>
  <c r="C210" i="1"/>
  <c r="D193" i="1" l="1"/>
  <c r="D203" i="1"/>
  <c r="D205" i="1"/>
  <c r="D189" i="1"/>
  <c r="E191" i="1" l="1"/>
  <c r="D206" i="1"/>
  <c r="E187" i="1"/>
  <c r="E192" i="1" l="1"/>
  <c r="E188" i="1"/>
  <c r="D210" i="1"/>
  <c r="E193" i="1" l="1"/>
  <c r="E203" i="1"/>
  <c r="E205" i="1"/>
  <c r="E189" i="1"/>
  <c r="F191" i="1" l="1"/>
  <c r="F192" i="1" s="1"/>
  <c r="F187" i="1"/>
  <c r="E206" i="1"/>
  <c r="F193" i="1" l="1"/>
  <c r="E210" i="1"/>
  <c r="F188" i="1"/>
  <c r="G191" i="1" l="1"/>
  <c r="G192" i="1" s="1"/>
  <c r="G193" i="1" s="1"/>
  <c r="F203" i="1"/>
  <c r="F205" i="1"/>
  <c r="F189" i="1"/>
  <c r="H191" i="1" l="1"/>
  <c r="H192" i="1" s="1"/>
  <c r="H193" i="1"/>
  <c r="G187" i="1"/>
  <c r="F206" i="1"/>
  <c r="I191" i="1" l="1"/>
  <c r="I192" i="1" s="1"/>
  <c r="I193" i="1" s="1"/>
  <c r="G188" i="1"/>
  <c r="F210" i="1"/>
  <c r="J191" i="1" l="1"/>
  <c r="J192" i="1" s="1"/>
  <c r="J193" i="1" s="1"/>
  <c r="G203" i="1"/>
  <c r="G205" i="1"/>
  <c r="G206" i="1" s="1"/>
  <c r="G189" i="1"/>
  <c r="K191" i="1" l="1"/>
  <c r="K192" i="1" s="1"/>
  <c r="K193" i="1"/>
  <c r="H187" i="1"/>
  <c r="H188" i="1" s="1"/>
  <c r="H189" i="1" s="1"/>
  <c r="G210" i="1"/>
  <c r="L191" i="1" l="1"/>
  <c r="L192" i="1" s="1"/>
  <c r="L193" i="1" s="1"/>
  <c r="I187" i="1"/>
  <c r="I188" i="1" s="1"/>
  <c r="I189" i="1" s="1"/>
  <c r="H203" i="1"/>
  <c r="H205" i="1"/>
  <c r="H206" i="1" s="1"/>
  <c r="H210" i="1" s="1"/>
  <c r="M191" i="1" l="1"/>
  <c r="M192" i="1" s="1"/>
  <c r="M193" i="1" s="1"/>
  <c r="J187" i="1"/>
  <c r="J188" i="1" s="1"/>
  <c r="J189" i="1" s="1"/>
  <c r="I203" i="1"/>
  <c r="I205" i="1"/>
  <c r="I206" i="1" s="1"/>
  <c r="I210" i="1" s="1"/>
  <c r="N191" i="1" l="1"/>
  <c r="N192" i="1" s="1"/>
  <c r="N193" i="1" s="1"/>
  <c r="K187" i="1"/>
  <c r="K188" i="1" s="1"/>
  <c r="K189" i="1" s="1"/>
  <c r="J203" i="1"/>
  <c r="J205" i="1"/>
  <c r="J206" i="1" s="1"/>
  <c r="J210" i="1" s="1"/>
  <c r="O191" i="1" l="1"/>
  <c r="O192" i="1" s="1"/>
  <c r="O193" i="1" s="1"/>
  <c r="K203" i="1"/>
  <c r="K205" i="1"/>
  <c r="K206" i="1" s="1"/>
  <c r="K210" i="1" s="1"/>
  <c r="L187" i="1"/>
  <c r="L188" i="1" s="1"/>
  <c r="P191" i="1" l="1"/>
  <c r="P192" i="1" s="1"/>
  <c r="P193" i="1"/>
  <c r="L203" i="1"/>
  <c r="L205" i="1"/>
  <c r="L206" i="1" s="1"/>
  <c r="L210" i="1" s="1"/>
  <c r="L189" i="1"/>
  <c r="Q191" i="1" l="1"/>
  <c r="Q192" i="1" s="1"/>
  <c r="Q193" i="1" s="1"/>
  <c r="M187" i="1"/>
  <c r="M188" i="1" s="1"/>
  <c r="M189" i="1" s="1"/>
  <c r="R191" i="1" l="1"/>
  <c r="R192" i="1" s="1"/>
  <c r="R193" i="1" s="1"/>
  <c r="N187" i="1"/>
  <c r="N188" i="1" s="1"/>
  <c r="M203" i="1"/>
  <c r="M205" i="1"/>
  <c r="M206" i="1" s="1"/>
  <c r="M210" i="1" s="1"/>
  <c r="S191" i="1" l="1"/>
  <c r="S192" i="1" s="1"/>
  <c r="S193" i="1"/>
  <c r="N203" i="1"/>
  <c r="N205" i="1"/>
  <c r="N206" i="1" s="1"/>
  <c r="N210" i="1" s="1"/>
  <c r="N189" i="1"/>
  <c r="T191" i="1" l="1"/>
  <c r="T192" i="1" s="1"/>
  <c r="T193" i="1"/>
  <c r="O187" i="1"/>
  <c r="O188" i="1" s="1"/>
  <c r="O189" i="1" s="1"/>
  <c r="U191" i="1" l="1"/>
  <c r="P187" i="1"/>
  <c r="P188" i="1" s="1"/>
  <c r="O203" i="1"/>
  <c r="O205" i="1"/>
  <c r="O206" i="1" s="1"/>
  <c r="O210" i="1" s="1"/>
  <c r="U192" i="1" l="1"/>
  <c r="V191" i="1"/>
  <c r="P203" i="1"/>
  <c r="P205" i="1"/>
  <c r="P206" i="1" s="1"/>
  <c r="P210" i="1" s="1"/>
  <c r="P189" i="1"/>
  <c r="V192" i="1" l="1"/>
  <c r="U193" i="1"/>
  <c r="Q187" i="1"/>
  <c r="Q188" i="1" s="1"/>
  <c r="Q189" i="1"/>
  <c r="Q203" i="1" l="1"/>
  <c r="Q205" i="1"/>
  <c r="Q206" i="1" s="1"/>
  <c r="Q210" i="1" s="1"/>
  <c r="R187" i="1"/>
  <c r="R188" i="1" s="1"/>
  <c r="R189" i="1" s="1"/>
  <c r="S187" i="1" l="1"/>
  <c r="S188" i="1" s="1"/>
  <c r="S189" i="1" s="1"/>
  <c r="R203" i="1"/>
  <c r="R205" i="1"/>
  <c r="R206" i="1" s="1"/>
  <c r="R210" i="1" s="1"/>
  <c r="T187" i="1" l="1"/>
  <c r="T188" i="1" s="1"/>
  <c r="T189" i="1"/>
  <c r="S203" i="1"/>
  <c r="S205" i="1"/>
  <c r="S206" i="1" s="1"/>
  <c r="S210" i="1" s="1"/>
  <c r="U187" i="1" l="1"/>
  <c r="T203" i="1"/>
  <c r="T205" i="1"/>
  <c r="T206" i="1" s="1"/>
  <c r="T210" i="1" s="1"/>
  <c r="U188" i="1" l="1"/>
  <c r="V187" i="1"/>
  <c r="U203" i="1" l="1"/>
  <c r="V203" i="1" s="1"/>
  <c r="U205" i="1"/>
  <c r="V188" i="1"/>
  <c r="U189" i="1"/>
  <c r="U206" i="1" l="1"/>
  <c r="V205" i="1"/>
  <c r="U210" i="1" l="1"/>
  <c r="B211" i="1" s="1"/>
  <c r="V206" i="1"/>
  <c r="B219" i="1" l="1"/>
  <c r="B220" i="1" s="1"/>
  <c r="B213" i="1"/>
  <c r="B214" i="1" l="1"/>
  <c r="V213" i="1"/>
  <c r="AA230" i="1"/>
  <c r="F230" i="1"/>
  <c r="M230" i="1"/>
  <c r="T230" i="1"/>
  <c r="AO230" i="1"/>
  <c r="AV230" i="1"/>
  <c r="BC230" i="1"/>
  <c r="AH230" i="1"/>
  <c r="S230" i="1" l="1"/>
  <c r="L230" i="1"/>
  <c r="E230" i="1"/>
  <c r="AG230" i="1"/>
  <c r="Z230" i="1"/>
  <c r="AU230" i="1"/>
  <c r="BB230" i="1"/>
  <c r="AN230" i="1"/>
  <c r="V214" i="1"/>
</calcChain>
</file>

<file path=xl/sharedStrings.xml><?xml version="1.0" encoding="utf-8"?>
<sst xmlns="http://schemas.openxmlformats.org/spreadsheetml/2006/main" count="403" uniqueCount="278">
  <si>
    <t>Federal Tax Rate (%)</t>
  </si>
  <si>
    <t>State Tax Rate (%)</t>
  </si>
  <si>
    <t>Combined Tax Rate (%)</t>
  </si>
  <si>
    <t>Debt ratio (%)</t>
  </si>
  <si>
    <t>Equity ratio (%)</t>
  </si>
  <si>
    <t>Total Cost of Plant ($)</t>
  </si>
  <si>
    <t>Total Equity Cost ($)</t>
  </si>
  <si>
    <t>Total Debt Cost ($)</t>
  </si>
  <si>
    <t>Capital Recovery Factor (Equity)</t>
  </si>
  <si>
    <t>Capital Recovery Factor (Debt)</t>
  </si>
  <si>
    <t>Annual Equity Recovery ($/y)</t>
  </si>
  <si>
    <t>Annual Debt Payment ($/y)</t>
  </si>
  <si>
    <t>Debt Reserve ($)</t>
  </si>
  <si>
    <t>Annual Debt Reserve Interest ($/y)</t>
  </si>
  <si>
    <t>Annual Capacity Payment ($/y)</t>
  </si>
  <si>
    <t>Year 1</t>
  </si>
  <si>
    <t>Year 2</t>
  </si>
  <si>
    <t>Year 3</t>
  </si>
  <si>
    <t>Year 4</t>
  </si>
  <si>
    <t>Year 5</t>
  </si>
  <si>
    <t>Year 6</t>
  </si>
  <si>
    <t>Total</t>
  </si>
  <si>
    <t>Year</t>
  </si>
  <si>
    <t>Equity Recovery</t>
  </si>
  <si>
    <t>Equity Interest</t>
  </si>
  <si>
    <t>Equity Principal Paid</t>
  </si>
  <si>
    <t>Equity Principal Remaining</t>
  </si>
  <si>
    <t>Debt Recovery</t>
  </si>
  <si>
    <t>Debt Interest</t>
  </si>
  <si>
    <t>Debt Principal Paid</t>
  </si>
  <si>
    <t>Debt Principal Remaining</t>
  </si>
  <si>
    <t>Non-fuel Expenses</t>
  </si>
  <si>
    <t>Debt Reserve</t>
  </si>
  <si>
    <t>Depreciation</t>
  </si>
  <si>
    <t>Interest on Debt Reserve</t>
  </si>
  <si>
    <t>Taxes</t>
  </si>
  <si>
    <t>Energy Revenue Required</t>
  </si>
  <si>
    <t>Cost of Money</t>
  </si>
  <si>
    <t>Present Worth (time 0)</t>
  </si>
  <si>
    <t>Total Present Worth</t>
  </si>
  <si>
    <t>Capital Recovery Factor (current)</t>
  </si>
  <si>
    <t>Capital Recovery Factor (constant)</t>
  </si>
  <si>
    <t>Generalized Revenue Requirements Model</t>
  </si>
  <si>
    <t>Income other than energy</t>
  </si>
  <si>
    <t>Escalation/Inflation</t>
  </si>
  <si>
    <t>Financing</t>
  </si>
  <si>
    <t>Depreciation Schedule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</si>
  <si>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</si>
  <si>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</si>
  <si>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</si>
  <si>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</si>
  <si>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</si>
  <si>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</si>
  <si>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</si>
  <si>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</si>
  <si>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</si>
  <si>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</si>
  <si>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</si>
  <si>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</si>
  <si>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</si>
  <si>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</si>
  <si>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Annual Cash Flows</t>
  </si>
  <si>
    <t>Current $ Level Annual Cost (LAC)</t>
  </si>
  <si>
    <t>Constant $ Level Annual Cost (LAC)</t>
  </si>
  <si>
    <t>Constant $ Level Annual Revenue Requirements ($/y)</t>
  </si>
  <si>
    <t>Current $ Level Annual Revenue Requirements ($/y)</t>
  </si>
  <si>
    <t>Input Cell</t>
  </si>
  <si>
    <t>Result</t>
  </si>
  <si>
    <t>The spreadsheet cells highlighted in green are input cells:</t>
  </si>
  <si>
    <t>Principal results are highlighted in blue:</t>
  </si>
  <si>
    <t>General Inflation (%/y)</t>
  </si>
  <si>
    <t>Escalation--Other (%/y)</t>
  </si>
  <si>
    <t>Interest Rate on Debt Reserve (%/y)</t>
  </si>
  <si>
    <t>Interest Rate on Debt (%/y)</t>
  </si>
  <si>
    <t>Cost of equity (%/y)</t>
  </si>
  <si>
    <t>Cost of Money (%/y)</t>
  </si>
  <si>
    <t>Real Cost of Money (inflation adjusted)</t>
  </si>
  <si>
    <t>Capacity Factor:  Annual fraction that rated capacity is available from plant</t>
  </si>
  <si>
    <t>Enter Btu/lb</t>
  </si>
  <si>
    <t>Conversion to kJ/kg</t>
  </si>
  <si>
    <t>=</t>
  </si>
  <si>
    <t>Unit Conversions:</t>
  </si>
  <si>
    <t>Enter $/ton</t>
  </si>
  <si>
    <t>Conversion to $/t</t>
  </si>
  <si>
    <t>Federal Tax Rate:  For federal tax calculations</t>
  </si>
  <si>
    <t>State Tax Rate:  For state tax calculations</t>
  </si>
  <si>
    <t>Combined Tax Rate:  combined federal and state tax rate to which project is subject</t>
  </si>
  <si>
    <t>Interest Rate on Debt Reserve:  Interest income earned on reserve account if financing institution requires security deposit</t>
  </si>
  <si>
    <t>General Inflation:  Overall inflation rate used to adjust current dollar result to constant dollars.</t>
  </si>
  <si>
    <t>Escalation--Fuel:  Rate at which fuel cost escalates over time</t>
  </si>
  <si>
    <t>Escalation--Other:  Rate at which other expenses escalate over time</t>
  </si>
  <si>
    <t>Debt ratio:  Fraction of financing covered by debt borrowing</t>
  </si>
  <si>
    <t>Equity ratio:  Fraction of financing covered by corporate investment</t>
  </si>
  <si>
    <t>Cost of Equity:  Rate of return on equity portion of investment</t>
  </si>
  <si>
    <t>Interest Rate on Debt:  Interest rate applied to debt portion of investment</t>
  </si>
  <si>
    <t>Cost of Money:  Weighted cost of investment for full investment including both debt and equity</t>
  </si>
  <si>
    <t>Capital Recovery Factor:  Factor used to compute level annual cost from present worth</t>
  </si>
  <si>
    <t>Annual Equity Recovery:  Uniform annual revenue required to earn stipulated rate of return on equity</t>
  </si>
  <si>
    <t>Annual Debt Payment:  Uniform annual payment needed to pay off debt</t>
  </si>
  <si>
    <t>Debt Reserve:  Funds placed in reserve account as security deposit.  Sometimes required by financing institution to ensure debt repayment if plant operation is stopped for some period, typically up to one year.</t>
  </si>
  <si>
    <t>Depreciation Schedule:  Fraction of capital asset depreciated in each year</t>
  </si>
  <si>
    <t>This example assumes a 20 year economic life with no salvage value and gives cash flows for each year.</t>
  </si>
  <si>
    <t>$/kWh</t>
  </si>
  <si>
    <t>Enter t/h</t>
  </si>
  <si>
    <t>Conversion to tons/hr</t>
  </si>
  <si>
    <t>SI Units</t>
  </si>
  <si>
    <t>Production Tax Credit ($/kWh)</t>
  </si>
  <si>
    <t>Economic Life (y)</t>
  </si>
  <si>
    <t>Tax Credit Schedule</t>
  </si>
  <si>
    <t>Tax Credit</t>
  </si>
  <si>
    <t>Taxes w/o credit</t>
  </si>
  <si>
    <t>Escalation--PTC:  Specified index for production tax credit</t>
  </si>
  <si>
    <t>Capital Cost</t>
  </si>
  <si>
    <t>Total heat production rate (kWth)</t>
  </si>
  <si>
    <t>Recovered heat (kWth)</t>
  </si>
  <si>
    <t>Enter $/MMBtu</t>
  </si>
  <si>
    <t>Total income from heat sales ($/y)</t>
  </si>
  <si>
    <t>Annual heat sales (kWh/y)</t>
  </si>
  <si>
    <t>See Heat Sales Price Conversion calculator above for conversion from $/MMBtu</t>
  </si>
  <si>
    <t>Escalation--Sales price of heat:  escalation rate applied to heat sales</t>
  </si>
  <si>
    <t>Electricity Capacity Payment ($/kW-y)</t>
  </si>
  <si>
    <t>Fraction of total heat production available for sale</t>
  </si>
  <si>
    <t>Total heat production rate equal to fuel power less gross electrical power</t>
  </si>
  <si>
    <t>Recovered heat production rate</t>
  </si>
  <si>
    <t>Total annual heat energy sales</t>
  </si>
  <si>
    <t>Capital Cost: Total installed cost of plant including electrical plus heat recovery and distribution</t>
  </si>
  <si>
    <t xml:space="preserve">Gross Electrical Capacity:  Total gross generating capacity </t>
  </si>
  <si>
    <t>Economic Life:  Example assumes 20 year economic life</t>
  </si>
  <si>
    <t>MACRS--5 year</t>
  </si>
  <si>
    <t>MACRS--10 year</t>
  </si>
  <si>
    <t>Straight Line--20 year</t>
  </si>
  <si>
    <t>Overall CHP Efficiency--Gross (%)</t>
  </si>
  <si>
    <t>Overall CHP Efficiency--Net (%)</t>
  </si>
  <si>
    <t>Aggregate sales price for heat ($/kWh)</t>
  </si>
  <si>
    <t>Aggregate fraction of heat recovered (%)</t>
  </si>
  <si>
    <t>Labor Cost ($/y)</t>
  </si>
  <si>
    <t>Maintenance Cost ($/y)</t>
  </si>
  <si>
    <t>Insurance/Property Tax ($/y)</t>
  </si>
  <si>
    <t>Utilities ($/y)</t>
  </si>
  <si>
    <t>Management/Administration ($/y)</t>
  </si>
  <si>
    <t>Other Operating Expenses ($/y)</t>
  </si>
  <si>
    <t>($/kWh-net electrical)</t>
  </si>
  <si>
    <t>Total Non-Fuel Expenses ($/y)</t>
  </si>
  <si>
    <t>Expenses--base year</t>
  </si>
  <si>
    <t>Heat income per unit net electrical energy ($/kWh-net)</t>
  </si>
  <si>
    <t>Electrical and Fuel--base year</t>
  </si>
  <si>
    <t>Heat--base year</t>
  </si>
  <si>
    <t>Labor Cost:  Cost of labor to operate facility</t>
  </si>
  <si>
    <t>Maintenance Cost:  Cost of maintaining the plant</t>
  </si>
  <si>
    <t>Insurance/Property Tax:  Cost of insurance for the plant plus any property or other local taxes</t>
  </si>
  <si>
    <t>Management/Administration:  Cost for administrative personnel and other administration</t>
  </si>
  <si>
    <t>Tax Credit Schedule:  Fraction = 1 if received in year, 0 if not</t>
  </si>
  <si>
    <t>Utilities:  Purchased utilities including power, gas, water, waste disposal</t>
  </si>
  <si>
    <t>Other Operating Expenses:  All other expenses for operating the plant, for example natural gas not included in utilities, chemicals, or additives</t>
  </si>
  <si>
    <t>--</t>
  </si>
  <si>
    <t>Current $ LAC of Electrical Energy ($/kWh)</t>
  </si>
  <si>
    <t>Constant $ LAC of Electrical Energy ($/kWh)</t>
  </si>
  <si>
    <t>Total Expenses Including Fuel ($/y)</t>
  </si>
  <si>
    <t>($)</t>
  </si>
  <si>
    <r>
      <t>Conversion to kJ/m</t>
    </r>
    <r>
      <rPr>
        <vertAlign val="superscript"/>
        <sz val="9"/>
        <rFont val="Arial"/>
        <family val="2"/>
      </rPr>
      <t>3</t>
    </r>
  </si>
  <si>
    <t>Net Electrical Capacity:  Net power available for on-site use or grid sales</t>
  </si>
  <si>
    <t>Parasitic Load:  Electrical power used to operate system</t>
  </si>
  <si>
    <t>Income--Capacity</t>
  </si>
  <si>
    <t>Income--Heat</t>
  </si>
  <si>
    <r>
      <t>Enter ft</t>
    </r>
    <r>
      <rPr>
        <vertAlign val="superscript"/>
        <sz val="9"/>
        <rFont val="Arial"/>
        <family val="2"/>
      </rPr>
      <t>3</t>
    </r>
    <r>
      <rPr>
        <sz val="9"/>
        <rFont val="Arial"/>
        <family val="2"/>
      </rPr>
      <t>/lb</t>
    </r>
  </si>
  <si>
    <r>
      <t>Conversion to m</t>
    </r>
    <r>
      <rPr>
        <vertAlign val="superscript"/>
        <sz val="9"/>
        <rFont val="Arial"/>
        <family val="2"/>
      </rPr>
      <t>3</t>
    </r>
    <r>
      <rPr>
        <sz val="9"/>
        <rFont val="Arial"/>
        <family val="2"/>
      </rPr>
      <t>/kg</t>
    </r>
  </si>
  <si>
    <t>Example:  Biomass Gasification/Power Generation</t>
  </si>
  <si>
    <t>This simplified model computes both the current $ and constant $ level annual cost of electricity for a model gasification-power generation facility</t>
  </si>
  <si>
    <t>Gasoline</t>
  </si>
  <si>
    <t>Type</t>
  </si>
  <si>
    <t>Higher Heating Value (MJ/kg)</t>
  </si>
  <si>
    <t>Conventional</t>
  </si>
  <si>
    <t>Light Diesel</t>
  </si>
  <si>
    <t>Heavy Diesel</t>
  </si>
  <si>
    <t>Natural Gas</t>
  </si>
  <si>
    <t>Lower Heating Value (MJ/kg)</t>
  </si>
  <si>
    <t>CO</t>
  </si>
  <si>
    <r>
      <t>H</t>
    </r>
    <r>
      <rPr>
        <vertAlign val="subscript"/>
        <sz val="9"/>
        <rFont val="Arial"/>
        <family val="2"/>
      </rPr>
      <t>2</t>
    </r>
  </si>
  <si>
    <r>
      <t>CH</t>
    </r>
    <r>
      <rPr>
        <vertAlign val="subscript"/>
        <sz val="9"/>
        <rFont val="Arial"/>
        <family val="2"/>
      </rPr>
      <t>4</t>
    </r>
  </si>
  <si>
    <t>Fuel Properties:</t>
  </si>
  <si>
    <r>
      <t>Density 298K, 1 atm   (kg/m</t>
    </r>
    <r>
      <rPr>
        <vertAlign val="superscript"/>
        <sz val="9"/>
        <rFont val="Arial"/>
        <family val="2"/>
      </rPr>
      <t>3</t>
    </r>
    <r>
      <rPr>
        <sz val="9"/>
        <rFont val="Arial"/>
        <family val="2"/>
      </rPr>
      <t>)</t>
    </r>
  </si>
  <si>
    <r>
      <t>CO</t>
    </r>
    <r>
      <rPr>
        <vertAlign val="subscript"/>
        <sz val="9"/>
        <rFont val="Arial"/>
        <family val="2"/>
      </rPr>
      <t>2</t>
    </r>
  </si>
  <si>
    <r>
      <t>N</t>
    </r>
    <r>
      <rPr>
        <vertAlign val="subscript"/>
        <sz val="9"/>
        <rFont val="Arial"/>
        <family val="2"/>
      </rPr>
      <t>2</t>
    </r>
  </si>
  <si>
    <r>
      <t>O</t>
    </r>
    <r>
      <rPr>
        <vertAlign val="subscript"/>
        <sz val="9"/>
        <rFont val="Arial"/>
        <family val="2"/>
      </rPr>
      <t>2</t>
    </r>
  </si>
  <si>
    <t>Clean Gas Power Input (kW)</t>
  </si>
  <si>
    <t>Dual Fuel Power Input (kW)</t>
  </si>
  <si>
    <r>
      <t>Clean Gas Flow Rate (m</t>
    </r>
    <r>
      <rPr>
        <vertAlign val="superscript"/>
        <sz val="9"/>
        <rFont val="Arial"/>
        <family val="2"/>
      </rPr>
      <t>3</t>
    </r>
    <r>
      <rPr>
        <sz val="9"/>
        <rFont val="Arial"/>
        <family val="2"/>
      </rPr>
      <t>/h)</t>
    </r>
  </si>
  <si>
    <t>Dual Fuel Flow Rate (L/h)</t>
  </si>
  <si>
    <t>Higher Heating Value (kJ/L)</t>
  </si>
  <si>
    <t>Lower Heating Value (kJ/L)</t>
  </si>
  <si>
    <r>
      <t>(kJ/m</t>
    </r>
    <r>
      <rPr>
        <vertAlign val="superscript"/>
        <sz val="9"/>
        <rFont val="Arial"/>
        <family val="2"/>
      </rPr>
      <t>3</t>
    </r>
    <r>
      <rPr>
        <sz val="9"/>
        <rFont val="Arial"/>
        <family val="2"/>
      </rPr>
      <t>)</t>
    </r>
  </si>
  <si>
    <t>Clean Gas Flow Rate (kg/h)</t>
  </si>
  <si>
    <t>Clean gas flow rate in dry metric tons per year</t>
  </si>
  <si>
    <t>Annual Clean Gas Consumption (t/y)</t>
  </si>
  <si>
    <t>Annual Dual Fuel Consumption (L/y)</t>
  </si>
  <si>
    <t>Higher Heating Value of Biomass Feedstock to Gasifier (kJ/kg)</t>
  </si>
  <si>
    <t>Higher heating value of biomass fed to gasifier, dry basis</t>
  </si>
  <si>
    <t>Moisture Content of Biomass Feedstock to Gasifier (% wet basis)</t>
  </si>
  <si>
    <t>Wet basis moisture content of biomass fed to gasifier</t>
  </si>
  <si>
    <t>Biomass Feed Rate (kg/h)--dry basis</t>
  </si>
  <si>
    <t>Annual Biomass Consumption (t/y)--dry basis</t>
  </si>
  <si>
    <t>Annual Biomass Consumption (t/y)--wet basis</t>
  </si>
  <si>
    <t>Ash Content of Biomass (% dry matter)</t>
  </si>
  <si>
    <t>Overall system efficiency:  biomass into gasifier to electricity</t>
  </si>
  <si>
    <t>Carbon Concentration of Char (% dry basis)</t>
  </si>
  <si>
    <t>Annual Char Production (t/y)--dry</t>
  </si>
  <si>
    <t>Char Production Rate (kg/h)--dry</t>
  </si>
  <si>
    <t>Approximate annual char production in dry metric tons per year</t>
  </si>
  <si>
    <t>Income--Char/Ash</t>
  </si>
  <si>
    <t>Annual Income from Char/Ash Sales ($/y)</t>
  </si>
  <si>
    <t>Biomass Fuel Cost ($/t)--use negative value for tipping fee</t>
  </si>
  <si>
    <t>Dual Fuel Cost ($/L)</t>
  </si>
  <si>
    <t>Waste Treatment/Disposal ($/y)--for char/ash, see below</t>
  </si>
  <si>
    <t>Sales Price for Char/Ash ($/t)--for disposal, include above</t>
  </si>
  <si>
    <t xml:space="preserve">Biomass Fuel Cost </t>
  </si>
  <si>
    <t>Dual Fuel Cost</t>
  </si>
  <si>
    <t>Escalation--Dual Fuel (%/y)</t>
  </si>
  <si>
    <t>Escalation--Biomass Fuel (%/y)</t>
  </si>
  <si>
    <t>Fraction in Year</t>
  </si>
  <si>
    <t>Escalation--Production Tax Credit (%/y)</t>
  </si>
  <si>
    <t>Escalation--Heat sales (%/y)</t>
  </si>
  <si>
    <t>Escalation--Char/Ash sales (%/y)</t>
  </si>
  <si>
    <t>Heat Sales Price Conversion:</t>
  </si>
  <si>
    <r>
      <t>*</t>
    </r>
    <r>
      <rPr>
        <sz val="9"/>
        <rFont val="Arial"/>
        <family val="2"/>
      </rPr>
      <t xml:space="preserve">  Default assumes heavy diesel fuel, see table above for other fuels</t>
    </r>
  </si>
  <si>
    <t>Biomass Fuel Cost:  Cost of biomass fuel for gasifier in $/dry metric ton, to convert from $/short ton, see calculator above</t>
  </si>
  <si>
    <t>Production Tax Credit on Electrical Energy.</t>
  </si>
  <si>
    <t>Value, if any, of residual char/ash, in $/dry metric ton</t>
  </si>
  <si>
    <t>Escalation--Char/Ash:  escalation rate applied to sales of char or ash</t>
  </si>
  <si>
    <t>Capital costs shown are for example only.  Actual costs may vary.</t>
  </si>
  <si>
    <t>Capacity Payment:  Payment made from power purchaser if plant can guarantee capacity (depends on contract)</t>
  </si>
  <si>
    <r>
      <t>*</t>
    </r>
    <r>
      <rPr>
        <sz val="9"/>
        <rFont val="Arial"/>
        <family val="2"/>
      </rPr>
      <t xml:space="preserve">  Dual fuel, if any.  Default assumes heavy diesel fuel.  For biomass derived fuel gas only, insert zero</t>
    </r>
  </si>
  <si>
    <t>Sensitivity Analysis</t>
  </si>
  <si>
    <t>Enter base, minimum, and maximum values in input cells</t>
  </si>
  <si>
    <t>Fuel Cost</t>
  </si>
  <si>
    <t>Heat Price</t>
  </si>
  <si>
    <t>Debt Ratio</t>
  </si>
  <si>
    <t>Debt Interest Rate</t>
  </si>
  <si>
    <t>Cost of Equity</t>
  </si>
  <si>
    <t>Capacity Factor</t>
  </si>
  <si>
    <t>Case</t>
  </si>
  <si>
    <t>Relative Change</t>
  </si>
  <si>
    <t>LAC Current</t>
  </si>
  <si>
    <t>LAC Constant</t>
  </si>
  <si>
    <t>Relative Change in COE</t>
  </si>
  <si>
    <t>Efficiency</t>
  </si>
  <si>
    <t>COE Current</t>
  </si>
  <si>
    <t>COE Constant</t>
  </si>
  <si>
    <t>(%)</t>
  </si>
  <si>
    <t>($/kWh)</t>
  </si>
  <si>
    <t>($/t)</t>
  </si>
  <si>
    <t>Formula Values</t>
  </si>
  <si>
    <t>Base</t>
  </si>
  <si>
    <t>Net Power Generation Efficiency:  heat sales price =</t>
  </si>
  <si>
    <r>
      <t>Enter Btu/ft</t>
    </r>
    <r>
      <rPr>
        <vertAlign val="superscript"/>
        <sz val="9"/>
        <rFont val="Arial"/>
        <family val="2"/>
      </rPr>
      <t>3</t>
    </r>
    <phoneticPr fontId="0" type="noConversion"/>
  </si>
  <si>
    <t>Gasifier and Feedstock Handling System Capital Cost ($)</t>
    <phoneticPr fontId="0" type="noConversion"/>
  </si>
  <si>
    <t>Gas Cleaning System Capital Cost ($)</t>
    <phoneticPr fontId="0" type="noConversion"/>
  </si>
  <si>
    <t>Power Generation/Interconnect System Capital Cost ($)</t>
    <phoneticPr fontId="0" type="noConversion"/>
  </si>
  <si>
    <t>Emission Control System Capital Cost ($)</t>
    <phoneticPr fontId="0" type="noConversion"/>
  </si>
  <si>
    <t>Heat Recovery System Capital Cost ($)</t>
    <phoneticPr fontId="0" type="noConversion"/>
  </si>
  <si>
    <t>($/kWe-net)</t>
    <phoneticPr fontId="0" type="noConversion"/>
  </si>
  <si>
    <t>Total Facility Capital Cost ($)</t>
    <phoneticPr fontId="0" type="noConversion"/>
  </si>
  <si>
    <t>Gross Electrical Capacity (kWe)</t>
    <phoneticPr fontId="0" type="noConversion"/>
  </si>
  <si>
    <t>Net Electrical Capacity (kWe)</t>
    <phoneticPr fontId="0" type="noConversion"/>
  </si>
  <si>
    <t>Parasitic Load (kWe)</t>
    <phoneticPr fontId="0" type="noConversion"/>
  </si>
  <si>
    <t>Capacity Factor (%)</t>
    <phoneticPr fontId="0" type="noConversion"/>
  </si>
  <si>
    <t>Annual Hours</t>
    <phoneticPr fontId="0" type="noConversion"/>
  </si>
  <si>
    <t>Annual Net Electricity Generation (kWh)</t>
    <phoneticPr fontId="0" type="noConversion"/>
  </si>
  <si>
    <t>HHV Efficiency of Gasification System--Biomass to Clean Gas (%)</t>
    <phoneticPr fontId="0" type="noConversion"/>
  </si>
  <si>
    <t>Net HHV Efficiency of Power Generation incl. Dual Fuel (%)</t>
    <phoneticPr fontId="0" type="noConversion"/>
  </si>
  <si>
    <t>Overall Net System Efficiency (%)</t>
    <phoneticPr fontId="0" type="noConversion"/>
  </si>
  <si>
    <t>Dual Fuel:  Fraction of Input Energy (%)</t>
    <phoneticPr fontId="0" type="noConversion"/>
  </si>
  <si>
    <t>Clean Gas Composition (% by volume, dry)</t>
    <phoneticPr fontId="0" type="noConversion"/>
  </si>
  <si>
    <r>
      <t>Hydrocarbons (as CH</t>
    </r>
    <r>
      <rPr>
        <vertAlign val="subscript"/>
        <sz val="9"/>
        <rFont val="Arial"/>
        <family val="2"/>
      </rPr>
      <t>4</t>
    </r>
    <r>
      <rPr>
        <sz val="9"/>
        <rFont val="Arial"/>
        <family val="2"/>
      </rPr>
      <t>)</t>
    </r>
    <phoneticPr fontId="0" type="noConversion"/>
  </si>
  <si>
    <t>Clean Gas Molecular Mass (kg/kmol)</t>
    <phoneticPr fontId="0" type="noConversion"/>
  </si>
  <si>
    <r>
      <t>Clean Gas Density 298K, 1 atm (kg/m</t>
    </r>
    <r>
      <rPr>
        <vertAlign val="superscript"/>
        <sz val="9"/>
        <rFont val="Arial"/>
        <family val="2"/>
      </rPr>
      <t>3</t>
    </r>
    <r>
      <rPr>
        <sz val="9"/>
        <rFont val="Arial"/>
        <family val="2"/>
      </rPr>
      <t>)</t>
    </r>
    <phoneticPr fontId="0" type="noConversion"/>
  </si>
  <si>
    <r>
      <t>Clean Gas Higher Heating Value (kJ/m</t>
    </r>
    <r>
      <rPr>
        <vertAlign val="superscript"/>
        <sz val="9"/>
        <rFont val="Arial"/>
        <family val="2"/>
      </rPr>
      <t>3</t>
    </r>
    <r>
      <rPr>
        <sz val="9"/>
        <rFont val="Arial"/>
        <family val="2"/>
      </rPr>
      <t>)</t>
    </r>
    <phoneticPr fontId="0" type="noConversion"/>
  </si>
  <si>
    <r>
      <t>Clean Gas Lower Heating Value (MJ/m</t>
    </r>
    <r>
      <rPr>
        <vertAlign val="superscript"/>
        <sz val="9"/>
        <rFont val="Arial"/>
        <family val="2"/>
      </rPr>
      <t>3</t>
    </r>
    <r>
      <rPr>
        <sz val="9"/>
        <rFont val="Arial"/>
        <family val="2"/>
      </rPr>
      <t>)</t>
    </r>
    <phoneticPr fontId="0" type="noConversion"/>
  </si>
  <si>
    <t>Total Fuel Power Input (kW)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</si>
</sst>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8" formatCode="0.0000"/>
    <numFmt numFmtId="169" formatCode="0.000"/>
    <numFmt numFmtId="170" formatCode="0.0"/>
    <numFmt numFmtId="171" formatCode="#,##0.0"/>
    <numFmt numFmtId="175" formatCode="#,##0.000"/>
    <numFmt numFmtId="176" formatCode="#,##0.0000"/>
  </numFmts>
  <fonts count="11">
    <font>
      <sz val="9"/>
      <name val="Helv"/>
      <family val="2"/>
    </font>
    <font>
      <sz val="10"/>
      <name val="Geneva"/>
      <family val="2"/>
    </font>
    <font>
      <sz val="16"/>
      <name val="Arial"/>
      <family val="2"/>
    </font>
    <font>
      <sz val="9"/>
      <name val="Arial"/>
      <family val="2"/>
    </font>
    <font>
      <b/>
      <i/>
      <sz val="9"/>
      <name val="Arial"/>
      <family val="2"/>
    </font>
    <font>
      <vertAlign val="superscript"/>
      <sz val="9"/>
      <name val="Arial"/>
      <family val="2"/>
    </font>
    <font>
      <vertAlign val="subscript"/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12"/>
      <name val="Arial"/>
      <family val="2"/>
    </font>
    <font>
      <sz val="12"/>
      <color indexed="8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" fontId="1" fillId="0" borderId="0" applyFont="0" applyFill="0" applyBorder="0" applyAlignment="0" applyProtection="0"/>
  </cellStyleXfs>
  <cellXfs count="167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3" fontId="3" fillId="0" borderId="0" xfId="0" applyNumberFormat="1" applyFont="1"/>
    <xf numFmtId="169" fontId="3" fillId="0" borderId="0" xfId="0" applyNumberFormat="1" applyFont="1"/>
    <xf numFmtId="2" fontId="3" fillId="0" borderId="0" xfId="0" applyNumberFormat="1" applyFont="1" applyProtection="1">
      <protection locked="0"/>
    </xf>
    <xf numFmtId="2" fontId="3" fillId="0" borderId="0" xfId="0" applyNumberFormat="1" applyFont="1"/>
    <xf numFmtId="168" fontId="3" fillId="0" borderId="0" xfId="0" applyNumberFormat="1" applyFont="1"/>
    <xf numFmtId="168" fontId="3" fillId="0" borderId="0" xfId="0" applyNumberFormat="1" applyFont="1" applyProtection="1">
      <protection locked="0"/>
    </xf>
    <xf numFmtId="3" fontId="3" fillId="0" borderId="1" xfId="0" applyNumberFormat="1" applyFont="1" applyBorder="1"/>
    <xf numFmtId="0" fontId="3" fillId="2" borderId="2" xfId="0" applyFont="1" applyFill="1" applyBorder="1"/>
    <xf numFmtId="3" fontId="3" fillId="2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/>
    <xf numFmtId="2" fontId="3" fillId="2" borderId="2" xfId="0" applyNumberFormat="1" applyFont="1" applyFill="1" applyBorder="1" applyProtection="1">
      <protection locked="0"/>
    </xf>
    <xf numFmtId="0" fontId="3" fillId="2" borderId="2" xfId="0" applyFont="1" applyFill="1" applyBorder="1" applyProtection="1">
      <protection locked="0"/>
    </xf>
    <xf numFmtId="2" fontId="3" fillId="0" borderId="1" xfId="0" applyNumberFormat="1" applyFont="1" applyBorder="1"/>
    <xf numFmtId="0" fontId="3" fillId="0" borderId="0" xfId="0" applyFont="1" applyFill="1" applyBorder="1"/>
    <xf numFmtId="0" fontId="4" fillId="0" borderId="1" xfId="0" applyFont="1" applyBorder="1"/>
    <xf numFmtId="168" fontId="3" fillId="2" borderId="2" xfId="0" applyNumberFormat="1" applyFont="1" applyFill="1" applyBorder="1" applyProtection="1">
      <protection locked="0"/>
    </xf>
    <xf numFmtId="168" fontId="3" fillId="0" borderId="1" xfId="0" applyNumberFormat="1" applyFont="1" applyBorder="1"/>
    <xf numFmtId="0" fontId="3" fillId="2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wrapText="1"/>
    </xf>
    <xf numFmtId="1" fontId="3" fillId="2" borderId="2" xfId="0" applyNumberFormat="1" applyFont="1" applyFill="1" applyBorder="1" applyProtection="1">
      <protection locked="0"/>
    </xf>
    <xf numFmtId="3" fontId="3" fillId="4" borderId="2" xfId="0" applyNumberFormat="1" applyFont="1" applyFill="1" applyBorder="1"/>
    <xf numFmtId="0" fontId="3" fillId="0" borderId="0" xfId="0" applyFont="1" applyFill="1"/>
    <xf numFmtId="168" fontId="3" fillId="0" borderId="0" xfId="0" applyNumberFormat="1" applyFont="1" applyFill="1"/>
    <xf numFmtId="3" fontId="3" fillId="0" borderId="0" xfId="0" applyNumberFormat="1" applyFont="1" applyFill="1"/>
    <xf numFmtId="169" fontId="3" fillId="2" borderId="2" xfId="0" applyNumberFormat="1" applyFont="1" applyFill="1" applyBorder="1" applyProtection="1">
      <protection locked="0"/>
    </xf>
    <xf numFmtId="1" fontId="3" fillId="2" borderId="2" xfId="0" applyNumberFormat="1" applyFont="1" applyFill="1" applyBorder="1"/>
    <xf numFmtId="0" fontId="4" fillId="0" borderId="0" xfId="0" applyFont="1"/>
    <xf numFmtId="0" fontId="3" fillId="0" borderId="0" xfId="0" applyFont="1" applyBorder="1"/>
    <xf numFmtId="3" fontId="3" fillId="0" borderId="0" xfId="0" applyNumberFormat="1" applyFont="1" applyFill="1" applyBorder="1" applyProtection="1">
      <protection locked="0"/>
    </xf>
    <xf numFmtId="0" fontId="4" fillId="0" borderId="0" xfId="0" applyFont="1" applyFill="1" applyBorder="1"/>
    <xf numFmtId="0" fontId="3" fillId="4" borderId="2" xfId="0" applyFont="1" applyFill="1" applyBorder="1"/>
    <xf numFmtId="0" fontId="3" fillId="4" borderId="2" xfId="0" applyFont="1" applyFill="1" applyBorder="1" applyAlignment="1">
      <alignment horizontal="center" vertical="center"/>
    </xf>
    <xf numFmtId="2" fontId="3" fillId="4" borderId="2" xfId="0" applyNumberFormat="1" applyFont="1" applyFill="1" applyBorder="1"/>
    <xf numFmtId="2" fontId="3" fillId="4" borderId="2" xfId="0" applyNumberFormat="1" applyFont="1" applyFill="1" applyBorder="1" applyProtection="1">
      <protection locked="0"/>
    </xf>
    <xf numFmtId="168" fontId="3" fillId="4" borderId="2" xfId="0" applyNumberFormat="1" applyFont="1" applyFill="1" applyBorder="1"/>
    <xf numFmtId="168" fontId="3" fillId="4" borderId="2" xfId="0" applyNumberFormat="1" applyFont="1" applyFill="1" applyBorder="1" applyProtection="1">
      <protection locked="0"/>
    </xf>
    <xf numFmtId="171" fontId="3" fillId="2" borderId="2" xfId="0" applyNumberFormat="1" applyFont="1" applyFill="1" applyBorder="1" applyProtection="1">
      <protection locked="0"/>
    </xf>
    <xf numFmtId="171" fontId="3" fillId="4" borderId="2" xfId="0" applyNumberFormat="1" applyFont="1" applyFill="1" applyBorder="1"/>
    <xf numFmtId="3" fontId="3" fillId="4" borderId="2" xfId="0" applyNumberFormat="1" applyFont="1" applyFill="1" applyBorder="1" applyProtection="1">
      <protection locked="0"/>
    </xf>
    <xf numFmtId="168" fontId="3" fillId="3" borderId="2" xfId="0" applyNumberFormat="1" applyFont="1" applyFill="1" applyBorder="1"/>
    <xf numFmtId="0" fontId="3" fillId="4" borderId="0" xfId="0" applyFont="1" applyFill="1" applyBorder="1"/>
    <xf numFmtId="3" fontId="3" fillId="4" borderId="0" xfId="0" applyNumberFormat="1" applyFont="1" applyFill="1" applyBorder="1"/>
    <xf numFmtId="4" fontId="3" fillId="2" borderId="3" xfId="0" applyNumberFormat="1" applyFont="1" applyFill="1" applyBorder="1" applyProtection="1">
      <protection locked="0"/>
    </xf>
    <xf numFmtId="0" fontId="3" fillId="4" borderId="2" xfId="0" applyFont="1" applyFill="1" applyBorder="1" applyAlignment="1">
      <alignment horizontal="center" wrapText="1"/>
    </xf>
    <xf numFmtId="3" fontId="3" fillId="2" borderId="3" xfId="0" applyNumberFormat="1" applyFont="1" applyFill="1" applyBorder="1" applyProtection="1">
      <protection locked="0"/>
    </xf>
    <xf numFmtId="3" fontId="3" fillId="4" borderId="3" xfId="0" applyNumberFormat="1" applyFont="1" applyFill="1" applyBorder="1"/>
    <xf numFmtId="176" fontId="3" fillId="4" borderId="2" xfId="0" applyNumberFormat="1" applyFont="1" applyFill="1" applyBorder="1"/>
    <xf numFmtId="0" fontId="3" fillId="4" borderId="4" xfId="0" applyFont="1" applyFill="1" applyBorder="1"/>
    <xf numFmtId="0" fontId="3" fillId="4" borderId="5" xfId="0" applyFont="1" applyFill="1" applyBorder="1"/>
    <xf numFmtId="0" fontId="3" fillId="4" borderId="6" xfId="0" applyFont="1" applyFill="1" applyBorder="1"/>
    <xf numFmtId="0" fontId="3" fillId="4" borderId="7" xfId="0" applyFont="1" applyFill="1" applyBorder="1"/>
    <xf numFmtId="168" fontId="3" fillId="4" borderId="7" xfId="0" applyNumberFormat="1" applyFont="1" applyFill="1" applyBorder="1"/>
    <xf numFmtId="0" fontId="3" fillId="4" borderId="8" xfId="0" applyFont="1" applyFill="1" applyBorder="1"/>
    <xf numFmtId="3" fontId="3" fillId="4" borderId="8" xfId="0" applyNumberFormat="1" applyFont="1" applyFill="1" applyBorder="1"/>
    <xf numFmtId="0" fontId="3" fillId="5" borderId="2" xfId="0" applyFont="1" applyFill="1" applyBorder="1"/>
    <xf numFmtId="3" fontId="3" fillId="4" borderId="9" xfId="0" applyNumberFormat="1" applyFont="1" applyFill="1" applyBorder="1"/>
    <xf numFmtId="3" fontId="3" fillId="4" borderId="10" xfId="0" applyNumberFormat="1" applyFont="1" applyFill="1" applyBorder="1"/>
    <xf numFmtId="3" fontId="3" fillId="4" borderId="11" xfId="0" applyNumberFormat="1" applyFont="1" applyFill="1" applyBorder="1"/>
    <xf numFmtId="3" fontId="3" fillId="4" borderId="1" xfId="0" applyNumberFormat="1" applyFont="1" applyFill="1" applyBorder="1"/>
    <xf numFmtId="0" fontId="3" fillId="4" borderId="1" xfId="0" applyFont="1" applyFill="1" applyBorder="1"/>
    <xf numFmtId="0" fontId="3" fillId="5" borderId="2" xfId="0" applyFont="1" applyFill="1" applyBorder="1" applyAlignment="1">
      <alignment horizontal="right"/>
    </xf>
    <xf numFmtId="3" fontId="3" fillId="4" borderId="7" xfId="0" applyNumberFormat="1" applyFont="1" applyFill="1" applyBorder="1"/>
    <xf numFmtId="3" fontId="3" fillId="4" borderId="12" xfId="0" applyNumberFormat="1" applyFont="1" applyFill="1" applyBorder="1"/>
    <xf numFmtId="3" fontId="3" fillId="4" borderId="12" xfId="0" quotePrefix="1" applyNumberFormat="1" applyFont="1" applyFill="1" applyBorder="1" applyAlignment="1">
      <alignment horizontal="right"/>
    </xf>
    <xf numFmtId="0" fontId="3" fillId="4" borderId="12" xfId="0" applyFont="1" applyFill="1" applyBorder="1"/>
    <xf numFmtId="0" fontId="3" fillId="0" borderId="3" xfId="0" applyFont="1" applyBorder="1"/>
    <xf numFmtId="3" fontId="3" fillId="4" borderId="3" xfId="0" applyNumberFormat="1" applyFont="1" applyFill="1" applyBorder="1" applyProtection="1">
      <protection locked="0"/>
    </xf>
    <xf numFmtId="0" fontId="3" fillId="4" borderId="2" xfId="0" applyFont="1" applyFill="1" applyBorder="1" applyAlignment="1">
      <alignment horizontal="right"/>
    </xf>
    <xf numFmtId="0" fontId="3" fillId="2" borderId="2" xfId="0" applyFont="1" applyFill="1" applyBorder="1" applyAlignment="1">
      <alignment horizontal="right"/>
    </xf>
    <xf numFmtId="3" fontId="3" fillId="2" borderId="3" xfId="0" applyNumberFormat="1" applyFont="1" applyFill="1" applyBorder="1"/>
    <xf numFmtId="171" fontId="3" fillId="4" borderId="2" xfId="0" applyNumberFormat="1" applyFont="1" applyFill="1" applyBorder="1" applyProtection="1">
      <protection locked="0"/>
    </xf>
    <xf numFmtId="4" fontId="3" fillId="4" borderId="2" xfId="0" applyNumberFormat="1" applyFont="1" applyFill="1" applyBorder="1" applyProtection="1">
      <protection locked="0"/>
    </xf>
    <xf numFmtId="175" fontId="3" fillId="4" borderId="2" xfId="0" applyNumberFormat="1" applyFont="1" applyFill="1" applyBorder="1" applyProtection="1">
      <protection locked="0"/>
    </xf>
    <xf numFmtId="176" fontId="3" fillId="2" borderId="2" xfId="0" applyNumberFormat="1" applyFont="1" applyFill="1" applyBorder="1"/>
    <xf numFmtId="0" fontId="3" fillId="3" borderId="13" xfId="0" applyFont="1" applyFill="1" applyBorder="1" applyAlignment="1">
      <alignment horizontal="center" wrapText="1"/>
    </xf>
    <xf numFmtId="0" fontId="3" fillId="3" borderId="14" xfId="0" applyFont="1" applyFill="1" applyBorder="1"/>
    <xf numFmtId="0" fontId="3" fillId="3" borderId="15" xfId="0" applyFont="1" applyFill="1" applyBorder="1" applyAlignment="1">
      <alignment horizontal="center" wrapText="1"/>
    </xf>
    <xf numFmtId="3" fontId="3" fillId="2" borderId="16" xfId="1" applyNumberFormat="1" applyFont="1" applyFill="1" applyBorder="1" applyAlignment="1">
      <alignment horizontal="center"/>
    </xf>
    <xf numFmtId="0" fontId="3" fillId="6" borderId="17" xfId="0" quotePrefix="1" applyFont="1" applyFill="1" applyBorder="1" applyAlignment="1">
      <alignment horizontal="center"/>
    </xf>
    <xf numFmtId="3" fontId="3" fillId="4" borderId="18" xfId="1" applyNumberFormat="1" applyFont="1" applyFill="1" applyBorder="1" applyAlignment="1">
      <alignment horizontal="center"/>
    </xf>
    <xf numFmtId="170" fontId="3" fillId="4" borderId="16" xfId="0" applyNumberFormat="1" applyFont="1" applyFill="1" applyBorder="1" applyAlignment="1">
      <alignment horizontal="center"/>
    </xf>
    <xf numFmtId="170" fontId="3" fillId="2" borderId="18" xfId="0" applyNumberFormat="1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2" fontId="3" fillId="4" borderId="18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6" borderId="17" xfId="0" quotePrefix="1" applyFont="1" applyFill="1" applyBorder="1" applyAlignment="1">
      <alignment horizontal="center" vertical="center"/>
    </xf>
    <xf numFmtId="168" fontId="3" fillId="4" borderId="18" xfId="0" applyNumberFormat="1" applyFont="1" applyFill="1" applyBorder="1" applyAlignment="1">
      <alignment horizontal="center"/>
    </xf>
    <xf numFmtId="171" fontId="3" fillId="2" borderId="2" xfId="0" applyNumberFormat="1" applyFont="1" applyFill="1" applyBorder="1"/>
    <xf numFmtId="0" fontId="3" fillId="6" borderId="19" xfId="0" applyFont="1" applyFill="1" applyBorder="1"/>
    <xf numFmtId="0" fontId="3" fillId="6" borderId="0" xfId="0" applyFont="1" applyFill="1" applyBorder="1"/>
    <xf numFmtId="0" fontId="3" fillId="6" borderId="20" xfId="0" applyFont="1" applyFill="1" applyBorder="1"/>
    <xf numFmtId="0" fontId="3" fillId="6" borderId="21" xfId="0" applyFont="1" applyFill="1" applyBorder="1"/>
    <xf numFmtId="0" fontId="3" fillId="6" borderId="22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 wrapText="1"/>
    </xf>
    <xf numFmtId="0" fontId="3" fillId="6" borderId="22" xfId="0" applyFont="1" applyFill="1" applyBorder="1" applyAlignment="1">
      <alignment horizontal="center" wrapText="1"/>
    </xf>
    <xf numFmtId="3" fontId="3" fillId="3" borderId="21" xfId="1" applyNumberFormat="1" applyFont="1" applyFill="1" applyBorder="1" applyAlignment="1">
      <alignment horizontal="center" vertical="center"/>
    </xf>
    <xf numFmtId="3" fontId="3" fillId="3" borderId="0" xfId="1" applyNumberFormat="1" applyFont="1" applyFill="1" applyBorder="1" applyAlignment="1">
      <alignment horizontal="center" vertical="center"/>
    </xf>
    <xf numFmtId="171" fontId="3" fillId="3" borderId="0" xfId="1" applyNumberFormat="1" applyFont="1" applyFill="1" applyBorder="1" applyAlignment="1">
      <alignment horizontal="center" vertical="center"/>
    </xf>
    <xf numFmtId="3" fontId="3" fillId="3" borderId="22" xfId="1" applyNumberFormat="1" applyFont="1" applyFill="1" applyBorder="1" applyAlignment="1">
      <alignment horizontal="center" vertical="center"/>
    </xf>
    <xf numFmtId="3" fontId="3" fillId="7" borderId="21" xfId="1" applyNumberFormat="1" applyFont="1" applyFill="1" applyBorder="1" applyAlignment="1">
      <alignment horizontal="center" vertical="center"/>
    </xf>
    <xf numFmtId="175" fontId="3" fillId="7" borderId="0" xfId="1" applyNumberFormat="1" applyFont="1" applyFill="1" applyBorder="1" applyAlignment="1">
      <alignment horizontal="center" vertical="center"/>
    </xf>
    <xf numFmtId="171" fontId="3" fillId="7" borderId="0" xfId="1" applyNumberFormat="1" applyFont="1" applyFill="1" applyBorder="1" applyAlignment="1">
      <alignment horizontal="center" vertical="center"/>
    </xf>
    <xf numFmtId="176" fontId="3" fillId="7" borderId="0" xfId="1" applyNumberFormat="1" applyFont="1" applyFill="1" applyBorder="1" applyAlignment="1">
      <alignment horizontal="center" vertical="center"/>
    </xf>
    <xf numFmtId="3" fontId="3" fillId="7" borderId="22" xfId="1" applyNumberFormat="1" applyFont="1" applyFill="1" applyBorder="1" applyAlignment="1">
      <alignment horizontal="center" vertical="center"/>
    </xf>
    <xf numFmtId="3" fontId="3" fillId="6" borderId="23" xfId="1" applyNumberFormat="1" applyFont="1" applyFill="1" applyBorder="1" applyAlignment="1">
      <alignment horizontal="center" vertical="center"/>
    </xf>
    <xf numFmtId="3" fontId="3" fillId="6" borderId="24" xfId="1" applyNumberFormat="1" applyFont="1" applyFill="1" applyBorder="1" applyAlignment="1">
      <alignment horizontal="center" vertical="center"/>
    </xf>
    <xf numFmtId="171" fontId="3" fillId="6" borderId="24" xfId="1" applyNumberFormat="1" applyFont="1" applyFill="1" applyBorder="1" applyAlignment="1">
      <alignment horizontal="center" vertical="center"/>
    </xf>
    <xf numFmtId="171" fontId="3" fillId="6" borderId="25" xfId="1" applyNumberFormat="1" applyFont="1" applyFill="1" applyBorder="1" applyAlignment="1">
      <alignment horizontal="center" vertical="center"/>
    </xf>
    <xf numFmtId="3" fontId="3" fillId="3" borderId="24" xfId="1" applyNumberFormat="1" applyFont="1" applyFill="1" applyBorder="1" applyAlignment="1">
      <alignment horizontal="center" vertical="center"/>
    </xf>
    <xf numFmtId="171" fontId="3" fillId="3" borderId="24" xfId="1" applyNumberFormat="1" applyFont="1" applyFill="1" applyBorder="1" applyAlignment="1">
      <alignment horizontal="center" vertical="center"/>
    </xf>
    <xf numFmtId="175" fontId="3" fillId="7" borderId="24" xfId="1" applyNumberFormat="1" applyFont="1" applyFill="1" applyBorder="1" applyAlignment="1">
      <alignment horizontal="center" vertical="center"/>
    </xf>
    <xf numFmtId="171" fontId="3" fillId="7" borderId="24" xfId="1" applyNumberFormat="1" applyFont="1" applyFill="1" applyBorder="1" applyAlignment="1">
      <alignment horizontal="center" vertical="center"/>
    </xf>
    <xf numFmtId="3" fontId="3" fillId="3" borderId="23" xfId="1" applyNumberFormat="1" applyFont="1" applyFill="1" applyBorder="1" applyAlignment="1">
      <alignment horizontal="center" vertical="center"/>
    </xf>
    <xf numFmtId="3" fontId="3" fillId="7" borderId="23" xfId="1" applyNumberFormat="1" applyFont="1" applyFill="1" applyBorder="1" applyAlignment="1">
      <alignment horizontal="center" vertical="center"/>
    </xf>
    <xf numFmtId="3" fontId="3" fillId="7" borderId="26" xfId="1" applyNumberFormat="1" applyFont="1" applyFill="1" applyBorder="1" applyAlignment="1">
      <alignment horizontal="center" vertical="center"/>
    </xf>
    <xf numFmtId="175" fontId="3" fillId="7" borderId="27" xfId="1" applyNumberFormat="1" applyFont="1" applyFill="1" applyBorder="1" applyAlignment="1">
      <alignment horizontal="center" vertical="center"/>
    </xf>
    <xf numFmtId="171" fontId="3" fillId="7" borderId="27" xfId="1" applyNumberFormat="1" applyFont="1" applyFill="1" applyBorder="1" applyAlignment="1">
      <alignment horizontal="center" vertical="center"/>
    </xf>
    <xf numFmtId="171" fontId="3" fillId="6" borderId="2" xfId="0" applyNumberFormat="1" applyFont="1" applyFill="1" applyBorder="1" applyProtection="1">
      <protection locked="0"/>
    </xf>
    <xf numFmtId="3" fontId="3" fillId="3" borderId="25" xfId="1" applyNumberFormat="1" applyFont="1" applyFill="1" applyBorder="1" applyAlignment="1">
      <alignment horizontal="center" vertical="center"/>
    </xf>
    <xf numFmtId="3" fontId="3" fillId="7" borderId="24" xfId="1" applyNumberFormat="1" applyFont="1" applyFill="1" applyBorder="1" applyAlignment="1">
      <alignment horizontal="center" vertical="center"/>
    </xf>
    <xf numFmtId="3" fontId="3" fillId="7" borderId="25" xfId="1" applyNumberFormat="1" applyFont="1" applyFill="1" applyBorder="1" applyAlignment="1">
      <alignment horizontal="center" vertical="center"/>
    </xf>
    <xf numFmtId="3" fontId="3" fillId="7" borderId="27" xfId="1" applyNumberFormat="1" applyFont="1" applyFill="1" applyBorder="1" applyAlignment="1">
      <alignment horizontal="center" vertical="center"/>
    </xf>
    <xf numFmtId="3" fontId="3" fillId="7" borderId="28" xfId="1" applyNumberFormat="1" applyFont="1" applyFill="1" applyBorder="1" applyAlignment="1">
      <alignment horizontal="center" vertical="center"/>
    </xf>
    <xf numFmtId="0" fontId="3" fillId="0" borderId="29" xfId="0" applyFont="1" applyBorder="1" applyAlignment="1">
      <alignment horizontal="right" wrapText="1"/>
    </xf>
    <xf numFmtId="0" fontId="4" fillId="0" borderId="3" xfId="0" applyFont="1" applyBorder="1"/>
    <xf numFmtId="0" fontId="4" fillId="6" borderId="30" xfId="0" applyFont="1" applyFill="1" applyBorder="1"/>
    <xf numFmtId="0" fontId="7" fillId="4" borderId="31" xfId="0" applyFont="1" applyFill="1" applyBorder="1"/>
    <xf numFmtId="168" fontId="7" fillId="4" borderId="32" xfId="0" applyNumberFormat="1" applyFont="1" applyFill="1" applyBorder="1"/>
    <xf numFmtId="0" fontId="8" fillId="0" borderId="0" xfId="0" applyFont="1"/>
    <xf numFmtId="2" fontId="3" fillId="2" borderId="16" xfId="0" applyNumberFormat="1" applyFont="1" applyFill="1" applyBorder="1" applyAlignment="1">
      <alignment horizontal="center"/>
    </xf>
    <xf numFmtId="0" fontId="9" fillId="0" borderId="1" xfId="0" applyFont="1" applyBorder="1"/>
    <xf numFmtId="3" fontId="7" fillId="6" borderId="30" xfId="0" applyNumberFormat="1" applyFont="1" applyFill="1" applyBorder="1" applyAlignment="1"/>
    <xf numFmtId="3" fontId="7" fillId="6" borderId="19" xfId="0" applyNumberFormat="1" applyFont="1" applyFill="1" applyBorder="1" applyAlignment="1"/>
    <xf numFmtId="176" fontId="7" fillId="6" borderId="20" xfId="0" applyNumberFormat="1" applyFont="1" applyFill="1" applyBorder="1" applyAlignment="1"/>
    <xf numFmtId="0" fontId="3" fillId="0" borderId="0" xfId="0" applyFont="1" applyAlignment="1">
      <alignment wrapText="1"/>
    </xf>
    <xf numFmtId="0" fontId="3" fillId="6" borderId="21" xfId="0" applyFont="1" applyFill="1" applyBorder="1" applyAlignment="1">
      <alignment horizont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wrapText="1"/>
    </xf>
    <xf numFmtId="168" fontId="3" fillId="3" borderId="0" xfId="0" applyNumberFormat="1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/>
    </xf>
    <xf numFmtId="0" fontId="3" fillId="8" borderId="21" xfId="0" applyFont="1" applyFill="1" applyBorder="1" applyAlignment="1">
      <alignment horizontal="center"/>
    </xf>
    <xf numFmtId="3" fontId="3" fillId="4" borderId="0" xfId="0" applyNumberFormat="1" applyFont="1" applyFill="1" applyBorder="1" applyAlignment="1">
      <alignment horizontal="center"/>
    </xf>
    <xf numFmtId="3" fontId="3" fillId="2" borderId="2" xfId="0" applyNumberFormat="1" applyFont="1" applyFill="1" applyBorder="1" applyAlignment="1">
      <alignment horizontal="center"/>
    </xf>
    <xf numFmtId="168" fontId="3" fillId="4" borderId="0" xfId="0" applyNumberFormat="1" applyFont="1" applyFill="1" applyBorder="1" applyAlignment="1">
      <alignment horizontal="center"/>
    </xf>
    <xf numFmtId="3" fontId="3" fillId="4" borderId="22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/>
    </xf>
    <xf numFmtId="168" fontId="3" fillId="2" borderId="2" xfId="0" applyNumberFormat="1" applyFont="1" applyFill="1" applyBorder="1" applyAlignment="1">
      <alignment horizontal="center"/>
    </xf>
    <xf numFmtId="170" fontId="3" fillId="2" borderId="2" xfId="0" applyNumberFormat="1" applyFont="1" applyFill="1" applyBorder="1" applyAlignment="1">
      <alignment horizontal="center"/>
    </xf>
    <xf numFmtId="4" fontId="3" fillId="4" borderId="0" xfId="0" applyNumberFormat="1" applyFont="1" applyFill="1" applyBorder="1" applyAlignment="1">
      <alignment horizontal="center"/>
    </xf>
    <xf numFmtId="176" fontId="3" fillId="4" borderId="0" xfId="0" applyNumberFormat="1" applyFont="1" applyFill="1" applyBorder="1" applyAlignment="1">
      <alignment horizontal="center"/>
    </xf>
    <xf numFmtId="171" fontId="3" fillId="4" borderId="0" xfId="0" applyNumberFormat="1" applyFont="1" applyFill="1" applyBorder="1" applyAlignment="1">
      <alignment horizontal="center"/>
    </xf>
    <xf numFmtId="170" fontId="3" fillId="4" borderId="0" xfId="0" applyNumberFormat="1" applyFont="1" applyFill="1" applyBorder="1" applyAlignment="1">
      <alignment horizontal="center"/>
    </xf>
    <xf numFmtId="0" fontId="3" fillId="8" borderId="33" xfId="0" applyFont="1" applyFill="1" applyBorder="1" applyAlignment="1">
      <alignment horizontal="center"/>
    </xf>
    <xf numFmtId="3" fontId="3" fillId="4" borderId="34" xfId="0" applyNumberFormat="1" applyFont="1" applyFill="1" applyBorder="1" applyAlignment="1">
      <alignment horizontal="center"/>
    </xf>
    <xf numFmtId="3" fontId="3" fillId="2" borderId="17" xfId="0" applyNumberFormat="1" applyFont="1" applyFill="1" applyBorder="1" applyAlignment="1">
      <alignment horizontal="center"/>
    </xf>
    <xf numFmtId="168" fontId="3" fillId="4" borderId="34" xfId="0" applyNumberFormat="1" applyFont="1" applyFill="1" applyBorder="1" applyAlignment="1">
      <alignment horizontal="center"/>
    </xf>
    <xf numFmtId="3" fontId="3" fillId="4" borderId="35" xfId="0" applyNumberFormat="1" applyFont="1" applyFill="1" applyBorder="1" applyAlignment="1">
      <alignment horizontal="center"/>
    </xf>
    <xf numFmtId="2" fontId="3" fillId="2" borderId="17" xfId="0" applyNumberFormat="1" applyFont="1" applyFill="1" applyBorder="1" applyAlignment="1">
      <alignment horizontal="center"/>
    </xf>
    <xf numFmtId="176" fontId="3" fillId="2" borderId="17" xfId="0" applyNumberFormat="1" applyFont="1" applyFill="1" applyBorder="1" applyAlignment="1">
      <alignment horizontal="center"/>
    </xf>
    <xf numFmtId="170" fontId="3" fillId="2" borderId="17" xfId="0" applyNumberFormat="1" applyFont="1" applyFill="1" applyBorder="1" applyAlignment="1">
      <alignment horizontal="center"/>
    </xf>
    <xf numFmtId="3" fontId="7" fillId="6" borderId="30" xfId="0" applyNumberFormat="1" applyFont="1" applyFill="1" applyBorder="1" applyAlignment="1">
      <alignment horizontal="center"/>
    </xf>
    <xf numFmtId="3" fontId="7" fillId="6" borderId="19" xfId="0" applyNumberFormat="1" applyFont="1" applyFill="1" applyBorder="1" applyAlignment="1">
      <alignment horizontal="center"/>
    </xf>
    <xf numFmtId="3" fontId="7" fillId="6" borderId="2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10876803551609"/>
          <c:y val="3.7520391517128875E-2"/>
          <c:w val="0.86126526082130961"/>
          <c:h val="0.76835236541598695"/>
        </c:manualLayout>
      </c:layout>
      <c:scatterChart>
        <c:scatterStyle val="smoothMarker"/>
        <c:varyColors val="0"/>
        <c:ser>
          <c:idx val="0"/>
          <c:order val="0"/>
          <c:tx>
            <c:v>Capital Cost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Gasifier_EconomicExample!$C$231:$C$251</c:f>
              <c:numCache>
                <c:formatCode>#,##0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12.857142857142856</c:v>
                </c:pt>
                <c:pt idx="12">
                  <c:v>25.714285714285712</c:v>
                </c:pt>
                <c:pt idx="13">
                  <c:v>38.571428571428577</c:v>
                </c:pt>
                <c:pt idx="14">
                  <c:v>51.428571428571423</c:v>
                </c:pt>
                <c:pt idx="15">
                  <c:v>64.285714285714292</c:v>
                </c:pt>
                <c:pt idx="16">
                  <c:v>77.142857142857153</c:v>
                </c:pt>
                <c:pt idx="17">
                  <c:v>90</c:v>
                </c:pt>
                <c:pt idx="18">
                  <c:v>102.85714285714285</c:v>
                </c:pt>
                <c:pt idx="19">
                  <c:v>115.71428571428572</c:v>
                </c:pt>
                <c:pt idx="20">
                  <c:v>128.57142857142858</c:v>
                </c:pt>
              </c:numCache>
            </c:numRef>
          </c:xVal>
          <c:yVal>
            <c:numRef>
              <c:f>Gasifier_EconomicExample!$F$231:$F$251</c:f>
              <c:numCache>
                <c:formatCode>0.0000</c:formatCode>
                <c:ptCount val="21"/>
                <c:pt idx="0">
                  <c:v>3.616314996148394E-2</c:v>
                </c:pt>
                <c:pt idx="1">
                  <c:v>3.8293713655851359E-2</c:v>
                </c:pt>
                <c:pt idx="2">
                  <c:v>4.0424277350218786E-2</c:v>
                </c:pt>
                <c:pt idx="3">
                  <c:v>4.255484104458622E-2</c:v>
                </c:pt>
                <c:pt idx="4">
                  <c:v>4.4685404738953653E-2</c:v>
                </c:pt>
                <c:pt idx="5">
                  <c:v>4.6815968433321066E-2</c:v>
                </c:pt>
                <c:pt idx="6">
                  <c:v>4.8946532127688513E-2</c:v>
                </c:pt>
                <c:pt idx="7">
                  <c:v>5.1077095822055947E-2</c:v>
                </c:pt>
                <c:pt idx="8">
                  <c:v>5.3207659516423339E-2</c:v>
                </c:pt>
                <c:pt idx="9">
                  <c:v>5.5338223210790786E-2</c:v>
                </c:pt>
                <c:pt idx="10">
                  <c:v>5.7468786905158199E-2</c:v>
                </c:pt>
                <c:pt idx="11">
                  <c:v>6.020808308363064E-2</c:v>
                </c:pt>
                <c:pt idx="12">
                  <c:v>6.2947379262103031E-2</c:v>
                </c:pt>
                <c:pt idx="13">
                  <c:v>6.5686675440575437E-2</c:v>
                </c:pt>
                <c:pt idx="14">
                  <c:v>6.8425971619047829E-2</c:v>
                </c:pt>
                <c:pt idx="15">
                  <c:v>7.1165267797520249E-2</c:v>
                </c:pt>
                <c:pt idx="16">
                  <c:v>7.3904563975992654E-2</c:v>
                </c:pt>
                <c:pt idx="17">
                  <c:v>7.6643860154465046E-2</c:v>
                </c:pt>
                <c:pt idx="18">
                  <c:v>7.9383156332937466E-2</c:v>
                </c:pt>
                <c:pt idx="19">
                  <c:v>8.2122452511409857E-2</c:v>
                </c:pt>
                <c:pt idx="20">
                  <c:v>8.4861748689882319E-2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19-4D99-BF85-37BA6F9E2919}"/>
            </c:ext>
          </c:extLst>
        </c:ser>
        <c:ser>
          <c:idx val="1"/>
          <c:order val="1"/>
          <c:tx>
            <c:v>Fuel Cost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Gasifier_EconomicExample!$J$231:$J$251</c:f>
              <c:numCache>
                <c:formatCode>#,##0</c:formatCode>
                <c:ptCount val="21"/>
                <c:pt idx="0">
                  <c:v>-100</c:v>
                </c:pt>
                <c:pt idx="1">
                  <c:v>-90.000000000000014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-10.000000000000007</c:v>
                </c:pt>
                <c:pt idx="10">
                  <c:v>0</c:v>
                </c:pt>
                <c:pt idx="11">
                  <c:v>35.351473922902485</c:v>
                </c:pt>
                <c:pt idx="12">
                  <c:v>70.702947845804985</c:v>
                </c:pt>
                <c:pt idx="13">
                  <c:v>106.0544217687075</c:v>
                </c:pt>
                <c:pt idx="14">
                  <c:v>141.40589569161</c:v>
                </c:pt>
                <c:pt idx="15">
                  <c:v>176.7573696145125</c:v>
                </c:pt>
                <c:pt idx="16">
                  <c:v>212.108843537415</c:v>
                </c:pt>
                <c:pt idx="17">
                  <c:v>247.46031746031741</c:v>
                </c:pt>
                <c:pt idx="18">
                  <c:v>282.81179138321994</c:v>
                </c:pt>
                <c:pt idx="19">
                  <c:v>318.16326530612241</c:v>
                </c:pt>
                <c:pt idx="20">
                  <c:v>353.51473922902494</c:v>
                </c:pt>
              </c:numCache>
            </c:numRef>
          </c:xVal>
          <c:yVal>
            <c:numRef>
              <c:f>Gasifier_EconomicExample!$M$231:$M$251</c:f>
              <c:numCache>
                <c:formatCode>0.0000</c:formatCode>
                <c:ptCount val="21"/>
                <c:pt idx="0">
                  <c:v>3.5110709806030455E-2</c:v>
                </c:pt>
                <c:pt idx="1">
                  <c:v>3.7346517515943214E-2</c:v>
                </c:pt>
                <c:pt idx="2">
                  <c:v>3.9582325225856002E-2</c:v>
                </c:pt>
                <c:pt idx="3">
                  <c:v>4.181813293576879E-2</c:v>
                </c:pt>
                <c:pt idx="4">
                  <c:v>4.405394064568155E-2</c:v>
                </c:pt>
                <c:pt idx="5">
                  <c:v>4.628974835559433E-2</c:v>
                </c:pt>
                <c:pt idx="6">
                  <c:v>4.8525556065507104E-2</c:v>
                </c:pt>
                <c:pt idx="7">
                  <c:v>5.0761363775419892E-2</c:v>
                </c:pt>
                <c:pt idx="8">
                  <c:v>5.2997171485332659E-2</c:v>
                </c:pt>
                <c:pt idx="9">
                  <c:v>5.5232979195245425E-2</c:v>
                </c:pt>
                <c:pt idx="10">
                  <c:v>5.7468786905158199E-2</c:v>
                </c:pt>
                <c:pt idx="11">
                  <c:v>6.5372696700518818E-2</c:v>
                </c:pt>
                <c:pt idx="12">
                  <c:v>7.3276606495879387E-2</c:v>
                </c:pt>
                <c:pt idx="13">
                  <c:v>8.1180516291239985E-2</c:v>
                </c:pt>
                <c:pt idx="14">
                  <c:v>8.9084426086600568E-2</c:v>
                </c:pt>
                <c:pt idx="15">
                  <c:v>9.698833588196118E-2</c:v>
                </c:pt>
                <c:pt idx="16">
                  <c:v>0.10489224567732178</c:v>
                </c:pt>
                <c:pt idx="17">
                  <c:v>0.11279615547268235</c:v>
                </c:pt>
                <c:pt idx="18">
                  <c:v>0.1207000652680429</c:v>
                </c:pt>
                <c:pt idx="19">
                  <c:v>0.12860397506340346</c:v>
                </c:pt>
                <c:pt idx="20">
                  <c:v>0.13650788485876411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19-4D99-BF85-37BA6F9E2919}"/>
            </c:ext>
          </c:extLst>
        </c:ser>
        <c:ser>
          <c:idx val="3"/>
          <c:order val="2"/>
          <c:tx>
            <c:v>Debt Ratio</c:v>
          </c:tx>
          <c:spPr>
            <a:ln w="12700">
              <a:solidFill>
                <a:srgbClr val="808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808000"/>
                </a:solidFill>
                <a:prstDash val="solid"/>
              </a:ln>
            </c:spPr>
          </c:marker>
          <c:xVal>
            <c:numRef>
              <c:f>Gasifier_EconomicExample!$X$231:$X$251</c:f>
              <c:numCache>
                <c:formatCode>#,##0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1.1111111111111112</c:v>
                </c:pt>
                <c:pt idx="12">
                  <c:v>2.2222222222222223</c:v>
                </c:pt>
                <c:pt idx="13">
                  <c:v>3.3333333333333335</c:v>
                </c:pt>
                <c:pt idx="14">
                  <c:v>4.4444444444444446</c:v>
                </c:pt>
                <c:pt idx="15">
                  <c:v>5.5555555555555554</c:v>
                </c:pt>
                <c:pt idx="16">
                  <c:v>6.666666666666667</c:v>
                </c:pt>
                <c:pt idx="17">
                  <c:v>7.7777777777777777</c:v>
                </c:pt>
                <c:pt idx="18">
                  <c:v>8.8888888888888893</c:v>
                </c:pt>
                <c:pt idx="19">
                  <c:v>10</c:v>
                </c:pt>
                <c:pt idx="20">
                  <c:v>11.111111111111111</c:v>
                </c:pt>
              </c:numCache>
            </c:numRef>
          </c:xVal>
          <c:yVal>
            <c:numRef>
              <c:f>Gasifier_EconomicExample!$AA$231:$AA$251</c:f>
              <c:numCache>
                <c:formatCode>0.0000</c:formatCode>
                <c:ptCount val="21"/>
                <c:pt idx="0">
                  <c:v>8.408741882436413E-2</c:v>
                </c:pt>
                <c:pt idx="1">
                  <c:v>8.1425555632443539E-2</c:v>
                </c:pt>
                <c:pt idx="2">
                  <c:v>7.8763692440522934E-2</c:v>
                </c:pt>
                <c:pt idx="3">
                  <c:v>7.6101829248602371E-2</c:v>
                </c:pt>
                <c:pt idx="4">
                  <c:v>7.343996605668178E-2</c:v>
                </c:pt>
                <c:pt idx="5">
                  <c:v>7.0778102864761203E-2</c:v>
                </c:pt>
                <c:pt idx="6">
                  <c:v>6.8116239672840598E-2</c:v>
                </c:pt>
                <c:pt idx="7">
                  <c:v>6.5454376480920007E-2</c:v>
                </c:pt>
                <c:pt idx="8">
                  <c:v>6.2792513288999402E-2</c:v>
                </c:pt>
                <c:pt idx="9">
                  <c:v>6.0130650097078804E-2</c:v>
                </c:pt>
                <c:pt idx="10">
                  <c:v>5.7468786905158199E-2</c:v>
                </c:pt>
                <c:pt idx="11">
                  <c:v>5.7173024328278144E-2</c:v>
                </c:pt>
                <c:pt idx="12">
                  <c:v>5.6877261751398088E-2</c:v>
                </c:pt>
                <c:pt idx="13">
                  <c:v>5.6581499174518025E-2</c:v>
                </c:pt>
                <c:pt idx="14">
                  <c:v>5.6285736597637956E-2</c:v>
                </c:pt>
                <c:pt idx="15">
                  <c:v>5.5989974020757886E-2</c:v>
                </c:pt>
                <c:pt idx="16">
                  <c:v>5.569421144387781E-2</c:v>
                </c:pt>
                <c:pt idx="17">
                  <c:v>5.5398448866997754E-2</c:v>
                </c:pt>
                <c:pt idx="18">
                  <c:v>5.5102686290117692E-2</c:v>
                </c:pt>
                <c:pt idx="19">
                  <c:v>5.4806923713237608E-2</c:v>
                </c:pt>
                <c:pt idx="20">
                  <c:v>5.4511161136357573E-2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19-4D99-BF85-37BA6F9E2919}"/>
            </c:ext>
          </c:extLst>
        </c:ser>
        <c:ser>
          <c:idx val="4"/>
          <c:order val="3"/>
          <c:tx>
            <c:v>Debt Interest Rate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Gasifier_EconomicExample!$AE$231:$AE$251</c:f>
              <c:numCache>
                <c:formatCode>#,##0</c:formatCode>
                <c:ptCount val="21"/>
                <c:pt idx="0">
                  <c:v>-80</c:v>
                </c:pt>
                <c:pt idx="1">
                  <c:v>-72</c:v>
                </c:pt>
                <c:pt idx="2">
                  <c:v>-64</c:v>
                </c:pt>
                <c:pt idx="3">
                  <c:v>-55.999999999999993</c:v>
                </c:pt>
                <c:pt idx="4">
                  <c:v>-48</c:v>
                </c:pt>
                <c:pt idx="5">
                  <c:v>-40</c:v>
                </c:pt>
                <c:pt idx="6">
                  <c:v>-32</c:v>
                </c:pt>
                <c:pt idx="7">
                  <c:v>-24.000000000000004</c:v>
                </c:pt>
                <c:pt idx="8">
                  <c:v>-15.999999999999998</c:v>
                </c:pt>
                <c:pt idx="9">
                  <c:v>-8.0000000000000071</c:v>
                </c:pt>
                <c:pt idx="10">
                  <c:v>0</c:v>
                </c:pt>
                <c:pt idx="11">
                  <c:v>20</c:v>
                </c:pt>
                <c:pt idx="12">
                  <c:v>40</c:v>
                </c:pt>
                <c:pt idx="13">
                  <c:v>60</c:v>
                </c:pt>
                <c:pt idx="14">
                  <c:v>80</c:v>
                </c:pt>
                <c:pt idx="15">
                  <c:v>100</c:v>
                </c:pt>
                <c:pt idx="16">
                  <c:v>120</c:v>
                </c:pt>
                <c:pt idx="17">
                  <c:v>140</c:v>
                </c:pt>
                <c:pt idx="18">
                  <c:v>160</c:v>
                </c:pt>
                <c:pt idx="19">
                  <c:v>180</c:v>
                </c:pt>
                <c:pt idx="20">
                  <c:v>200</c:v>
                </c:pt>
              </c:numCache>
            </c:numRef>
          </c:xVal>
          <c:yVal>
            <c:numRef>
              <c:f>Gasifier_EconomicExample!$AH$231:$AH$251</c:f>
              <c:numCache>
                <c:formatCode>0.0000</c:formatCode>
                <c:ptCount val="21"/>
                <c:pt idx="0">
                  <c:v>5.2924673191010164E-2</c:v>
                </c:pt>
                <c:pt idx="1">
                  <c:v>5.3323247145504064E-2</c:v>
                </c:pt>
                <c:pt idx="2">
                  <c:v>5.373451841809012E-2</c:v>
                </c:pt>
                <c:pt idx="3">
                  <c:v>5.4158403123818588E-2</c:v>
                </c:pt>
                <c:pt idx="4">
                  <c:v>5.4594802586514904E-2</c:v>
                </c:pt>
                <c:pt idx="5">
                  <c:v>5.5043603969476704E-2</c:v>
                </c:pt>
                <c:pt idx="6">
                  <c:v>5.5504680948948865E-2</c:v>
                </c:pt>
                <c:pt idx="7">
                  <c:v>5.5977894424447408E-2</c:v>
                </c:pt>
                <c:pt idx="8">
                  <c:v>5.6463093259959865E-2</c:v>
                </c:pt>
                <c:pt idx="9">
                  <c:v>5.6960115050071966E-2</c:v>
                </c:pt>
                <c:pt idx="10">
                  <c:v>5.7468786905158199E-2</c:v>
                </c:pt>
                <c:pt idx="11">
                  <c:v>5.8790215774409522E-2</c:v>
                </c:pt>
                <c:pt idx="12">
                  <c:v>6.0180213209400563E-2</c:v>
                </c:pt>
                <c:pt idx="13">
                  <c:v>6.1635431840573941E-2</c:v>
                </c:pt>
                <c:pt idx="14">
                  <c:v>6.315233208565281E-2</c:v>
                </c:pt>
                <c:pt idx="15">
                  <c:v>6.4727253826107611E-2</c:v>
                </c:pt>
                <c:pt idx="16">
                  <c:v>6.6356481793406849E-2</c:v>
                </c:pt>
                <c:pt idx="17">
                  <c:v>6.8036303463781853E-2</c:v>
                </c:pt>
                <c:pt idx="18">
                  <c:v>6.976305879355249E-2</c:v>
                </c:pt>
                <c:pt idx="19">
                  <c:v>7.1533181591488443E-2</c:v>
                </c:pt>
                <c:pt idx="20">
                  <c:v>7.3343232704585273E-2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F19-4D99-BF85-37BA6F9E2919}"/>
            </c:ext>
          </c:extLst>
        </c:ser>
        <c:ser>
          <c:idx val="5"/>
          <c:order val="4"/>
          <c:tx>
            <c:v>Cost of Equity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Gasifier_EconomicExample!$AL$231:$AL$251</c:f>
              <c:numCache>
                <c:formatCode>#,##0</c:formatCode>
                <c:ptCount val="21"/>
                <c:pt idx="0">
                  <c:v>-93.333333333333329</c:v>
                </c:pt>
                <c:pt idx="1">
                  <c:v>-84</c:v>
                </c:pt>
                <c:pt idx="2">
                  <c:v>-74.666666666666657</c:v>
                </c:pt>
                <c:pt idx="3">
                  <c:v>-65.333333333333343</c:v>
                </c:pt>
                <c:pt idx="4">
                  <c:v>-56.000000000000007</c:v>
                </c:pt>
                <c:pt idx="5">
                  <c:v>-46.666666666666664</c:v>
                </c:pt>
                <c:pt idx="6">
                  <c:v>-37.333333333333329</c:v>
                </c:pt>
                <c:pt idx="7">
                  <c:v>-27.999999999999996</c:v>
                </c:pt>
                <c:pt idx="8">
                  <c:v>-18.666666666666671</c:v>
                </c:pt>
                <c:pt idx="9">
                  <c:v>-9.3333333333333357</c:v>
                </c:pt>
                <c:pt idx="10">
                  <c:v>0</c:v>
                </c:pt>
                <c:pt idx="11">
                  <c:v>23.333333333333332</c:v>
                </c:pt>
                <c:pt idx="12">
                  <c:v>46.666666666666664</c:v>
                </c:pt>
                <c:pt idx="13">
                  <c:v>70</c:v>
                </c:pt>
                <c:pt idx="14">
                  <c:v>93.333333333333329</c:v>
                </c:pt>
                <c:pt idx="15">
                  <c:v>116.66666666666667</c:v>
                </c:pt>
                <c:pt idx="16">
                  <c:v>140</c:v>
                </c:pt>
                <c:pt idx="17">
                  <c:v>163.33333333333334</c:v>
                </c:pt>
                <c:pt idx="18">
                  <c:v>186.66666666666666</c:v>
                </c:pt>
                <c:pt idx="19">
                  <c:v>210</c:v>
                </c:pt>
                <c:pt idx="20">
                  <c:v>233.33333333333334</c:v>
                </c:pt>
              </c:numCache>
            </c:numRef>
          </c:xVal>
          <c:yVal>
            <c:numRef>
              <c:f>Gasifier_EconomicExample!$AO$231:$AO$251</c:f>
              <c:numCache>
                <c:formatCode>0.0000</c:formatCode>
                <c:ptCount val="21"/>
                <c:pt idx="0">
                  <c:v>5.2346404942881383E-2</c:v>
                </c:pt>
                <c:pt idx="1">
                  <c:v>5.2769851826194515E-2</c:v>
                </c:pt>
                <c:pt idx="2">
                  <c:v>5.3214405595510224E-2</c:v>
                </c:pt>
                <c:pt idx="3">
                  <c:v>5.3680014092173968E-2</c:v>
                </c:pt>
                <c:pt idx="4">
                  <c:v>5.4166312473620574E-2</c:v>
                </c:pt>
                <c:pt idx="5">
                  <c:v>5.4672656816481119E-2</c:v>
                </c:pt>
                <c:pt idx="6">
                  <c:v>5.5198167519636611E-2</c:v>
                </c:pt>
                <c:pt idx="7">
                  <c:v>5.5741778217055046E-2</c:v>
                </c:pt>
                <c:pt idx="8">
                  <c:v>5.6302286153879701E-2</c:v>
                </c:pt>
                <c:pt idx="9">
                  <c:v>5.6878400620948788E-2</c:v>
                </c:pt>
                <c:pt idx="10">
                  <c:v>5.7468786905158199E-2</c:v>
                </c:pt>
                <c:pt idx="11">
                  <c:v>5.8998459341663194E-2</c:v>
                </c:pt>
                <c:pt idx="12">
                  <c:v>6.0589190417322407E-2</c:v>
                </c:pt>
                <c:pt idx="13">
                  <c:v>6.2223807321971483E-2</c:v>
                </c:pt>
                <c:pt idx="14">
                  <c:v>6.3888432175118692E-2</c:v>
                </c:pt>
                <c:pt idx="15">
                  <c:v>6.5572350036422422E-2</c:v>
                </c:pt>
                <c:pt idx="16">
                  <c:v>6.7267531724184843E-2</c:v>
                </c:pt>
                <c:pt idx="17">
                  <c:v>6.8968077011028542E-2</c:v>
                </c:pt>
                <c:pt idx="18">
                  <c:v>7.0669706806223809E-2</c:v>
                </c:pt>
                <c:pt idx="19">
                  <c:v>7.2369348570966455E-2</c:v>
                </c:pt>
                <c:pt idx="20">
                  <c:v>7.4064817235076505E-2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F19-4D99-BF85-37BA6F9E2919}"/>
            </c:ext>
          </c:extLst>
        </c:ser>
        <c:ser>
          <c:idx val="6"/>
          <c:order val="5"/>
          <c:tx>
            <c:v>Net Efficiency</c:v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Gasifier_EconomicExample!$AS$231:$AS$251</c:f>
              <c:numCache>
                <c:formatCode>#,##0</c:formatCode>
                <c:ptCount val="21"/>
                <c:pt idx="0">
                  <c:v>-78.260869565217391</c:v>
                </c:pt>
                <c:pt idx="1">
                  <c:v>-70.434782608695642</c:v>
                </c:pt>
                <c:pt idx="2">
                  <c:v>-62.608695652173921</c:v>
                </c:pt>
                <c:pt idx="3">
                  <c:v>-54.782608695652172</c:v>
                </c:pt>
                <c:pt idx="4">
                  <c:v>-46.956521739130437</c:v>
                </c:pt>
                <c:pt idx="5">
                  <c:v>-39.130434782608695</c:v>
                </c:pt>
                <c:pt idx="6">
                  <c:v>-31.304347826086953</c:v>
                </c:pt>
                <c:pt idx="7">
                  <c:v>-23.478260869565212</c:v>
                </c:pt>
                <c:pt idx="8">
                  <c:v>-15.652173913043486</c:v>
                </c:pt>
                <c:pt idx="9">
                  <c:v>-7.8260869565217428</c:v>
                </c:pt>
                <c:pt idx="10">
                  <c:v>0</c:v>
                </c:pt>
                <c:pt idx="11">
                  <c:v>11.739130434782606</c:v>
                </c:pt>
                <c:pt idx="12">
                  <c:v>23.478260869565212</c:v>
                </c:pt>
                <c:pt idx="13">
                  <c:v>35.217391304347835</c:v>
                </c:pt>
                <c:pt idx="14">
                  <c:v>46.956521739130423</c:v>
                </c:pt>
                <c:pt idx="15">
                  <c:v>58.695652173913047</c:v>
                </c:pt>
                <c:pt idx="16">
                  <c:v>70.43478260869567</c:v>
                </c:pt>
                <c:pt idx="17">
                  <c:v>82.173913043478251</c:v>
                </c:pt>
                <c:pt idx="18">
                  <c:v>93.913043478260875</c:v>
                </c:pt>
                <c:pt idx="19">
                  <c:v>105.65217391304347</c:v>
                </c:pt>
                <c:pt idx="20">
                  <c:v>117.39130434782609</c:v>
                </c:pt>
              </c:numCache>
            </c:numRef>
          </c:xVal>
          <c:yVal>
            <c:numRef>
              <c:f>Gasifier_EconomicExample!$AV$231:$AV$251</c:f>
              <c:numCache>
                <c:formatCode>0.0000</c:formatCode>
                <c:ptCount val="21"/>
                <c:pt idx="0">
                  <c:v>0.14692610376459195</c:v>
                </c:pt>
                <c:pt idx="1">
                  <c:v>0.11666848188566584</c:v>
                </c:pt>
                <c:pt idx="2">
                  <c:v>9.9076841258383216E-2</c:v>
                </c:pt>
                <c:pt idx="3">
                  <c:v>8.7574614694390721E-2</c:v>
                </c:pt>
                <c:pt idx="4">
                  <c:v>7.94664877722321E-2</c:v>
                </c:pt>
                <c:pt idx="5">
                  <c:v>7.3443307772914218E-2</c:v>
                </c:pt>
                <c:pt idx="6">
                  <c:v>6.8792497900023244E-2</c:v>
                </c:pt>
                <c:pt idx="7">
                  <c:v>6.5092990046587237E-2</c:v>
                </c:pt>
                <c:pt idx="8">
                  <c:v>6.2079988805129049E-2</c:v>
                </c:pt>
                <c:pt idx="9">
                  <c:v>5.9578629283918452E-2</c:v>
                </c:pt>
                <c:pt idx="10">
                  <c:v>5.7468786905158199E-2</c:v>
                </c:pt>
                <c:pt idx="11">
                  <c:v>5.4858164817820639E-2</c:v>
                </c:pt>
                <c:pt idx="12">
                  <c:v>5.2743928620328971E-2</c:v>
                </c:pt>
                <c:pt idx="13">
                  <c:v>5.099679452786799E-2</c:v>
                </c:pt>
                <c:pt idx="14">
                  <c:v>4.9528788367338643E-2</c:v>
                </c:pt>
                <c:pt idx="15">
                  <c:v>4.827796667987392E-2</c:v>
                </c:pt>
                <c:pt idx="16">
                  <c:v>4.7199452061600769E-2</c:v>
                </c:pt>
                <c:pt idx="17">
                  <c:v>4.6259934554035861E-2</c:v>
                </c:pt>
                <c:pt idx="18">
                  <c:v>4.5434170287297182E-2</c:v>
                </c:pt>
                <c:pt idx="19">
                  <c:v>4.4702679319509643E-2</c:v>
                </c:pt>
                <c:pt idx="20">
                  <c:v>4.4050189376243137E-2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F19-4D99-BF85-37BA6F9E2919}"/>
            </c:ext>
          </c:extLst>
        </c:ser>
        <c:ser>
          <c:idx val="7"/>
          <c:order val="6"/>
          <c:tx>
            <c:v>Capacity Factor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Gasifier_EconomicExample!$AZ$231:$AZ$251</c:f>
              <c:numCache>
                <c:formatCode>#,##0</c:formatCode>
                <c:ptCount val="21"/>
                <c:pt idx="0">
                  <c:v>-52.941176470588239</c:v>
                </c:pt>
                <c:pt idx="1">
                  <c:v>-47.647058823529406</c:v>
                </c:pt>
                <c:pt idx="2">
                  <c:v>-42.352941176470587</c:v>
                </c:pt>
                <c:pt idx="3">
                  <c:v>-37.058823529411768</c:v>
                </c:pt>
                <c:pt idx="4">
                  <c:v>-31.764705882352938</c:v>
                </c:pt>
                <c:pt idx="5">
                  <c:v>-26.47058823529412</c:v>
                </c:pt>
                <c:pt idx="6">
                  <c:v>-21.176470588235293</c:v>
                </c:pt>
                <c:pt idx="7">
                  <c:v>-15.882352941176469</c:v>
                </c:pt>
                <c:pt idx="8">
                  <c:v>-10.588235294117647</c:v>
                </c:pt>
                <c:pt idx="9">
                  <c:v>-5.2941176470588234</c:v>
                </c:pt>
                <c:pt idx="10">
                  <c:v>0</c:v>
                </c:pt>
                <c:pt idx="11">
                  <c:v>1.7647058823529411</c:v>
                </c:pt>
                <c:pt idx="12">
                  <c:v>3.5294117647058822</c:v>
                </c:pt>
                <c:pt idx="13">
                  <c:v>5.2941176470588234</c:v>
                </c:pt>
                <c:pt idx="14">
                  <c:v>7.0588235294117645</c:v>
                </c:pt>
                <c:pt idx="15">
                  <c:v>8.8235294117647065</c:v>
                </c:pt>
                <c:pt idx="16">
                  <c:v>10.588235294117647</c:v>
                </c:pt>
                <c:pt idx="17">
                  <c:v>12.352941176470589</c:v>
                </c:pt>
                <c:pt idx="18">
                  <c:v>14.117647058823529</c:v>
                </c:pt>
                <c:pt idx="19">
                  <c:v>15.882352941176469</c:v>
                </c:pt>
                <c:pt idx="20">
                  <c:v>17.647058823529413</c:v>
                </c:pt>
              </c:numCache>
            </c:numRef>
          </c:xVal>
          <c:yVal>
            <c:numRef>
              <c:f>Gasifier_EconomicExample!$BC$231:$BC$251</c:f>
              <c:numCache>
                <c:formatCode>0.0000</c:formatCode>
                <c:ptCount val="21"/>
                <c:pt idx="0">
                  <c:v>9.031644329891117E-2</c:v>
                </c:pt>
                <c:pt idx="1">
                  <c:v>8.4042171852913364E-2</c:v>
                </c:pt>
                <c:pt idx="2">
                  <c:v>7.892031761128257E-2</c:v>
                </c:pt>
                <c:pt idx="3">
                  <c:v>7.4660083709365374E-2</c:v>
                </c:pt>
                <c:pt idx="4">
                  <c:v>7.1060920585331838E-2</c:v>
                </c:pt>
                <c:pt idx="5">
                  <c:v>6.7980036951159145E-2</c:v>
                </c:pt>
                <c:pt idx="6">
                  <c:v>6.5313003357397745E-2</c:v>
                </c:pt>
                <c:pt idx="7">
                  <c:v>6.2981680285927932E-2</c:v>
                </c:pt>
                <c:pt idx="8">
                  <c:v>6.0926434946605906E-2</c:v>
                </c:pt>
                <c:pt idx="9">
                  <c:v>5.9100968589319847E-2</c:v>
                </c:pt>
                <c:pt idx="10">
                  <c:v>5.7468786905158199E-2</c:v>
                </c:pt>
                <c:pt idx="11">
                  <c:v>5.6962464648607117E-2</c:v>
                </c:pt>
                <c:pt idx="12">
                  <c:v>5.6473403378074806E-2</c:v>
                </c:pt>
                <c:pt idx="13">
                  <c:v>5.6000735222755865E-2</c:v>
                </c:pt>
                <c:pt idx="14">
                  <c:v>5.5543649534095775E-2</c:v>
                </c:pt>
                <c:pt idx="15">
                  <c:v>5.5101388246148998E-2</c:v>
                </c:pt>
                <c:pt idx="16">
                  <c:v>5.4673241680157962E-2</c:v>
                </c:pt>
                <c:pt idx="17">
                  <c:v>5.4258544744512208E-2</c:v>
                </c:pt>
                <c:pt idx="18">
                  <c:v>5.3856673487288481E-2</c:v>
                </c:pt>
                <c:pt idx="19">
                  <c:v>5.34670419637873E-2</c:v>
                </c:pt>
                <c:pt idx="20">
                  <c:v>5.3089099385991163E-2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F19-4D99-BF85-37BA6F9E2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194840"/>
        <c:axId val="1"/>
      </c:scatterChart>
      <c:valAx>
        <c:axId val="224194840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Relative Change (%)</a:t>
                </a:r>
              </a:p>
            </c:rich>
          </c:tx>
          <c:layout>
            <c:manualLayout>
              <c:xMode val="edge"/>
              <c:yMode val="edge"/>
              <c:x val="0.42619317585301841"/>
              <c:y val="0.8646002637559011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At val="-1000000000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COE ($/kWh, Constant)</a:t>
                </a:r>
              </a:p>
            </c:rich>
          </c:tx>
          <c:layout>
            <c:manualLayout>
              <c:xMode val="edge"/>
              <c:yMode val="edge"/>
              <c:x val="1.2208690580344123E-2"/>
              <c:y val="0.2446982916006202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224194840"/>
        <c:crossesAt val="-100000000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wMode val="edge"/>
          <c:hMode val="edge"/>
          <c:x val="0.15094336541265674"/>
          <c:y val="0.92659063279937803"/>
          <c:w val="0.91453939924176142"/>
          <c:h val="0.9967373309105592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449500554938962E-2"/>
          <c:y val="3.7520391517128875E-2"/>
          <c:w val="0.86792452830188682"/>
          <c:h val="0.76835236541598695"/>
        </c:manualLayout>
      </c:layout>
      <c:scatterChart>
        <c:scatterStyle val="smoothMarker"/>
        <c:varyColors val="0"/>
        <c:ser>
          <c:idx val="0"/>
          <c:order val="0"/>
          <c:tx>
            <c:v>Capital Cost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Gasifier_EconomicExample!$C$231:$C$251</c:f>
              <c:numCache>
                <c:formatCode>#,##0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12.857142857142856</c:v>
                </c:pt>
                <c:pt idx="12">
                  <c:v>25.714285714285712</c:v>
                </c:pt>
                <c:pt idx="13">
                  <c:v>38.571428571428577</c:v>
                </c:pt>
                <c:pt idx="14">
                  <c:v>51.428571428571423</c:v>
                </c:pt>
                <c:pt idx="15">
                  <c:v>64.285714285714292</c:v>
                </c:pt>
                <c:pt idx="16">
                  <c:v>77.142857142857153</c:v>
                </c:pt>
                <c:pt idx="17">
                  <c:v>90</c:v>
                </c:pt>
                <c:pt idx="18">
                  <c:v>102.85714285714285</c:v>
                </c:pt>
                <c:pt idx="19">
                  <c:v>115.71428571428572</c:v>
                </c:pt>
                <c:pt idx="20">
                  <c:v>128.57142857142858</c:v>
                </c:pt>
              </c:numCache>
            </c:numRef>
          </c:xVal>
          <c:yVal>
            <c:numRef>
              <c:f>Gasifier_EconomicExample!$G$231:$G$251</c:f>
              <c:numCache>
                <c:formatCode>#,##0</c:formatCode>
                <c:ptCount val="21"/>
                <c:pt idx="0">
                  <c:v>-37.073406436846049</c:v>
                </c:pt>
                <c:pt idx="1">
                  <c:v>-33.366065793161454</c:v>
                </c:pt>
                <c:pt idx="2">
                  <c:v>-29.658725149476851</c:v>
                </c:pt>
                <c:pt idx="3">
                  <c:v>-25.95138450579223</c:v>
                </c:pt>
                <c:pt idx="4">
                  <c:v>-22.244043862107613</c:v>
                </c:pt>
                <c:pt idx="5">
                  <c:v>-18.536703218423032</c:v>
                </c:pt>
                <c:pt idx="6">
                  <c:v>-14.829362574738388</c:v>
                </c:pt>
                <c:pt idx="7">
                  <c:v>-11.122021931053769</c:v>
                </c:pt>
                <c:pt idx="8">
                  <c:v>-7.4146812873692252</c:v>
                </c:pt>
                <c:pt idx="9">
                  <c:v>-3.7073406436845819</c:v>
                </c:pt>
                <c:pt idx="10">
                  <c:v>0</c:v>
                </c:pt>
                <c:pt idx="11">
                  <c:v>4.766580827594554</c:v>
                </c:pt>
                <c:pt idx="12">
                  <c:v>9.5331616551890228</c:v>
                </c:pt>
                <c:pt idx="13">
                  <c:v>14.299742482783518</c:v>
                </c:pt>
                <c:pt idx="14">
                  <c:v>19.066323310377985</c:v>
                </c:pt>
                <c:pt idx="15">
                  <c:v>23.832904137972506</c:v>
                </c:pt>
                <c:pt idx="16">
                  <c:v>28.599484965566997</c:v>
                </c:pt>
                <c:pt idx="17">
                  <c:v>33.366065793161468</c:v>
                </c:pt>
                <c:pt idx="18">
                  <c:v>38.132646620755985</c:v>
                </c:pt>
                <c:pt idx="19">
                  <c:v>42.899227448350459</c:v>
                </c:pt>
                <c:pt idx="20">
                  <c:v>47.665808275945039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0E-407C-B25E-91CB8895A283}"/>
            </c:ext>
          </c:extLst>
        </c:ser>
        <c:ser>
          <c:idx val="1"/>
          <c:order val="1"/>
          <c:tx>
            <c:v>Fuel Cost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Gasifier_EconomicExample!$J$231:$J$251</c:f>
              <c:numCache>
                <c:formatCode>#,##0</c:formatCode>
                <c:ptCount val="21"/>
                <c:pt idx="0">
                  <c:v>-100</c:v>
                </c:pt>
                <c:pt idx="1">
                  <c:v>-90.000000000000014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-10.000000000000007</c:v>
                </c:pt>
                <c:pt idx="10">
                  <c:v>0</c:v>
                </c:pt>
                <c:pt idx="11">
                  <c:v>35.351473922902485</c:v>
                </c:pt>
                <c:pt idx="12">
                  <c:v>70.702947845804985</c:v>
                </c:pt>
                <c:pt idx="13">
                  <c:v>106.0544217687075</c:v>
                </c:pt>
                <c:pt idx="14">
                  <c:v>141.40589569161</c:v>
                </c:pt>
                <c:pt idx="15">
                  <c:v>176.7573696145125</c:v>
                </c:pt>
                <c:pt idx="16">
                  <c:v>212.108843537415</c:v>
                </c:pt>
                <c:pt idx="17">
                  <c:v>247.46031746031741</c:v>
                </c:pt>
                <c:pt idx="18">
                  <c:v>282.81179138321994</c:v>
                </c:pt>
                <c:pt idx="19">
                  <c:v>318.16326530612241</c:v>
                </c:pt>
                <c:pt idx="20">
                  <c:v>353.51473922902494</c:v>
                </c:pt>
              </c:numCache>
            </c:numRef>
          </c:xVal>
          <c:yVal>
            <c:numRef>
              <c:f>Gasifier_EconomicExample!$N$231:$N$251</c:f>
              <c:numCache>
                <c:formatCode>#,##0</c:formatCode>
                <c:ptCount val="21"/>
                <c:pt idx="0">
                  <c:v>-38.904731251810993</c:v>
                </c:pt>
                <c:pt idx="1">
                  <c:v>-35.014258126629919</c:v>
                </c:pt>
                <c:pt idx="2">
                  <c:v>-31.123785001448795</c:v>
                </c:pt>
                <c:pt idx="3">
                  <c:v>-27.233311876267674</c:v>
                </c:pt>
                <c:pt idx="4">
                  <c:v>-23.3428387510866</c:v>
                </c:pt>
                <c:pt idx="5">
                  <c:v>-19.45236562590549</c:v>
                </c:pt>
                <c:pt idx="6">
                  <c:v>-15.561892500724392</c:v>
                </c:pt>
                <c:pt idx="7">
                  <c:v>-11.67141937554327</c:v>
                </c:pt>
                <c:pt idx="8">
                  <c:v>-7.7809462503621836</c:v>
                </c:pt>
                <c:pt idx="9">
                  <c:v>-3.890473125181098</c:v>
                </c:pt>
                <c:pt idx="10">
                  <c:v>0</c:v>
                </c:pt>
                <c:pt idx="11">
                  <c:v>13.75339592325933</c:v>
                </c:pt>
                <c:pt idx="12">
                  <c:v>27.506791846518571</c:v>
                </c:pt>
                <c:pt idx="13">
                  <c:v>41.260187769777865</c:v>
                </c:pt>
                <c:pt idx="14">
                  <c:v>55.013583693037127</c:v>
                </c:pt>
                <c:pt idx="15">
                  <c:v>68.766979616296439</c:v>
                </c:pt>
                <c:pt idx="16">
                  <c:v>82.520375539555729</c:v>
                </c:pt>
                <c:pt idx="17">
                  <c:v>96.273771462814977</c:v>
                </c:pt>
                <c:pt idx="18">
                  <c:v>110.02716738607418</c:v>
                </c:pt>
                <c:pt idx="19">
                  <c:v>123.78056330933343</c:v>
                </c:pt>
                <c:pt idx="20">
                  <c:v>137.53395923259282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0E-407C-B25E-91CB8895A283}"/>
            </c:ext>
          </c:extLst>
        </c:ser>
        <c:ser>
          <c:idx val="3"/>
          <c:order val="2"/>
          <c:tx>
            <c:v>Debt Ratio</c:v>
          </c:tx>
          <c:spPr>
            <a:ln w="12700">
              <a:solidFill>
                <a:srgbClr val="808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808000"/>
                </a:solidFill>
                <a:prstDash val="solid"/>
              </a:ln>
            </c:spPr>
          </c:marker>
          <c:xVal>
            <c:numRef>
              <c:f>Gasifier_EconomicExample!$X$231:$X$251</c:f>
              <c:numCache>
                <c:formatCode>#,##0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1.1111111111111112</c:v>
                </c:pt>
                <c:pt idx="12">
                  <c:v>2.2222222222222223</c:v>
                </c:pt>
                <c:pt idx="13">
                  <c:v>3.3333333333333335</c:v>
                </c:pt>
                <c:pt idx="14">
                  <c:v>4.4444444444444446</c:v>
                </c:pt>
                <c:pt idx="15">
                  <c:v>5.5555555555555554</c:v>
                </c:pt>
                <c:pt idx="16">
                  <c:v>6.666666666666667</c:v>
                </c:pt>
                <c:pt idx="17">
                  <c:v>7.7777777777777777</c:v>
                </c:pt>
                <c:pt idx="18">
                  <c:v>8.8888888888888893</c:v>
                </c:pt>
                <c:pt idx="19">
                  <c:v>10</c:v>
                </c:pt>
                <c:pt idx="20">
                  <c:v>11.111111111111111</c:v>
                </c:pt>
              </c:numCache>
            </c:numRef>
          </c:xVal>
          <c:yVal>
            <c:numRef>
              <c:f>Gasifier_EconomicExample!$AB$231:$AB$251</c:f>
              <c:numCache>
                <c:formatCode>#,##0</c:formatCode>
                <c:ptCount val="21"/>
                <c:pt idx="0">
                  <c:v>46.318416226768719</c:v>
                </c:pt>
                <c:pt idx="1">
                  <c:v>41.686574604091845</c:v>
                </c:pt>
                <c:pt idx="2">
                  <c:v>37.054732981414958</c:v>
                </c:pt>
                <c:pt idx="3">
                  <c:v>32.422891358738134</c:v>
                </c:pt>
                <c:pt idx="4">
                  <c:v>27.791049736061268</c:v>
                </c:pt>
                <c:pt idx="5">
                  <c:v>23.159208113384423</c:v>
                </c:pt>
                <c:pt idx="6">
                  <c:v>18.527366490707532</c:v>
                </c:pt>
                <c:pt idx="7">
                  <c:v>13.895524868030664</c:v>
                </c:pt>
                <c:pt idx="8">
                  <c:v>9.2636832453537732</c:v>
                </c:pt>
                <c:pt idx="9">
                  <c:v>4.6318416226768928</c:v>
                </c:pt>
                <c:pt idx="10">
                  <c:v>0</c:v>
                </c:pt>
                <c:pt idx="11">
                  <c:v>-0.51464906918630127</c:v>
                </c:pt>
                <c:pt idx="12">
                  <c:v>-1.0292981383726025</c:v>
                </c:pt>
                <c:pt idx="13">
                  <c:v>-1.5439472075589158</c:v>
                </c:pt>
                <c:pt idx="14">
                  <c:v>-2.058596276745241</c:v>
                </c:pt>
                <c:pt idx="15">
                  <c:v>-2.5732453459315665</c:v>
                </c:pt>
                <c:pt idx="16">
                  <c:v>-3.087894415117904</c:v>
                </c:pt>
                <c:pt idx="17">
                  <c:v>-3.6025434843042055</c:v>
                </c:pt>
                <c:pt idx="18">
                  <c:v>-4.1171925534905185</c:v>
                </c:pt>
                <c:pt idx="19">
                  <c:v>-4.6318416226768679</c:v>
                </c:pt>
                <c:pt idx="20">
                  <c:v>-5.146490691863133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0E-407C-B25E-91CB8895A283}"/>
            </c:ext>
          </c:extLst>
        </c:ser>
        <c:ser>
          <c:idx val="4"/>
          <c:order val="3"/>
          <c:tx>
            <c:v>Debt Interest Rate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Gasifier_EconomicExample!$AE$231:$AE$251</c:f>
              <c:numCache>
                <c:formatCode>#,##0</c:formatCode>
                <c:ptCount val="21"/>
                <c:pt idx="0">
                  <c:v>-80</c:v>
                </c:pt>
                <c:pt idx="1">
                  <c:v>-72</c:v>
                </c:pt>
                <c:pt idx="2">
                  <c:v>-64</c:v>
                </c:pt>
                <c:pt idx="3">
                  <c:v>-55.999999999999993</c:v>
                </c:pt>
                <c:pt idx="4">
                  <c:v>-48</c:v>
                </c:pt>
                <c:pt idx="5">
                  <c:v>-40</c:v>
                </c:pt>
                <c:pt idx="6">
                  <c:v>-32</c:v>
                </c:pt>
                <c:pt idx="7">
                  <c:v>-24.000000000000004</c:v>
                </c:pt>
                <c:pt idx="8">
                  <c:v>-15.999999999999998</c:v>
                </c:pt>
                <c:pt idx="9">
                  <c:v>-8.0000000000000071</c:v>
                </c:pt>
                <c:pt idx="10">
                  <c:v>0</c:v>
                </c:pt>
                <c:pt idx="11">
                  <c:v>20</c:v>
                </c:pt>
                <c:pt idx="12">
                  <c:v>40</c:v>
                </c:pt>
                <c:pt idx="13">
                  <c:v>60</c:v>
                </c:pt>
                <c:pt idx="14">
                  <c:v>80</c:v>
                </c:pt>
                <c:pt idx="15">
                  <c:v>100</c:v>
                </c:pt>
                <c:pt idx="16">
                  <c:v>120</c:v>
                </c:pt>
                <c:pt idx="17">
                  <c:v>140</c:v>
                </c:pt>
                <c:pt idx="18">
                  <c:v>160</c:v>
                </c:pt>
                <c:pt idx="19">
                  <c:v>180</c:v>
                </c:pt>
                <c:pt idx="20">
                  <c:v>200</c:v>
                </c:pt>
              </c:numCache>
            </c:numRef>
          </c:xVal>
          <c:yVal>
            <c:numRef>
              <c:f>Gasifier_EconomicExample!$AI$231:$AI$251</c:f>
              <c:numCache>
                <c:formatCode>#,##0</c:formatCode>
                <c:ptCount val="21"/>
                <c:pt idx="0">
                  <c:v>-7.9070987206451209</c:v>
                </c:pt>
                <c:pt idx="1">
                  <c:v>-7.2135501424374855</c:v>
                </c:pt>
                <c:pt idx="2">
                  <c:v>-6.4979072783123328</c:v>
                </c:pt>
                <c:pt idx="3">
                  <c:v>-5.7603160943744971</c:v>
                </c:pt>
                <c:pt idx="4">
                  <c:v>-5.0009482945695103</c:v>
                </c:pt>
                <c:pt idx="5">
                  <c:v>-4.2200002232234679</c:v>
                </c:pt>
                <c:pt idx="6">
                  <c:v>-3.417691693145942</c:v>
                </c:pt>
                <c:pt idx="7">
                  <c:v>-2.5942647496131048</c:v>
                </c:pt>
                <c:pt idx="8">
                  <c:v>-1.7499823806235011</c:v>
                </c:pt>
                <c:pt idx="9">
                  <c:v>-0.885127183780134</c:v>
                </c:pt>
                <c:pt idx="10">
                  <c:v>0</c:v>
                </c:pt>
                <c:pt idx="11">
                  <c:v>2.2993853540568061</c:v>
                </c:pt>
                <c:pt idx="12">
                  <c:v>4.7180851558900665</c:v>
                </c:pt>
                <c:pt idx="13">
                  <c:v>7.2502747313807641</c:v>
                </c:pt>
                <c:pt idx="14">
                  <c:v>9.8897949418599538</c:v>
                </c:pt>
                <c:pt idx="15">
                  <c:v>12.630276906537446</c:v>
                </c:pt>
                <c:pt idx="16">
                  <c:v>15.465255779482828</c:v>
                </c:pt>
                <c:pt idx="17">
                  <c:v>18.388271490858894</c:v>
                </c:pt>
                <c:pt idx="18">
                  <c:v>21.392955290119062</c:v>
                </c:pt>
                <c:pt idx="19">
                  <c:v>24.473101737019391</c:v>
                </c:pt>
                <c:pt idx="20">
                  <c:v>27.622726447358225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D0E-407C-B25E-91CB8895A283}"/>
            </c:ext>
          </c:extLst>
        </c:ser>
        <c:ser>
          <c:idx val="5"/>
          <c:order val="4"/>
          <c:tx>
            <c:v>Cost of Equity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Gasifier_EconomicExample!$AL$231:$AL$251</c:f>
              <c:numCache>
                <c:formatCode>#,##0</c:formatCode>
                <c:ptCount val="21"/>
                <c:pt idx="0">
                  <c:v>-93.333333333333329</c:v>
                </c:pt>
                <c:pt idx="1">
                  <c:v>-84</c:v>
                </c:pt>
                <c:pt idx="2">
                  <c:v>-74.666666666666657</c:v>
                </c:pt>
                <c:pt idx="3">
                  <c:v>-65.333333333333343</c:v>
                </c:pt>
                <c:pt idx="4">
                  <c:v>-56.000000000000007</c:v>
                </c:pt>
                <c:pt idx="5">
                  <c:v>-46.666666666666664</c:v>
                </c:pt>
                <c:pt idx="6">
                  <c:v>-37.333333333333329</c:v>
                </c:pt>
                <c:pt idx="7">
                  <c:v>-27.999999999999996</c:v>
                </c:pt>
                <c:pt idx="8">
                  <c:v>-18.666666666666671</c:v>
                </c:pt>
                <c:pt idx="9">
                  <c:v>-9.3333333333333357</c:v>
                </c:pt>
                <c:pt idx="10">
                  <c:v>0</c:v>
                </c:pt>
                <c:pt idx="11">
                  <c:v>23.333333333333332</c:v>
                </c:pt>
                <c:pt idx="12">
                  <c:v>46.666666666666664</c:v>
                </c:pt>
                <c:pt idx="13">
                  <c:v>70</c:v>
                </c:pt>
                <c:pt idx="14">
                  <c:v>93.333333333333329</c:v>
                </c:pt>
                <c:pt idx="15">
                  <c:v>116.66666666666667</c:v>
                </c:pt>
                <c:pt idx="16">
                  <c:v>140</c:v>
                </c:pt>
                <c:pt idx="17">
                  <c:v>163.33333333333334</c:v>
                </c:pt>
                <c:pt idx="18">
                  <c:v>186.66666666666666</c:v>
                </c:pt>
                <c:pt idx="19">
                  <c:v>210</c:v>
                </c:pt>
                <c:pt idx="20">
                  <c:v>233.33333333333334</c:v>
                </c:pt>
              </c:numCache>
            </c:numRef>
          </c:xVal>
          <c:yVal>
            <c:numRef>
              <c:f>Gasifier_EconomicExample!$AP$231:$AP$251</c:f>
              <c:numCache>
                <c:formatCode>#,##0</c:formatCode>
                <c:ptCount val="21"/>
                <c:pt idx="0">
                  <c:v>-8.9133288488068807</c:v>
                </c:pt>
                <c:pt idx="1">
                  <c:v>-8.1764995087131798</c:v>
                </c:pt>
                <c:pt idx="2">
                  <c:v>-7.4029426037286283</c:v>
                </c:pt>
                <c:pt idx="3">
                  <c:v>-6.5927488938245959</c:v>
                </c:pt>
                <c:pt idx="4">
                  <c:v>-5.7465532324316486</c:v>
                </c:pt>
                <c:pt idx="5">
                  <c:v>-4.8654760945129842</c:v>
                </c:pt>
                <c:pt idx="6">
                  <c:v>-3.9510480519953095</c:v>
                </c:pt>
                <c:pt idx="7">
                  <c:v>-3.00512466176338</c:v>
                </c:pt>
                <c:pt idx="8">
                  <c:v>-2.0297988074876128</c:v>
                </c:pt>
                <c:pt idx="9">
                  <c:v>-1.0273164199267624</c:v>
                </c:pt>
                <c:pt idx="10">
                  <c:v>0</c:v>
                </c:pt>
                <c:pt idx="11">
                  <c:v>2.6617447816141331</c:v>
                </c:pt>
                <c:pt idx="12">
                  <c:v>5.429736175419654</c:v>
                </c:pt>
                <c:pt idx="13">
                  <c:v>8.2740922035827591</c:v>
                </c:pt>
                <c:pt idx="14">
                  <c:v>11.170664313055628</c:v>
                </c:pt>
                <c:pt idx="15">
                  <c:v>14.100807703906614</c:v>
                </c:pt>
                <c:pt idx="16">
                  <c:v>17.0505509977054</c:v>
                </c:pt>
                <c:pt idx="17">
                  <c:v>20.00962735623397</c:v>
                </c:pt>
                <c:pt idx="18">
                  <c:v>22.970590840644213</c:v>
                </c:pt>
                <c:pt idx="19">
                  <c:v>25.928095002942953</c:v>
                </c:pt>
                <c:pt idx="20">
                  <c:v>28.878337657112969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D0E-407C-B25E-91CB8895A283}"/>
            </c:ext>
          </c:extLst>
        </c:ser>
        <c:ser>
          <c:idx val="6"/>
          <c:order val="5"/>
          <c:tx>
            <c:v>Net Efficiency</c:v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Gasifier_EconomicExample!$AS$231:$AS$251</c:f>
              <c:numCache>
                <c:formatCode>#,##0</c:formatCode>
                <c:ptCount val="21"/>
                <c:pt idx="0">
                  <c:v>-78.260869565217391</c:v>
                </c:pt>
                <c:pt idx="1">
                  <c:v>-70.434782608695642</c:v>
                </c:pt>
                <c:pt idx="2">
                  <c:v>-62.608695652173921</c:v>
                </c:pt>
                <c:pt idx="3">
                  <c:v>-54.782608695652172</c:v>
                </c:pt>
                <c:pt idx="4">
                  <c:v>-46.956521739130437</c:v>
                </c:pt>
                <c:pt idx="5">
                  <c:v>-39.130434782608695</c:v>
                </c:pt>
                <c:pt idx="6">
                  <c:v>-31.304347826086953</c:v>
                </c:pt>
                <c:pt idx="7">
                  <c:v>-23.478260869565212</c:v>
                </c:pt>
                <c:pt idx="8">
                  <c:v>-15.652173913043486</c:v>
                </c:pt>
                <c:pt idx="9">
                  <c:v>-7.8260869565217428</c:v>
                </c:pt>
                <c:pt idx="10">
                  <c:v>0</c:v>
                </c:pt>
                <c:pt idx="11">
                  <c:v>11.739130434782606</c:v>
                </c:pt>
                <c:pt idx="12">
                  <c:v>23.478260869565212</c:v>
                </c:pt>
                <c:pt idx="13">
                  <c:v>35.217391304347835</c:v>
                </c:pt>
                <c:pt idx="14">
                  <c:v>46.956521739130423</c:v>
                </c:pt>
                <c:pt idx="15">
                  <c:v>58.695652173913047</c:v>
                </c:pt>
                <c:pt idx="16">
                  <c:v>70.43478260869567</c:v>
                </c:pt>
                <c:pt idx="17">
                  <c:v>82.173913043478251</c:v>
                </c:pt>
                <c:pt idx="18">
                  <c:v>93.913043478260875</c:v>
                </c:pt>
                <c:pt idx="19">
                  <c:v>105.65217391304347</c:v>
                </c:pt>
                <c:pt idx="20">
                  <c:v>117.39130434782609</c:v>
                </c:pt>
              </c:numCache>
            </c:numRef>
          </c:xVal>
          <c:yVal>
            <c:numRef>
              <c:f>Gasifier_EconomicExample!$AW$231:$AW$251</c:f>
              <c:numCache>
                <c:formatCode>#,##0</c:formatCode>
                <c:ptCount val="21"/>
                <c:pt idx="0">
                  <c:v>155.66244160863673</c:v>
                </c:pt>
                <c:pt idx="1">
                  <c:v>103.01190988806843</c:v>
                </c:pt>
                <c:pt idx="2">
                  <c:v>72.401135631924092</c:v>
                </c:pt>
                <c:pt idx="3">
                  <c:v>52.386398618291217</c:v>
                </c:pt>
                <c:pt idx="4">
                  <c:v>38.277649575894323</c:v>
                </c:pt>
                <c:pt idx="5">
                  <c:v>27.796864572970829</c:v>
                </c:pt>
                <c:pt idx="6">
                  <c:v>19.704106532738848</c:v>
                </c:pt>
                <c:pt idx="7">
                  <c:v>13.266685364372494</c:v>
                </c:pt>
                <c:pt idx="8">
                  <c:v>8.023837196321546</c:v>
                </c:pt>
                <c:pt idx="9">
                  <c:v>3.6712840002037366</c:v>
                </c:pt>
                <c:pt idx="10">
                  <c:v>0</c:v>
                </c:pt>
                <c:pt idx="11">
                  <c:v>-4.5426782570613824</c:v>
                </c:pt>
                <c:pt idx="12">
                  <c:v>-8.2216078314420482</c:v>
                </c:pt>
                <c:pt idx="13">
                  <c:v>-11.261752206412599</c:v>
                </c:pt>
                <c:pt idx="14">
                  <c:v>-13.816193042186677</c:v>
                </c:pt>
                <c:pt idx="15">
                  <c:v>-15.992716603627045</c:v>
                </c:pt>
                <c:pt idx="16">
                  <c:v>-17.869412939766942</c:v>
                </c:pt>
                <c:pt idx="17">
                  <c:v>-19.504243876977103</c:v>
                </c:pt>
                <c:pt idx="18">
                  <c:v>-20.941135642417454</c:v>
                </c:pt>
                <c:pt idx="19">
                  <c:v>-22.213984796158474</c:v>
                </c:pt>
                <c:pt idx="20">
                  <c:v>-23.349366241295506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D0E-407C-B25E-91CB8895A283}"/>
            </c:ext>
          </c:extLst>
        </c:ser>
        <c:ser>
          <c:idx val="7"/>
          <c:order val="6"/>
          <c:tx>
            <c:v>Capacity Factor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Gasifier_EconomicExample!$AZ$231:$AZ$251</c:f>
              <c:numCache>
                <c:formatCode>#,##0</c:formatCode>
                <c:ptCount val="21"/>
                <c:pt idx="0">
                  <c:v>-52.941176470588239</c:v>
                </c:pt>
                <c:pt idx="1">
                  <c:v>-47.647058823529406</c:v>
                </c:pt>
                <c:pt idx="2">
                  <c:v>-42.352941176470587</c:v>
                </c:pt>
                <c:pt idx="3">
                  <c:v>-37.058823529411768</c:v>
                </c:pt>
                <c:pt idx="4">
                  <c:v>-31.764705882352938</c:v>
                </c:pt>
                <c:pt idx="5">
                  <c:v>-26.47058823529412</c:v>
                </c:pt>
                <c:pt idx="6">
                  <c:v>-21.176470588235293</c:v>
                </c:pt>
                <c:pt idx="7">
                  <c:v>-15.882352941176469</c:v>
                </c:pt>
                <c:pt idx="8">
                  <c:v>-10.588235294117647</c:v>
                </c:pt>
                <c:pt idx="9">
                  <c:v>-5.2941176470588234</c:v>
                </c:pt>
                <c:pt idx="10">
                  <c:v>0</c:v>
                </c:pt>
                <c:pt idx="11">
                  <c:v>1.7647058823529411</c:v>
                </c:pt>
                <c:pt idx="12">
                  <c:v>3.5294117647058822</c:v>
                </c:pt>
                <c:pt idx="13">
                  <c:v>5.2941176470588234</c:v>
                </c:pt>
                <c:pt idx="14">
                  <c:v>7.0588235294117645</c:v>
                </c:pt>
                <c:pt idx="15">
                  <c:v>8.8235294117647065</c:v>
                </c:pt>
                <c:pt idx="16">
                  <c:v>10.588235294117647</c:v>
                </c:pt>
                <c:pt idx="17">
                  <c:v>12.352941176470589</c:v>
                </c:pt>
                <c:pt idx="18">
                  <c:v>14.117647058823529</c:v>
                </c:pt>
                <c:pt idx="19">
                  <c:v>15.882352941176469</c:v>
                </c:pt>
                <c:pt idx="20">
                  <c:v>17.647058823529413</c:v>
                </c:pt>
              </c:numCache>
            </c:numRef>
          </c:xVal>
          <c:yVal>
            <c:numRef>
              <c:f>Gasifier_EconomicExample!$BD$231:$BD$251</c:f>
              <c:numCache>
                <c:formatCode>#,##0</c:formatCode>
                <c:ptCount val="21"/>
                <c:pt idx="0">
                  <c:v>57.15738605716885</c:v>
                </c:pt>
                <c:pt idx="1">
                  <c:v>46.23968310242865</c:v>
                </c:pt>
                <c:pt idx="2">
                  <c:v>37.327272527130646</c:v>
                </c:pt>
                <c:pt idx="3">
                  <c:v>29.9141459738454</c:v>
                </c:pt>
                <c:pt idx="4">
                  <c:v>23.651332161587106</c:v>
                </c:pt>
                <c:pt idx="5">
                  <c:v>18.290363538294024</c:v>
                </c:pt>
                <c:pt idx="6">
                  <c:v>13.649525028577688</c:v>
                </c:pt>
                <c:pt idx="7">
                  <c:v>9.5928480095947783</c:v>
                </c:pt>
                <c:pt idx="8">
                  <c:v>6.0165669533862394</c:v>
                </c:pt>
                <c:pt idx="9">
                  <c:v>2.8401185618469151</c:v>
                </c:pt>
                <c:pt idx="10">
                  <c:v>0</c:v>
                </c:pt>
                <c:pt idx="11">
                  <c:v>-0.88103870608348744</c:v>
                </c:pt>
                <c:pt idx="12">
                  <c:v>-1.7320420017323372</c:v>
                </c:pt>
                <c:pt idx="13">
                  <c:v>-2.5545200472477116</c:v>
                </c:pt>
                <c:pt idx="14">
                  <c:v>-3.3498834319219477</c:v>
                </c:pt>
                <c:pt idx="15">
                  <c:v>-4.1194512473634823</c:v>
                </c:pt>
                <c:pt idx="16">
                  <c:v>-4.8644583878441301</c:v>
                </c:pt>
                <c:pt idx="17">
                  <c:v>-5.5860621626552049</c:v>
                </c:pt>
                <c:pt idx="18">
                  <c:v>-6.2853482949463606</c:v>
                </c:pt>
                <c:pt idx="19">
                  <c:v>-6.963336372446931</c:v>
                </c:pt>
                <c:pt idx="20">
                  <c:v>-7.6209848076224667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D0E-407C-B25E-91CB8895A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194512"/>
        <c:axId val="1"/>
      </c:scatterChart>
      <c:valAx>
        <c:axId val="224194512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Relative Change (%)</a:t>
                </a:r>
              </a:p>
            </c:rich>
          </c:tx>
          <c:layout>
            <c:manualLayout>
              <c:xMode val="edge"/>
              <c:yMode val="edge"/>
              <c:x val="0.42286345873432485"/>
              <c:y val="0.8646002637559011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At val="-1000000000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Relative Change in COE (%)</a:t>
                </a:r>
              </a:p>
            </c:rich>
          </c:tx>
          <c:layout>
            <c:manualLayout>
              <c:xMode val="edge"/>
              <c:yMode val="edge"/>
              <c:x val="1.2208690580344123E-2"/>
              <c:y val="0.2137031070788819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224194512"/>
        <c:crossesAt val="-100000000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wMode val="edge"/>
          <c:hMode val="edge"/>
          <c:x val="0.14761376494604841"/>
          <c:y val="0.92659063279937803"/>
          <c:w val="0.91120979877515307"/>
          <c:h val="0.9967373309105592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indexed="12"/>
  </sheetPr>
  <sheetViews>
    <sheetView zoomScale="130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indexed="13"/>
  </sheetPr>
  <sheetViews>
    <sheetView zoomScale="130" workbookViewId="0"/>
  </sheetViews>
  <pageMargins left="0.75" right="0.75" top="1" bottom="1" header="0.5" footer="0.5"/>
  <headerFooter alignWithMargins="0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10</xdr:row>
      <xdr:rowOff>114300</xdr:rowOff>
    </xdr:from>
    <xdr:to>
      <xdr:col>3</xdr:col>
      <xdr:colOff>552450</xdr:colOff>
      <xdr:row>10</xdr:row>
      <xdr:rowOff>238125</xdr:rowOff>
    </xdr:to>
    <xdr:sp macro="" textlink="">
      <xdr:nvSpPr>
        <xdr:cNvPr id="1689" name="AutoShape 1">
          <a:extLst>
            <a:ext uri="{FF2B5EF4-FFF2-40B4-BE49-F238E27FC236}">
              <a16:creationId xmlns:a16="http://schemas.microsoft.com/office/drawing/2014/main" id="{E49138D8-6749-45BC-AC1E-CE8B7351D939}"/>
            </a:ext>
          </a:extLst>
        </xdr:cNvPr>
        <xdr:cNvSpPr>
          <a:spLocks noChangeArrowheads="1"/>
        </xdr:cNvSpPr>
      </xdr:nvSpPr>
      <xdr:spPr bwMode="auto">
        <a:xfrm>
          <a:off x="5238750" y="2324100"/>
          <a:ext cx="361950" cy="123825"/>
        </a:xfrm>
        <a:prstGeom prst="rightArrow">
          <a:avLst>
            <a:gd name="adj1" fmla="val 50000"/>
            <a:gd name="adj2" fmla="val 7307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190500</xdr:colOff>
      <xdr:row>12</xdr:row>
      <xdr:rowOff>114300</xdr:rowOff>
    </xdr:from>
    <xdr:to>
      <xdr:col>3</xdr:col>
      <xdr:colOff>552450</xdr:colOff>
      <xdr:row>12</xdr:row>
      <xdr:rowOff>238125</xdr:rowOff>
    </xdr:to>
    <xdr:sp macro="" textlink="">
      <xdr:nvSpPr>
        <xdr:cNvPr id="1690" name="AutoShape 2">
          <a:extLst>
            <a:ext uri="{FF2B5EF4-FFF2-40B4-BE49-F238E27FC236}">
              <a16:creationId xmlns:a16="http://schemas.microsoft.com/office/drawing/2014/main" id="{7FE9381C-2FD2-455F-B3E2-DA8E1FBAA6E7}"/>
            </a:ext>
          </a:extLst>
        </xdr:cNvPr>
        <xdr:cNvSpPr>
          <a:spLocks noChangeArrowheads="1"/>
        </xdr:cNvSpPr>
      </xdr:nvSpPr>
      <xdr:spPr bwMode="auto">
        <a:xfrm>
          <a:off x="5238750" y="2809875"/>
          <a:ext cx="361950" cy="123825"/>
        </a:xfrm>
        <a:prstGeom prst="rightArrow">
          <a:avLst>
            <a:gd name="adj1" fmla="val 50000"/>
            <a:gd name="adj2" fmla="val 7307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190500</xdr:colOff>
      <xdr:row>16</xdr:row>
      <xdr:rowOff>114300</xdr:rowOff>
    </xdr:from>
    <xdr:to>
      <xdr:col>3</xdr:col>
      <xdr:colOff>552450</xdr:colOff>
      <xdr:row>16</xdr:row>
      <xdr:rowOff>238125</xdr:rowOff>
    </xdr:to>
    <xdr:sp macro="" textlink="">
      <xdr:nvSpPr>
        <xdr:cNvPr id="1691" name="AutoShape 3">
          <a:extLst>
            <a:ext uri="{FF2B5EF4-FFF2-40B4-BE49-F238E27FC236}">
              <a16:creationId xmlns:a16="http://schemas.microsoft.com/office/drawing/2014/main" id="{E0669B2F-8795-44E2-972A-3467D81E4D3D}"/>
            </a:ext>
          </a:extLst>
        </xdr:cNvPr>
        <xdr:cNvSpPr>
          <a:spLocks noChangeArrowheads="1"/>
        </xdr:cNvSpPr>
      </xdr:nvSpPr>
      <xdr:spPr bwMode="auto">
        <a:xfrm>
          <a:off x="5238750" y="3762375"/>
          <a:ext cx="361950" cy="123825"/>
        </a:xfrm>
        <a:prstGeom prst="rightArrow">
          <a:avLst>
            <a:gd name="adj1" fmla="val 50000"/>
            <a:gd name="adj2" fmla="val 7307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190500</xdr:colOff>
      <xdr:row>18</xdr:row>
      <xdr:rowOff>114300</xdr:rowOff>
    </xdr:from>
    <xdr:to>
      <xdr:col>3</xdr:col>
      <xdr:colOff>552450</xdr:colOff>
      <xdr:row>18</xdr:row>
      <xdr:rowOff>238125</xdr:rowOff>
    </xdr:to>
    <xdr:sp macro="" textlink="">
      <xdr:nvSpPr>
        <xdr:cNvPr id="1692" name="AutoShape 4">
          <a:extLst>
            <a:ext uri="{FF2B5EF4-FFF2-40B4-BE49-F238E27FC236}">
              <a16:creationId xmlns:a16="http://schemas.microsoft.com/office/drawing/2014/main" id="{C6611A7D-FF5D-4D7F-A524-05A3B9F4910B}"/>
            </a:ext>
          </a:extLst>
        </xdr:cNvPr>
        <xdr:cNvSpPr>
          <a:spLocks noChangeArrowheads="1"/>
        </xdr:cNvSpPr>
      </xdr:nvSpPr>
      <xdr:spPr bwMode="auto">
        <a:xfrm>
          <a:off x="5238750" y="4229100"/>
          <a:ext cx="361950" cy="123825"/>
        </a:xfrm>
        <a:prstGeom prst="rightArrow">
          <a:avLst>
            <a:gd name="adj1" fmla="val 50000"/>
            <a:gd name="adj2" fmla="val 7307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190500</xdr:colOff>
      <xdr:row>22</xdr:row>
      <xdr:rowOff>114300</xdr:rowOff>
    </xdr:from>
    <xdr:to>
      <xdr:col>3</xdr:col>
      <xdr:colOff>552450</xdr:colOff>
      <xdr:row>22</xdr:row>
      <xdr:rowOff>238125</xdr:rowOff>
    </xdr:to>
    <xdr:sp macro="" textlink="">
      <xdr:nvSpPr>
        <xdr:cNvPr id="1693" name="AutoShape 5">
          <a:extLst>
            <a:ext uri="{FF2B5EF4-FFF2-40B4-BE49-F238E27FC236}">
              <a16:creationId xmlns:a16="http://schemas.microsoft.com/office/drawing/2014/main" id="{064C0103-CE33-439F-BDD2-7989C3825B8D}"/>
            </a:ext>
          </a:extLst>
        </xdr:cNvPr>
        <xdr:cNvSpPr>
          <a:spLocks noChangeArrowheads="1"/>
        </xdr:cNvSpPr>
      </xdr:nvSpPr>
      <xdr:spPr bwMode="auto">
        <a:xfrm>
          <a:off x="5238750" y="5210175"/>
          <a:ext cx="361950" cy="123825"/>
        </a:xfrm>
        <a:prstGeom prst="rightArrow">
          <a:avLst>
            <a:gd name="adj1" fmla="val 50000"/>
            <a:gd name="adj2" fmla="val 7307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190500</xdr:colOff>
      <xdr:row>14</xdr:row>
      <xdr:rowOff>114300</xdr:rowOff>
    </xdr:from>
    <xdr:to>
      <xdr:col>3</xdr:col>
      <xdr:colOff>552450</xdr:colOff>
      <xdr:row>14</xdr:row>
      <xdr:rowOff>238125</xdr:rowOff>
    </xdr:to>
    <xdr:sp macro="" textlink="">
      <xdr:nvSpPr>
        <xdr:cNvPr id="1694" name="AutoShape 6">
          <a:extLst>
            <a:ext uri="{FF2B5EF4-FFF2-40B4-BE49-F238E27FC236}">
              <a16:creationId xmlns:a16="http://schemas.microsoft.com/office/drawing/2014/main" id="{C3E11C02-BA6A-43BA-AE76-6CB9D369742B}"/>
            </a:ext>
          </a:extLst>
        </xdr:cNvPr>
        <xdr:cNvSpPr>
          <a:spLocks noChangeArrowheads="1"/>
        </xdr:cNvSpPr>
      </xdr:nvSpPr>
      <xdr:spPr bwMode="auto">
        <a:xfrm>
          <a:off x="5238750" y="3276600"/>
          <a:ext cx="361950" cy="123825"/>
        </a:xfrm>
        <a:prstGeom prst="leftArrow">
          <a:avLst>
            <a:gd name="adj1" fmla="val 50000"/>
            <a:gd name="adj2" fmla="val 7307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752475</xdr:colOff>
      <xdr:row>9</xdr:row>
      <xdr:rowOff>0</xdr:rowOff>
    </xdr:from>
    <xdr:to>
      <xdr:col>0</xdr:col>
      <xdr:colOff>2571750</xdr:colOff>
      <xdr:row>22</xdr:row>
      <xdr:rowOff>19050</xdr:rowOff>
    </xdr:to>
    <xdr:sp macro="" textlink="">
      <xdr:nvSpPr>
        <xdr:cNvPr id="1695" name="AutoShape 7">
          <a:extLst>
            <a:ext uri="{FF2B5EF4-FFF2-40B4-BE49-F238E27FC236}">
              <a16:creationId xmlns:a16="http://schemas.microsoft.com/office/drawing/2014/main" id="{78ED70A6-FC7E-4223-949A-3CB29CE30B8E}"/>
            </a:ext>
          </a:extLst>
        </xdr:cNvPr>
        <xdr:cNvSpPr>
          <a:spLocks noChangeArrowheads="1"/>
        </xdr:cNvSpPr>
      </xdr:nvSpPr>
      <xdr:spPr bwMode="auto">
        <a:xfrm>
          <a:off x="752475" y="1590675"/>
          <a:ext cx="1819275" cy="3524250"/>
        </a:xfrm>
        <a:prstGeom prst="downArrow">
          <a:avLst>
            <a:gd name="adj1" fmla="val 38222"/>
            <a:gd name="adj2" fmla="val 79056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</xdr:sp>
    <xdr:clientData/>
  </xdr:twoCellAnchor>
  <xdr:twoCellAnchor>
    <xdr:from>
      <xdr:col>2</xdr:col>
      <xdr:colOff>76200</xdr:colOff>
      <xdr:row>229</xdr:row>
      <xdr:rowOff>76200</xdr:rowOff>
    </xdr:from>
    <xdr:to>
      <xdr:col>3</xdr:col>
      <xdr:colOff>714375</xdr:colOff>
      <xdr:row>229</xdr:row>
      <xdr:rowOff>200025</xdr:rowOff>
    </xdr:to>
    <xdr:sp macro="" textlink="">
      <xdr:nvSpPr>
        <xdr:cNvPr id="1696" name="AutoShape 8">
          <a:extLst>
            <a:ext uri="{FF2B5EF4-FFF2-40B4-BE49-F238E27FC236}">
              <a16:creationId xmlns:a16="http://schemas.microsoft.com/office/drawing/2014/main" id="{1B6B1F9D-BA8A-4E8C-9F2A-2CCF399E028C}"/>
            </a:ext>
          </a:extLst>
        </xdr:cNvPr>
        <xdr:cNvSpPr>
          <a:spLocks noChangeArrowheads="1"/>
        </xdr:cNvSpPr>
      </xdr:nvSpPr>
      <xdr:spPr bwMode="auto">
        <a:xfrm>
          <a:off x="4371975" y="37909500"/>
          <a:ext cx="1390650" cy="123825"/>
        </a:xfrm>
        <a:prstGeom prst="rightArrow">
          <a:avLst>
            <a:gd name="adj1" fmla="val 50000"/>
            <a:gd name="adj2" fmla="val 280769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76200</xdr:colOff>
      <xdr:row>229</xdr:row>
      <xdr:rowOff>76200</xdr:rowOff>
    </xdr:from>
    <xdr:to>
      <xdr:col>10</xdr:col>
      <xdr:colOff>714375</xdr:colOff>
      <xdr:row>229</xdr:row>
      <xdr:rowOff>200025</xdr:rowOff>
    </xdr:to>
    <xdr:sp macro="" textlink="">
      <xdr:nvSpPr>
        <xdr:cNvPr id="1697" name="AutoShape 9">
          <a:extLst>
            <a:ext uri="{FF2B5EF4-FFF2-40B4-BE49-F238E27FC236}">
              <a16:creationId xmlns:a16="http://schemas.microsoft.com/office/drawing/2014/main" id="{76288558-F77E-4FED-B4C0-8D0276D85B54}"/>
            </a:ext>
          </a:extLst>
        </xdr:cNvPr>
        <xdr:cNvSpPr>
          <a:spLocks noChangeArrowheads="1"/>
        </xdr:cNvSpPr>
      </xdr:nvSpPr>
      <xdr:spPr bwMode="auto">
        <a:xfrm>
          <a:off x="9629775" y="37909500"/>
          <a:ext cx="1266825" cy="123825"/>
        </a:xfrm>
        <a:prstGeom prst="rightArrow">
          <a:avLst>
            <a:gd name="adj1" fmla="val 50000"/>
            <a:gd name="adj2" fmla="val 255769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76200</xdr:colOff>
      <xdr:row>229</xdr:row>
      <xdr:rowOff>76200</xdr:rowOff>
    </xdr:from>
    <xdr:to>
      <xdr:col>17</xdr:col>
      <xdr:colOff>714375</xdr:colOff>
      <xdr:row>229</xdr:row>
      <xdr:rowOff>200025</xdr:rowOff>
    </xdr:to>
    <xdr:sp macro="" textlink="">
      <xdr:nvSpPr>
        <xdr:cNvPr id="1698" name="AutoShape 10">
          <a:extLst>
            <a:ext uri="{FF2B5EF4-FFF2-40B4-BE49-F238E27FC236}">
              <a16:creationId xmlns:a16="http://schemas.microsoft.com/office/drawing/2014/main" id="{4E224580-46F1-4A47-BA21-4121201C1E18}"/>
            </a:ext>
          </a:extLst>
        </xdr:cNvPr>
        <xdr:cNvSpPr>
          <a:spLocks noChangeArrowheads="1"/>
        </xdr:cNvSpPr>
      </xdr:nvSpPr>
      <xdr:spPr bwMode="auto">
        <a:xfrm>
          <a:off x="14392275" y="37909500"/>
          <a:ext cx="1295400" cy="123825"/>
        </a:xfrm>
        <a:prstGeom prst="rightArrow">
          <a:avLst>
            <a:gd name="adj1" fmla="val 50000"/>
            <a:gd name="adj2" fmla="val 26153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76200</xdr:colOff>
      <xdr:row>229</xdr:row>
      <xdr:rowOff>76200</xdr:rowOff>
    </xdr:from>
    <xdr:to>
      <xdr:col>24</xdr:col>
      <xdr:colOff>714375</xdr:colOff>
      <xdr:row>229</xdr:row>
      <xdr:rowOff>200025</xdr:rowOff>
    </xdr:to>
    <xdr:sp macro="" textlink="">
      <xdr:nvSpPr>
        <xdr:cNvPr id="1699" name="AutoShape 11">
          <a:extLst>
            <a:ext uri="{FF2B5EF4-FFF2-40B4-BE49-F238E27FC236}">
              <a16:creationId xmlns:a16="http://schemas.microsoft.com/office/drawing/2014/main" id="{44A8B400-0049-411D-AB19-46CA672C4957}"/>
            </a:ext>
          </a:extLst>
        </xdr:cNvPr>
        <xdr:cNvSpPr>
          <a:spLocks noChangeArrowheads="1"/>
        </xdr:cNvSpPr>
      </xdr:nvSpPr>
      <xdr:spPr bwMode="auto">
        <a:xfrm>
          <a:off x="19421475" y="37909500"/>
          <a:ext cx="1323975" cy="123825"/>
        </a:xfrm>
        <a:prstGeom prst="rightArrow">
          <a:avLst>
            <a:gd name="adj1" fmla="val 50000"/>
            <a:gd name="adj2" fmla="val 26730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44</xdr:col>
      <xdr:colOff>76200</xdr:colOff>
      <xdr:row>229</xdr:row>
      <xdr:rowOff>76200</xdr:rowOff>
    </xdr:from>
    <xdr:to>
      <xdr:col>45</xdr:col>
      <xdr:colOff>714375</xdr:colOff>
      <xdr:row>229</xdr:row>
      <xdr:rowOff>200025</xdr:rowOff>
    </xdr:to>
    <xdr:sp macro="" textlink="">
      <xdr:nvSpPr>
        <xdr:cNvPr id="1700" name="AutoShape 12">
          <a:extLst>
            <a:ext uri="{FF2B5EF4-FFF2-40B4-BE49-F238E27FC236}">
              <a16:creationId xmlns:a16="http://schemas.microsoft.com/office/drawing/2014/main" id="{7D5341CF-BC76-4534-8EEB-A7B0BA30F352}"/>
            </a:ext>
          </a:extLst>
        </xdr:cNvPr>
        <xdr:cNvSpPr>
          <a:spLocks noChangeArrowheads="1"/>
        </xdr:cNvSpPr>
      </xdr:nvSpPr>
      <xdr:spPr bwMode="auto">
        <a:xfrm>
          <a:off x="34528125" y="37909500"/>
          <a:ext cx="1295400" cy="123825"/>
        </a:xfrm>
        <a:prstGeom prst="rightArrow">
          <a:avLst>
            <a:gd name="adj1" fmla="val 50000"/>
            <a:gd name="adj2" fmla="val 26153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30</xdr:col>
      <xdr:colOff>76200</xdr:colOff>
      <xdr:row>229</xdr:row>
      <xdr:rowOff>76200</xdr:rowOff>
    </xdr:from>
    <xdr:to>
      <xdr:col>31</xdr:col>
      <xdr:colOff>714375</xdr:colOff>
      <xdr:row>229</xdr:row>
      <xdr:rowOff>200025</xdr:rowOff>
    </xdr:to>
    <xdr:sp macro="" textlink="">
      <xdr:nvSpPr>
        <xdr:cNvPr id="1701" name="AutoShape 13">
          <a:extLst>
            <a:ext uri="{FF2B5EF4-FFF2-40B4-BE49-F238E27FC236}">
              <a16:creationId xmlns:a16="http://schemas.microsoft.com/office/drawing/2014/main" id="{77D1F573-2612-42F3-BE70-2F3ABE4C84A4}"/>
            </a:ext>
          </a:extLst>
        </xdr:cNvPr>
        <xdr:cNvSpPr>
          <a:spLocks noChangeArrowheads="1"/>
        </xdr:cNvSpPr>
      </xdr:nvSpPr>
      <xdr:spPr bwMode="auto">
        <a:xfrm>
          <a:off x="24926925" y="37909500"/>
          <a:ext cx="1295400" cy="123825"/>
        </a:xfrm>
        <a:prstGeom prst="rightArrow">
          <a:avLst>
            <a:gd name="adj1" fmla="val 50000"/>
            <a:gd name="adj2" fmla="val 26153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76200</xdr:colOff>
      <xdr:row>229</xdr:row>
      <xdr:rowOff>76200</xdr:rowOff>
    </xdr:from>
    <xdr:to>
      <xdr:col>38</xdr:col>
      <xdr:colOff>714375</xdr:colOff>
      <xdr:row>229</xdr:row>
      <xdr:rowOff>200025</xdr:rowOff>
    </xdr:to>
    <xdr:sp macro="" textlink="">
      <xdr:nvSpPr>
        <xdr:cNvPr id="1702" name="AutoShape 14">
          <a:extLst>
            <a:ext uri="{FF2B5EF4-FFF2-40B4-BE49-F238E27FC236}">
              <a16:creationId xmlns:a16="http://schemas.microsoft.com/office/drawing/2014/main" id="{3140FFCB-3D39-4E04-962A-E80B3C3B913E}"/>
            </a:ext>
          </a:extLst>
        </xdr:cNvPr>
        <xdr:cNvSpPr>
          <a:spLocks noChangeArrowheads="1"/>
        </xdr:cNvSpPr>
      </xdr:nvSpPr>
      <xdr:spPr bwMode="auto">
        <a:xfrm>
          <a:off x="29727525" y="37909500"/>
          <a:ext cx="1295400" cy="123825"/>
        </a:xfrm>
        <a:prstGeom prst="rightArrow">
          <a:avLst>
            <a:gd name="adj1" fmla="val 50000"/>
            <a:gd name="adj2" fmla="val 26153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76200</xdr:colOff>
      <xdr:row>229</xdr:row>
      <xdr:rowOff>76200</xdr:rowOff>
    </xdr:from>
    <xdr:to>
      <xdr:col>52</xdr:col>
      <xdr:colOff>714375</xdr:colOff>
      <xdr:row>229</xdr:row>
      <xdr:rowOff>200025</xdr:rowOff>
    </xdr:to>
    <xdr:sp macro="" textlink="">
      <xdr:nvSpPr>
        <xdr:cNvPr id="1703" name="AutoShape 15">
          <a:extLst>
            <a:ext uri="{FF2B5EF4-FFF2-40B4-BE49-F238E27FC236}">
              <a16:creationId xmlns:a16="http://schemas.microsoft.com/office/drawing/2014/main" id="{EBC9462A-7BC0-4786-8EB0-173480CAB20E}"/>
            </a:ext>
          </a:extLst>
        </xdr:cNvPr>
        <xdr:cNvSpPr>
          <a:spLocks noChangeArrowheads="1"/>
        </xdr:cNvSpPr>
      </xdr:nvSpPr>
      <xdr:spPr bwMode="auto">
        <a:xfrm>
          <a:off x="39328725" y="37909500"/>
          <a:ext cx="1295400" cy="123825"/>
        </a:xfrm>
        <a:prstGeom prst="rightArrow">
          <a:avLst>
            <a:gd name="adj1" fmla="val 50000"/>
            <a:gd name="adj2" fmla="val 26153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19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145E14-A9F1-429D-AE9F-B38B50E143C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19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0A3A14-67E5-4EEE-A55A-2D018D0A23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BE291"/>
  <sheetViews>
    <sheetView tabSelected="1" topLeftCell="A197" workbookViewId="0">
      <selection activeCell="B220" sqref="B220"/>
    </sheetView>
  </sheetViews>
  <sheetFormatPr defaultColWidth="12" defaultRowHeight="12"/>
  <cols>
    <col min="1" max="1" width="61" style="2" customWidth="1"/>
    <col min="2" max="2" width="14.1640625" style="2" customWidth="1"/>
    <col min="3" max="3" width="13.1640625" style="2" customWidth="1"/>
    <col min="4" max="4" width="13.83203125" style="2" customWidth="1"/>
    <col min="5" max="5" width="13.33203125" style="2" customWidth="1"/>
    <col min="6" max="6" width="14.33203125" style="2" customWidth="1"/>
    <col min="7" max="7" width="12.6640625" style="2" customWidth="1"/>
    <col min="8" max="8" width="13.33203125" style="2" customWidth="1"/>
    <col min="9" max="9" width="11.33203125" style="2" customWidth="1"/>
    <col min="10" max="10" width="11.1640625" style="2" customWidth="1"/>
    <col min="11" max="11" width="12.33203125" style="2" customWidth="1"/>
    <col min="12" max="12" width="12" style="2" customWidth="1"/>
    <col min="13" max="13" width="12.33203125" style="2" customWidth="1"/>
    <col min="14" max="15" width="12" style="2" customWidth="1"/>
    <col min="16" max="17" width="11.5" style="2" bestFit="1" customWidth="1"/>
    <col min="18" max="18" width="13.33203125" style="2" customWidth="1"/>
    <col min="19" max="19" width="11.83203125" style="2" customWidth="1"/>
    <col min="20" max="20" width="12" style="2" customWidth="1"/>
    <col min="21" max="21" width="11.5" style="2" bestFit="1" customWidth="1"/>
    <col min="22" max="22" width="15.83203125" style="2" customWidth="1"/>
    <col min="23" max="24" width="12" style="2" customWidth="1"/>
    <col min="25" max="25" width="24.33203125" style="2" customWidth="1"/>
    <col min="26" max="16384" width="12" style="2"/>
  </cols>
  <sheetData>
    <row r="1" spans="1:12" ht="20.25">
      <c r="A1" s="1" t="s">
        <v>42</v>
      </c>
    </row>
    <row r="2" spans="1:12" ht="20.25">
      <c r="A2" s="1" t="s">
        <v>166</v>
      </c>
    </row>
    <row r="4" spans="1:12">
      <c r="A4" s="2" t="s">
        <v>167</v>
      </c>
    </row>
    <row r="5" spans="1:12">
      <c r="A5" s="2" t="s">
        <v>68</v>
      </c>
      <c r="B5" s="21" t="s">
        <v>66</v>
      </c>
    </row>
    <row r="6" spans="1:12">
      <c r="A6" s="2" t="s">
        <v>69</v>
      </c>
      <c r="B6" s="35" t="s">
        <v>67</v>
      </c>
    </row>
    <row r="7" spans="1:12">
      <c r="A7" s="2" t="s">
        <v>101</v>
      </c>
    </row>
    <row r="8" spans="1:12" ht="12.75" thickBot="1"/>
    <row r="9" spans="1:12">
      <c r="C9" s="129" t="s">
        <v>81</v>
      </c>
      <c r="D9" s="92"/>
      <c r="E9" s="94"/>
      <c r="G9" s="129" t="s">
        <v>179</v>
      </c>
      <c r="H9" s="92"/>
      <c r="I9" s="92"/>
      <c r="J9" s="92"/>
      <c r="K9" s="92"/>
      <c r="L9" s="94"/>
    </row>
    <row r="10" spans="1:12" ht="48.75" thickBot="1">
      <c r="C10" s="95" t="s">
        <v>171</v>
      </c>
      <c r="D10" s="93"/>
      <c r="E10" s="96" t="s">
        <v>105</v>
      </c>
      <c r="G10" s="95" t="s">
        <v>169</v>
      </c>
      <c r="H10" s="97" t="s">
        <v>180</v>
      </c>
      <c r="I10" s="97" t="s">
        <v>170</v>
      </c>
      <c r="J10" s="97" t="s">
        <v>188</v>
      </c>
      <c r="K10" s="97" t="s">
        <v>175</v>
      </c>
      <c r="L10" s="98" t="s">
        <v>189</v>
      </c>
    </row>
    <row r="11" spans="1:12" ht="25.5">
      <c r="C11" s="78" t="s">
        <v>253</v>
      </c>
      <c r="D11" s="79"/>
      <c r="E11" s="80" t="s">
        <v>159</v>
      </c>
      <c r="G11" s="116" t="s">
        <v>168</v>
      </c>
      <c r="H11" s="112">
        <v>750</v>
      </c>
      <c r="I11" s="113">
        <v>47.3</v>
      </c>
      <c r="J11" s="112">
        <f>GasolineHigherHeatingValueMjPerKg*GasolineDensity</f>
        <v>35475</v>
      </c>
      <c r="K11" s="113">
        <v>44</v>
      </c>
      <c r="L11" s="122">
        <f>GasolineLowerHeatingValueMjPerKg*GasolineDensity</f>
        <v>33000</v>
      </c>
    </row>
    <row r="12" spans="1:12" ht="12.75" thickBot="1">
      <c r="C12" s="81">
        <v>150</v>
      </c>
      <c r="D12" s="82" t="s">
        <v>80</v>
      </c>
      <c r="E12" s="83">
        <f>BtuPerCubicFoot*1.055056*35.31</f>
        <v>5588.104104</v>
      </c>
      <c r="G12" s="99"/>
      <c r="H12" s="100"/>
      <c r="I12" s="101"/>
      <c r="J12" s="101"/>
      <c r="K12" s="101"/>
      <c r="L12" s="102"/>
    </row>
    <row r="13" spans="1:12" ht="24">
      <c r="C13" s="78" t="s">
        <v>78</v>
      </c>
      <c r="D13" s="79"/>
      <c r="E13" s="80" t="s">
        <v>79</v>
      </c>
      <c r="G13" s="116" t="s">
        <v>172</v>
      </c>
      <c r="H13" s="112">
        <v>810</v>
      </c>
      <c r="I13" s="113">
        <v>46.1</v>
      </c>
      <c r="J13" s="112">
        <f>LightDieselHigherHeatingValueMjPerKg*LightDieselDensity</f>
        <v>37341</v>
      </c>
      <c r="K13" s="113">
        <v>43.2</v>
      </c>
      <c r="L13" s="122">
        <f>LightDieselLowerHeatingValueMjPerKg*LightDieselDensity</f>
        <v>34992</v>
      </c>
    </row>
    <row r="14" spans="1:12" ht="12.75" thickBot="1">
      <c r="C14" s="81">
        <v>8000</v>
      </c>
      <c r="D14" s="82" t="s">
        <v>80</v>
      </c>
      <c r="E14" s="83">
        <f>BtuPerPound*1.055056/0.4535924</f>
        <v>18608.001368629633</v>
      </c>
      <c r="G14" s="99"/>
      <c r="H14" s="100"/>
      <c r="I14" s="101"/>
      <c r="J14" s="101"/>
      <c r="K14" s="101"/>
      <c r="L14" s="102"/>
    </row>
    <row r="15" spans="1:12" ht="24">
      <c r="C15" s="78" t="s">
        <v>104</v>
      </c>
      <c r="D15" s="79"/>
      <c r="E15" s="80" t="s">
        <v>103</v>
      </c>
      <c r="G15" s="116" t="s">
        <v>173</v>
      </c>
      <c r="H15" s="112">
        <v>850</v>
      </c>
      <c r="I15" s="113">
        <v>45.5</v>
      </c>
      <c r="J15" s="112">
        <f>HeavyDieselHigherHeatingValueMjPerKg*HeavyDieselDensity</f>
        <v>38675</v>
      </c>
      <c r="K15" s="113">
        <v>42.8</v>
      </c>
      <c r="L15" s="122">
        <f>HeavyDieselLowerHeatingValueMjPerKg*HeavyDieselDensity</f>
        <v>36380</v>
      </c>
    </row>
    <row r="16" spans="1:12" ht="14.25" thickBot="1">
      <c r="C16" s="84">
        <f>MetricTonsPerHour/0.907</f>
        <v>26.460859977949283</v>
      </c>
      <c r="D16" s="82" t="s">
        <v>80</v>
      </c>
      <c r="E16" s="85">
        <v>24</v>
      </c>
      <c r="G16" s="108"/>
      <c r="H16" s="109"/>
      <c r="I16" s="110"/>
      <c r="J16" s="110" t="s">
        <v>190</v>
      </c>
      <c r="K16" s="110"/>
      <c r="L16" s="111" t="s">
        <v>190</v>
      </c>
    </row>
    <row r="17" spans="1:12" ht="24">
      <c r="C17" s="78" t="s">
        <v>82</v>
      </c>
      <c r="D17" s="79"/>
      <c r="E17" s="80" t="s">
        <v>83</v>
      </c>
      <c r="G17" s="117" t="s">
        <v>174</v>
      </c>
      <c r="H17" s="114">
        <v>0.72399999999999998</v>
      </c>
      <c r="I17" s="115">
        <v>50</v>
      </c>
      <c r="J17" s="123">
        <f>NaturalGasHigherHeatingValueMjPerKg*NaturalGasDensity*1000</f>
        <v>36199.999999999993</v>
      </c>
      <c r="K17" s="115">
        <v>45</v>
      </c>
      <c r="L17" s="124">
        <f>NaturalGasLowerHeatingValueMjPerKg*NaturalGasDensity*1000</f>
        <v>32580</v>
      </c>
    </row>
    <row r="18" spans="1:12" ht="12.75" thickBot="1">
      <c r="C18" s="133">
        <v>20</v>
      </c>
      <c r="D18" s="82" t="s">
        <v>80</v>
      </c>
      <c r="E18" s="87">
        <f>DollarPerMetricTons/0.907</f>
        <v>22.050716648291068</v>
      </c>
      <c r="G18" s="103"/>
      <c r="H18" s="104"/>
      <c r="I18" s="105"/>
      <c r="J18" s="106"/>
      <c r="K18" s="105"/>
      <c r="L18" s="107"/>
    </row>
    <row r="19" spans="1:12" ht="25.5">
      <c r="C19" s="78" t="s">
        <v>164</v>
      </c>
      <c r="D19" s="79"/>
      <c r="E19" s="80" t="s">
        <v>165</v>
      </c>
      <c r="G19" s="117" t="s">
        <v>176</v>
      </c>
      <c r="H19" s="114">
        <f>101325*28/8314/298</f>
        <v>1.1451130380872887</v>
      </c>
      <c r="I19" s="115">
        <v>10.1</v>
      </c>
      <c r="J19" s="123">
        <f>COHigherHeatingValueMjPerKg*CODensity*1000</f>
        <v>11565.641684681616</v>
      </c>
      <c r="K19" s="115">
        <v>10.1</v>
      </c>
      <c r="L19" s="124">
        <f>COLowerHeatingValueMjPerKg*CODensity*1000</f>
        <v>11565.641684681616</v>
      </c>
    </row>
    <row r="20" spans="1:12" ht="12.75" thickBot="1">
      <c r="C20" s="86">
        <v>5.6</v>
      </c>
      <c r="D20" s="82" t="s">
        <v>80</v>
      </c>
      <c r="E20" s="87">
        <f>CubicFootPerPonds/35.31*2.205</f>
        <v>0.34970263381478334</v>
      </c>
      <c r="G20" s="103"/>
      <c r="H20" s="104"/>
      <c r="I20" s="105"/>
      <c r="J20" s="106"/>
      <c r="K20" s="105"/>
      <c r="L20" s="107"/>
    </row>
    <row r="21" spans="1:12" ht="26.25" customHeight="1" thickBot="1">
      <c r="G21" s="117" t="s">
        <v>177</v>
      </c>
      <c r="H21" s="114">
        <f>101325*2/8314/298</f>
        <v>8.1793788434806336E-2</v>
      </c>
      <c r="I21" s="115">
        <v>142</v>
      </c>
      <c r="J21" s="123">
        <f>H2HigherHeatingValueMjPerKg*H2Density*1000</f>
        <v>11614.717957742499</v>
      </c>
      <c r="K21" s="115">
        <v>120</v>
      </c>
      <c r="L21" s="124">
        <f>H2LowerHeatingValueMjPerKg*H2Density*1000</f>
        <v>9815.2546121767609</v>
      </c>
    </row>
    <row r="22" spans="1:12" ht="12.75" thickBot="1">
      <c r="C22" s="129" t="s">
        <v>222</v>
      </c>
      <c r="D22" s="92"/>
      <c r="E22" s="94"/>
      <c r="G22" s="103"/>
      <c r="H22" s="104"/>
      <c r="I22" s="105"/>
      <c r="J22" s="106"/>
      <c r="K22" s="105"/>
      <c r="L22" s="107"/>
    </row>
    <row r="23" spans="1:12" ht="24.75" thickBot="1">
      <c r="C23" s="78" t="s">
        <v>115</v>
      </c>
      <c r="D23" s="79"/>
      <c r="E23" s="88" t="s">
        <v>102</v>
      </c>
      <c r="G23" s="118" t="s">
        <v>178</v>
      </c>
      <c r="H23" s="119">
        <f>101325*16/8314/298</f>
        <v>0.65435030747845069</v>
      </c>
      <c r="I23" s="120">
        <v>55.5</v>
      </c>
      <c r="J23" s="125">
        <f>CH4HigherHeatingValueMjPerKg*CH4Density*1000</f>
        <v>36316.442065054012</v>
      </c>
      <c r="K23" s="120">
        <v>50</v>
      </c>
      <c r="L23" s="126">
        <f>CH4LowerHeatingValueMjPerKg*CH4Density*1000</f>
        <v>32717.515373922539</v>
      </c>
    </row>
    <row r="24" spans="1:12" ht="12.75" thickBot="1">
      <c r="C24" s="133">
        <v>5</v>
      </c>
      <c r="D24" s="89" t="s">
        <v>80</v>
      </c>
      <c r="E24" s="90">
        <f>DollarPerMillionBtu/1055*3.6</f>
        <v>1.7061611374407586E-2</v>
      </c>
    </row>
    <row r="27" spans="1:12">
      <c r="A27" s="18" t="s">
        <v>112</v>
      </c>
      <c r="B27" s="72" t="s">
        <v>158</v>
      </c>
      <c r="C27" s="71" t="s">
        <v>259</v>
      </c>
      <c r="D27" s="2" t="s">
        <v>228</v>
      </c>
    </row>
    <row r="28" spans="1:12">
      <c r="A28" s="11" t="s">
        <v>254</v>
      </c>
      <c r="B28" s="13">
        <v>300000</v>
      </c>
      <c r="C28" s="24">
        <f>GasifierSystemCapitalCost/NetElectricalCapacity</f>
        <v>600</v>
      </c>
    </row>
    <row r="29" spans="1:12">
      <c r="A29" s="11" t="s">
        <v>255</v>
      </c>
      <c r="B29" s="13">
        <v>50000</v>
      </c>
      <c r="C29" s="24">
        <f>GasCleaningSystemCapitalCost/NetElectricalCapacity</f>
        <v>100</v>
      </c>
    </row>
    <row r="30" spans="1:12">
      <c r="A30" s="11" t="s">
        <v>256</v>
      </c>
      <c r="B30" s="13">
        <v>450000</v>
      </c>
      <c r="C30" s="24">
        <f>PowerGenerationCapitalCost/NetElectricalCapacity</f>
        <v>900</v>
      </c>
    </row>
    <row r="31" spans="1:12">
      <c r="A31" s="11" t="s">
        <v>257</v>
      </c>
      <c r="B31" s="13">
        <v>25000</v>
      </c>
      <c r="C31" s="24">
        <f>EmissionControlSystemCapitalCost/NetElectricalCapacity</f>
        <v>50</v>
      </c>
    </row>
    <row r="32" spans="1:12">
      <c r="A32" s="11" t="s">
        <v>258</v>
      </c>
      <c r="B32" s="73">
        <v>50000</v>
      </c>
      <c r="C32" s="24">
        <f>HeatRecoverySystemCapitalCost/NetElectricalCapacity</f>
        <v>100</v>
      </c>
    </row>
    <row r="33" spans="1:4">
      <c r="A33" s="34" t="s">
        <v>260</v>
      </c>
      <c r="B33" s="70">
        <f>GasifierSystemCapitalCost + GasCleaningSystemCapitalCost + PowerGenerationCapitalCost + EmissionControlSystemCapitalCost + HeatRecoverySystemCapitalCost</f>
        <v>875000</v>
      </c>
      <c r="C33" s="24">
        <f>TotalFacilityCapitalCost/NetElectricalCapacity</f>
        <v>1750</v>
      </c>
      <c r="D33" s="2" t="s">
        <v>125</v>
      </c>
    </row>
    <row r="34" spans="1:4">
      <c r="A34" s="17"/>
      <c r="B34" s="32"/>
    </row>
    <row r="35" spans="1:4">
      <c r="A35" s="33" t="s">
        <v>145</v>
      </c>
      <c r="B35" s="32"/>
    </row>
    <row r="36" spans="1:4">
      <c r="A36" s="11" t="s">
        <v>261</v>
      </c>
      <c r="B36" s="12">
        <v>650</v>
      </c>
      <c r="D36" s="2" t="s">
        <v>126</v>
      </c>
    </row>
    <row r="37" spans="1:4">
      <c r="A37" s="11" t="s">
        <v>262</v>
      </c>
      <c r="B37" s="12">
        <v>500</v>
      </c>
      <c r="D37" s="2" t="s">
        <v>160</v>
      </c>
    </row>
    <row r="38" spans="1:4">
      <c r="A38" s="34" t="s">
        <v>263</v>
      </c>
      <c r="B38" s="42">
        <f>GrossElectricalCapacity-NetElectricalCapacity</f>
        <v>150</v>
      </c>
      <c r="D38" s="2" t="s">
        <v>161</v>
      </c>
    </row>
    <row r="39" spans="1:4">
      <c r="A39" s="11" t="s">
        <v>264</v>
      </c>
      <c r="B39" s="12">
        <v>85</v>
      </c>
      <c r="D39" s="2" t="s">
        <v>77</v>
      </c>
    </row>
    <row r="40" spans="1:4">
      <c r="A40" s="34" t="s">
        <v>265</v>
      </c>
      <c r="B40" s="24">
        <f>CapacityFactor/100*8760</f>
        <v>7446</v>
      </c>
    </row>
    <row r="41" spans="1:4">
      <c r="A41" s="34" t="s">
        <v>266</v>
      </c>
      <c r="B41" s="24">
        <f>NetElectricalCapacity*AnnualHours</f>
        <v>3723000</v>
      </c>
    </row>
    <row r="42" spans="1:4">
      <c r="A42" s="11" t="s">
        <v>267</v>
      </c>
      <c r="B42" s="91">
        <v>65</v>
      </c>
    </row>
    <row r="43" spans="1:4">
      <c r="A43" s="11" t="s">
        <v>268</v>
      </c>
      <c r="B43" s="40">
        <v>23</v>
      </c>
    </row>
    <row r="44" spans="1:4">
      <c r="A44" s="34" t="s">
        <v>269</v>
      </c>
      <c r="B44" s="74">
        <f>HHVEfficiencyOfGasificationSystem*NetHHVEfficiencyofPowerGeneration/100</f>
        <v>14.95</v>
      </c>
      <c r="D44" s="2" t="s">
        <v>203</v>
      </c>
    </row>
    <row r="45" spans="1:4">
      <c r="A45" s="11" t="s">
        <v>270</v>
      </c>
      <c r="B45" s="40">
        <v>20</v>
      </c>
      <c r="D45" s="132" t="s">
        <v>230</v>
      </c>
    </row>
    <row r="46" spans="1:4">
      <c r="A46" s="11" t="s">
        <v>271</v>
      </c>
      <c r="B46" s="121"/>
    </row>
    <row r="47" spans="1:4">
      <c r="A47" s="11" t="s">
        <v>176</v>
      </c>
      <c r="B47" s="40">
        <v>20</v>
      </c>
    </row>
    <row r="48" spans="1:4" ht="13.5">
      <c r="A48" s="11" t="s">
        <v>177</v>
      </c>
      <c r="B48" s="40">
        <v>12</v>
      </c>
    </row>
    <row r="49" spans="1:4" ht="13.5">
      <c r="A49" s="11" t="s">
        <v>272</v>
      </c>
      <c r="B49" s="40">
        <v>5</v>
      </c>
    </row>
    <row r="50" spans="1:4" ht="13.5">
      <c r="A50" s="11" t="s">
        <v>181</v>
      </c>
      <c r="B50" s="40">
        <v>12</v>
      </c>
    </row>
    <row r="51" spans="1:4" ht="13.5">
      <c r="A51" s="11" t="s">
        <v>183</v>
      </c>
      <c r="B51" s="40">
        <v>0</v>
      </c>
    </row>
    <row r="52" spans="1:4" ht="13.5">
      <c r="A52" s="34" t="s">
        <v>182</v>
      </c>
      <c r="B52" s="74">
        <f>100-(CO+HydrogenGas+Hydrocarbons+CarbonDioxide+Oxygen)</f>
        <v>51</v>
      </c>
    </row>
    <row r="53" spans="1:4">
      <c r="A53" s="34" t="s">
        <v>273</v>
      </c>
      <c r="B53" s="75">
        <f>(CO*28+HydrogenGas*2+Hydrocarbons*16+CarbonDioxide*44+Oxygen*32+NitrogenGas*28)/100</f>
        <v>26.2</v>
      </c>
    </row>
    <row r="54" spans="1:4" ht="13.5">
      <c r="A54" s="34" t="s">
        <v>274</v>
      </c>
      <c r="B54" s="76">
        <f>101325*CleanGasMolecularMass/8314/298</f>
        <v>1.0714986284959629</v>
      </c>
    </row>
    <row r="55" spans="1:4" ht="13.5">
      <c r="A55" s="34" t="s">
        <v>275</v>
      </c>
      <c r="B55" s="42">
        <f>(CO*COHigherHeatingValueKjPerM+HydrogenGas*H2HigherHeatingValueKjPerM+Hydrocarbons*CH4HigherHeatingValueKjPerM)/100</f>
        <v>5522.7165951181241</v>
      </c>
    </row>
    <row r="56" spans="1:4" ht="13.5">
      <c r="A56" s="34" t="s">
        <v>276</v>
      </c>
      <c r="B56" s="42">
        <f>(CO*COLowerHeatingValueKjPerM+HydrogenGas*H2LowerHeatingValueKjPerM+Hydrocarbons*CH4LowerHeatingValueKjPerM)/100</f>
        <v>5126.8346590936617</v>
      </c>
    </row>
    <row r="57" spans="1:4">
      <c r="A57" s="34" t="s">
        <v>277</v>
      </c>
      <c r="B57" s="42">
        <f>NetElectricalCapacity/(NetHHVEfficiencyofPowerGeneration/100)</f>
        <v>2173.913043478261</v>
      </c>
    </row>
    <row r="58" spans="1:4">
      <c r="A58" s="34" t="s">
        <v>184</v>
      </c>
      <c r="B58" s="42">
        <f>TotalFuelPowerInput*(1-FractionOfInputEnergy/100)</f>
        <v>1739.130434782609</v>
      </c>
    </row>
    <row r="59" spans="1:4">
      <c r="A59" s="34" t="s">
        <v>185</v>
      </c>
      <c r="B59" s="42">
        <f>TotalFuelPowerInput*FractionOfInputEnergy/100</f>
        <v>434.78260869565219</v>
      </c>
    </row>
    <row r="60" spans="1:4" ht="13.5">
      <c r="A60" s="34" t="s">
        <v>186</v>
      </c>
      <c r="B60" s="42">
        <f>CleanGasPowerInput/CleanGasHigherHeatingValue*3600</f>
        <v>1133.6575863320179</v>
      </c>
    </row>
    <row r="61" spans="1:4">
      <c r="A61" s="34" t="s">
        <v>191</v>
      </c>
      <c r="B61" s="42">
        <f>CleanGasFlowRateVolume*CleanGasDensity</f>
        <v>1214.7125489388009</v>
      </c>
    </row>
    <row r="62" spans="1:4">
      <c r="A62" s="34" t="s">
        <v>193</v>
      </c>
      <c r="B62" s="42">
        <f>CleanGasFlowRateMass*AnnualHours/1000</f>
        <v>9044.749639398311</v>
      </c>
      <c r="D62" s="2" t="s">
        <v>192</v>
      </c>
    </row>
    <row r="63" spans="1:4">
      <c r="A63" s="34" t="s">
        <v>187</v>
      </c>
      <c r="B63" s="42">
        <f>DualFuelPowerInput/HeavyDieselHigherHeatingValueKjPerL*3600</f>
        <v>40.471037913493163</v>
      </c>
      <c r="D63" s="132" t="s">
        <v>223</v>
      </c>
    </row>
    <row r="64" spans="1:4">
      <c r="A64" s="34" t="s">
        <v>194</v>
      </c>
      <c r="B64" s="42">
        <f>DualFuelFlowRate*AnnualHours</f>
        <v>301347.34830387007</v>
      </c>
    </row>
    <row r="65" spans="1:4">
      <c r="A65" s="11" t="s">
        <v>195</v>
      </c>
      <c r="B65" s="12">
        <v>18608</v>
      </c>
      <c r="D65" s="2" t="s">
        <v>196</v>
      </c>
    </row>
    <row r="66" spans="1:4">
      <c r="A66" s="11" t="s">
        <v>197</v>
      </c>
      <c r="B66" s="40">
        <v>15</v>
      </c>
      <c r="D66" s="2" t="s">
        <v>198</v>
      </c>
    </row>
    <row r="67" spans="1:4">
      <c r="A67" s="34" t="s">
        <v>199</v>
      </c>
      <c r="B67" s="42">
        <f>CleanGasPowerInput/(HHVEfficiencyOfGasificationSystem/100)/HigherHeatingValue*3600</f>
        <v>517.6325786442053</v>
      </c>
    </row>
    <row r="68" spans="1:4">
      <c r="A68" s="34" t="s">
        <v>200</v>
      </c>
      <c r="B68" s="42">
        <f>BiomassFeedRate*AnnualHours/1000</f>
        <v>3854.2921805847523</v>
      </c>
    </row>
    <row r="69" spans="1:4">
      <c r="A69" s="34" t="s">
        <v>201</v>
      </c>
      <c r="B69" s="42">
        <f>AnnualBiomassConsumptionDryMass/(1-MoistureContent/100)</f>
        <v>4534.4613889232378</v>
      </c>
    </row>
    <row r="70" spans="1:4">
      <c r="A70" s="11" t="s">
        <v>202</v>
      </c>
      <c r="B70" s="12">
        <v>5</v>
      </c>
    </row>
    <row r="71" spans="1:4">
      <c r="A71" s="11" t="s">
        <v>204</v>
      </c>
      <c r="B71" s="12">
        <v>30</v>
      </c>
    </row>
    <row r="72" spans="1:4">
      <c r="A72" s="34" t="s">
        <v>206</v>
      </c>
      <c r="B72" s="42">
        <f>AshContent/100*BiomassFeedRate/(1-CarbonConcentration/100)</f>
        <v>36.973755617443238</v>
      </c>
    </row>
    <row r="73" spans="1:4">
      <c r="A73" s="34" t="s">
        <v>205</v>
      </c>
      <c r="B73" s="42">
        <f>CharProductionRate*AnnualHours/1000</f>
        <v>275.30658432748231</v>
      </c>
      <c r="D73" s="2" t="s">
        <v>207</v>
      </c>
    </row>
    <row r="74" spans="1:4">
      <c r="B74" s="27"/>
    </row>
    <row r="75" spans="1:4">
      <c r="A75" s="30" t="s">
        <v>146</v>
      </c>
      <c r="B75" s="27"/>
    </row>
    <row r="76" spans="1:4">
      <c r="A76" s="34" t="s">
        <v>113</v>
      </c>
      <c r="B76" s="24">
        <f>TotalFuelPowerInput-GrossElectricalCapacity</f>
        <v>1523.913043478261</v>
      </c>
      <c r="D76" s="2" t="s">
        <v>122</v>
      </c>
    </row>
    <row r="77" spans="1:4">
      <c r="A77" s="11" t="s">
        <v>134</v>
      </c>
      <c r="B77" s="13">
        <v>50</v>
      </c>
      <c r="D77" s="2" t="s">
        <v>121</v>
      </c>
    </row>
    <row r="78" spans="1:4">
      <c r="A78" s="34" t="s">
        <v>114</v>
      </c>
      <c r="B78" s="24">
        <f>TotalHearProductionRate*AggregateFractionOfHeatRecovered/100</f>
        <v>761.95652173913049</v>
      </c>
      <c r="D78" s="2" t="s">
        <v>123</v>
      </c>
    </row>
    <row r="79" spans="1:4">
      <c r="A79" s="34" t="s">
        <v>117</v>
      </c>
      <c r="B79" s="24">
        <f>RecoveredHeat*AnnualHours</f>
        <v>5673528.2608695654</v>
      </c>
      <c r="D79" s="2" t="s">
        <v>124</v>
      </c>
    </row>
    <row r="80" spans="1:4">
      <c r="A80" s="11" t="s">
        <v>133</v>
      </c>
      <c r="B80" s="77">
        <v>0.01</v>
      </c>
      <c r="D80" s="2" t="s">
        <v>118</v>
      </c>
    </row>
    <row r="81" spans="1:4">
      <c r="A81" s="34" t="s">
        <v>116</v>
      </c>
      <c r="B81" s="24">
        <f>AnnualHeatSales*AggregateSalesPriceForHeat</f>
        <v>56735.282608695656</v>
      </c>
    </row>
    <row r="82" spans="1:4">
      <c r="A82" s="34" t="s">
        <v>144</v>
      </c>
      <c r="B82" s="50">
        <f>TotalIncomeFromHeatSales/AnnualNetElectricityGeneration</f>
        <v>1.5239130434782609E-2</v>
      </c>
    </row>
    <row r="83" spans="1:4">
      <c r="A83" s="34" t="s">
        <v>131</v>
      </c>
      <c r="B83" s="41">
        <f>(GrossElectricalCapacity*AnnualHours+AnnualHeatSales)/(TotalFuelPowerInput*AnnualHours)*100</f>
        <v>64.95</v>
      </c>
    </row>
    <row r="84" spans="1:4">
      <c r="A84" s="34" t="s">
        <v>132</v>
      </c>
      <c r="B84" s="41">
        <f>(AnnualNetElectricityGeneration+AnnualHeatSales)/(TotalFuelPowerInput*AnnualHours)*100</f>
        <v>58.050000000000004</v>
      </c>
    </row>
    <row r="85" spans="1:4">
      <c r="B85" s="27"/>
    </row>
    <row r="86" spans="1:4" ht="24">
      <c r="A86" s="18" t="s">
        <v>143</v>
      </c>
      <c r="B86" s="10"/>
      <c r="C86" s="47" t="s">
        <v>141</v>
      </c>
    </row>
    <row r="87" spans="1:4">
      <c r="A87" s="11" t="s">
        <v>210</v>
      </c>
      <c r="B87" s="46">
        <v>22.05</v>
      </c>
      <c r="C87" s="38">
        <f>AnnualBiomassConsumptionDryMass*BiomassFuelCost/AnnualNetElectricityGeneration</f>
        <v>2.2827596718209452E-2</v>
      </c>
      <c r="D87" s="2" t="s">
        <v>224</v>
      </c>
    </row>
    <row r="88" spans="1:4">
      <c r="A88" s="11" t="s">
        <v>211</v>
      </c>
      <c r="B88" s="46">
        <v>0.3</v>
      </c>
      <c r="C88" s="38">
        <f>DualFuelCost*AnnualDualFuelConsumption/AnnualNetElectricityGeneration</f>
        <v>2.4282622748095894E-2</v>
      </c>
      <c r="D88" s="132" t="s">
        <v>223</v>
      </c>
    </row>
    <row r="89" spans="1:4">
      <c r="A89" s="11" t="s">
        <v>135</v>
      </c>
      <c r="B89" s="48">
        <v>20000</v>
      </c>
      <c r="C89" s="38">
        <f>LaborCost/AnnualNetElectricityGeneration</f>
        <v>5.3720118184260009E-3</v>
      </c>
      <c r="D89" s="2" t="s">
        <v>147</v>
      </c>
    </row>
    <row r="90" spans="1:4">
      <c r="A90" s="11" t="s">
        <v>136</v>
      </c>
      <c r="B90" s="48">
        <v>4000</v>
      </c>
      <c r="C90" s="38">
        <f>MaintenanceCost/AnnualNetElectricityGeneration</f>
        <v>1.0744023636852001E-3</v>
      </c>
      <c r="D90" s="2" t="s">
        <v>148</v>
      </c>
    </row>
    <row r="91" spans="1:4">
      <c r="A91" s="11" t="s">
        <v>212</v>
      </c>
      <c r="B91" s="48">
        <v>2000</v>
      </c>
      <c r="C91" s="38">
        <f>WasteTreatment/AnnualNetElectricityGeneration</f>
        <v>5.3720118184260007E-4</v>
      </c>
    </row>
    <row r="92" spans="1:4">
      <c r="A92" s="11" t="s">
        <v>137</v>
      </c>
      <c r="B92" s="48">
        <v>1000</v>
      </c>
      <c r="C92" s="38">
        <f>Insurance/AnnualNetElectricityGeneration</f>
        <v>2.6860059092130003E-4</v>
      </c>
      <c r="D92" s="2" t="s">
        <v>149</v>
      </c>
    </row>
    <row r="93" spans="1:4">
      <c r="A93" s="11" t="s">
        <v>138</v>
      </c>
      <c r="B93" s="48">
        <v>1000</v>
      </c>
      <c r="C93" s="38">
        <f>Utilities/AnnualNetElectricityGeneration</f>
        <v>2.6860059092130003E-4</v>
      </c>
      <c r="D93" s="2" t="s">
        <v>152</v>
      </c>
    </row>
    <row r="94" spans="1:4">
      <c r="A94" s="11" t="s">
        <v>139</v>
      </c>
      <c r="B94" s="48">
        <v>1000</v>
      </c>
      <c r="C94" s="38">
        <f>Management/AnnualNetElectricityGeneration</f>
        <v>2.6860059092130003E-4</v>
      </c>
      <c r="D94" s="2" t="s">
        <v>150</v>
      </c>
    </row>
    <row r="95" spans="1:4">
      <c r="A95" s="11" t="s">
        <v>140</v>
      </c>
      <c r="B95" s="48">
        <v>1000</v>
      </c>
      <c r="C95" s="38">
        <f>OtherOperatingExpenses/AnnualNetElectricityGeneration</f>
        <v>2.6860059092130003E-4</v>
      </c>
      <c r="D95" s="2" t="s">
        <v>153</v>
      </c>
    </row>
    <row r="96" spans="1:4">
      <c r="A96" s="34" t="s">
        <v>142</v>
      </c>
      <c r="B96" s="49">
        <f>LaborCost+MaintenanceCost+WasteTreatment+Insurance+Utilities+Management+OtherOperatingExpenses</f>
        <v>30000</v>
      </c>
      <c r="C96" s="38">
        <f>LaborCostPerKwh+MaintenanceCostPerKwh+WasteTreatmentPerKwh+InsurancePerKwh+UtilitiesPerKwh+ManagementPerKwh+OtherOperatingExpensesPerKwh</f>
        <v>8.0580177276390001E-3</v>
      </c>
    </row>
    <row r="97" spans="1:4">
      <c r="A97" s="34" t="s">
        <v>157</v>
      </c>
      <c r="B97" s="24">
        <f>BiomassFuelCost*AnnualBiomassConsumptionDryMass+DualFuelCost*AnnualDualFuelConsumption+TotalNonFuelExpenses</f>
        <v>205391.34707305481</v>
      </c>
      <c r="C97" s="38">
        <f>BiomassFuelCostPerKwh+DualFuelPerKwh+TotalNonFuelExpensesPerKwh</f>
        <v>5.5168237193944349E-2</v>
      </c>
    </row>
    <row r="98" spans="1:4">
      <c r="B98" s="5"/>
    </row>
    <row r="99" spans="1:4">
      <c r="A99" s="18" t="s">
        <v>35</v>
      </c>
      <c r="B99" s="3"/>
    </row>
    <row r="100" spans="1:4">
      <c r="A100" s="11" t="s">
        <v>0</v>
      </c>
      <c r="B100" s="14">
        <v>34</v>
      </c>
      <c r="D100" s="2" t="s">
        <v>84</v>
      </c>
    </row>
    <row r="101" spans="1:4">
      <c r="A101" s="11" t="s">
        <v>1</v>
      </c>
      <c r="B101" s="14">
        <v>9.6</v>
      </c>
      <c r="D101" s="2" t="s">
        <v>85</v>
      </c>
    </row>
    <row r="102" spans="1:4">
      <c r="A102" s="11" t="s">
        <v>106</v>
      </c>
      <c r="B102" s="28">
        <v>8.9999999999999993E-3</v>
      </c>
      <c r="D102" s="2" t="s">
        <v>225</v>
      </c>
    </row>
    <row r="103" spans="1:4">
      <c r="A103" s="34" t="s">
        <v>2</v>
      </c>
      <c r="B103" s="36">
        <f>StateTaxRate+FederalTaxRate*(1-StateTaxRate/100)</f>
        <v>40.335999999999999</v>
      </c>
      <c r="D103" s="2" t="s">
        <v>86</v>
      </c>
    </row>
    <row r="104" spans="1:4">
      <c r="B104" s="7"/>
    </row>
    <row r="105" spans="1:4">
      <c r="A105" s="18" t="s">
        <v>43</v>
      </c>
      <c r="B105" s="3"/>
    </row>
    <row r="106" spans="1:4">
      <c r="A106" s="11" t="s">
        <v>120</v>
      </c>
      <c r="B106" s="15">
        <v>0</v>
      </c>
      <c r="D106" s="2" t="s">
        <v>229</v>
      </c>
    </row>
    <row r="107" spans="1:4">
      <c r="A107" s="11" t="s">
        <v>72</v>
      </c>
      <c r="B107" s="14">
        <v>2</v>
      </c>
      <c r="D107" s="2" t="s">
        <v>87</v>
      </c>
    </row>
    <row r="108" spans="1:4">
      <c r="A108" s="11" t="s">
        <v>213</v>
      </c>
      <c r="B108" s="14">
        <v>0</v>
      </c>
      <c r="D108" s="2" t="s">
        <v>226</v>
      </c>
    </row>
    <row r="109" spans="1:4">
      <c r="A109" s="34" t="s">
        <v>14</v>
      </c>
      <c r="B109" s="24">
        <f>ElectricityCapacityPayment*NetElectricalCapacity</f>
        <v>0</v>
      </c>
    </row>
    <row r="110" spans="1:4">
      <c r="A110" s="34" t="s">
        <v>13</v>
      </c>
      <c r="B110" s="24">
        <f>DebtReserve*InterestRateOnDebtReserve/100</f>
        <v>1263.820748253388</v>
      </c>
    </row>
    <row r="111" spans="1:4">
      <c r="A111" s="34" t="s">
        <v>209</v>
      </c>
      <c r="B111" s="24">
        <f>SalesPriceForChar*AnnualCharProduction</f>
        <v>0</v>
      </c>
    </row>
    <row r="112" spans="1:4">
      <c r="B112" s="4"/>
    </row>
    <row r="113" spans="1:4">
      <c r="A113" s="18" t="s">
        <v>44</v>
      </c>
      <c r="B113" s="16"/>
    </row>
    <row r="114" spans="1:4">
      <c r="A114" s="11" t="s">
        <v>70</v>
      </c>
      <c r="B114" s="14">
        <v>2.1</v>
      </c>
      <c r="D114" s="2" t="s">
        <v>88</v>
      </c>
    </row>
    <row r="115" spans="1:4">
      <c r="A115" s="11" t="s">
        <v>217</v>
      </c>
      <c r="B115" s="14">
        <v>2.1</v>
      </c>
      <c r="D115" s="2" t="s">
        <v>89</v>
      </c>
    </row>
    <row r="116" spans="1:4">
      <c r="A116" s="11" t="s">
        <v>216</v>
      </c>
      <c r="B116" s="14">
        <v>2.1</v>
      </c>
    </row>
    <row r="117" spans="1:4">
      <c r="A117" s="11" t="s">
        <v>219</v>
      </c>
      <c r="B117" s="14">
        <v>2.1</v>
      </c>
      <c r="D117" s="2" t="s">
        <v>111</v>
      </c>
    </row>
    <row r="118" spans="1:4">
      <c r="A118" s="11" t="s">
        <v>220</v>
      </c>
      <c r="B118" s="14">
        <v>2.1</v>
      </c>
      <c r="D118" s="2" t="s">
        <v>119</v>
      </c>
    </row>
    <row r="119" spans="1:4">
      <c r="A119" s="11" t="s">
        <v>221</v>
      </c>
      <c r="B119" s="14">
        <v>2.1</v>
      </c>
      <c r="D119" s="2" t="s">
        <v>227</v>
      </c>
    </row>
    <row r="120" spans="1:4">
      <c r="A120" s="11" t="s">
        <v>71</v>
      </c>
      <c r="B120" s="14">
        <v>2.1</v>
      </c>
      <c r="D120" s="2" t="s">
        <v>90</v>
      </c>
    </row>
    <row r="121" spans="1:4">
      <c r="B121" s="6"/>
    </row>
    <row r="122" spans="1:4">
      <c r="A122" s="18" t="s">
        <v>45</v>
      </c>
      <c r="B122" s="16"/>
    </row>
    <row r="123" spans="1:4">
      <c r="A123" s="11" t="s">
        <v>3</v>
      </c>
      <c r="B123" s="14">
        <v>90</v>
      </c>
      <c r="D123" s="2" t="s">
        <v>91</v>
      </c>
    </row>
    <row r="124" spans="1:4">
      <c r="A124" s="34" t="s">
        <v>4</v>
      </c>
      <c r="B124" s="37">
        <f>100-DebtRatio</f>
        <v>10</v>
      </c>
      <c r="D124" s="2" t="s">
        <v>92</v>
      </c>
    </row>
    <row r="125" spans="1:4">
      <c r="A125" s="11" t="s">
        <v>73</v>
      </c>
      <c r="B125" s="14">
        <v>5</v>
      </c>
      <c r="D125" s="2" t="s">
        <v>94</v>
      </c>
    </row>
    <row r="126" spans="1:4">
      <c r="A126" s="11" t="s">
        <v>107</v>
      </c>
      <c r="B126" s="23">
        <v>20</v>
      </c>
      <c r="D126" s="2" t="s">
        <v>127</v>
      </c>
    </row>
    <row r="127" spans="1:4">
      <c r="A127" s="11" t="s">
        <v>74</v>
      </c>
      <c r="B127" s="14">
        <v>15</v>
      </c>
      <c r="D127" s="2" t="s">
        <v>93</v>
      </c>
    </row>
    <row r="128" spans="1:4">
      <c r="A128" s="34" t="s">
        <v>75</v>
      </c>
      <c r="B128" s="37">
        <f>DebtRatio/100*InterestRateOnDebt+EquityRatio/100*CostOfEquity</f>
        <v>6</v>
      </c>
      <c r="D128" s="2" t="s">
        <v>95</v>
      </c>
    </row>
    <row r="129" spans="1:6">
      <c r="A129" s="34" t="s">
        <v>5</v>
      </c>
      <c r="B129" s="24">
        <f>TotalFacilityCapitalCost</f>
        <v>875000</v>
      </c>
    </row>
    <row r="130" spans="1:6">
      <c r="A130" s="34" t="s">
        <v>6</v>
      </c>
      <c r="B130" s="24">
        <f>TotalCostOfPlant*EquityRatio/100</f>
        <v>87500</v>
      </c>
    </row>
    <row r="131" spans="1:6">
      <c r="A131" s="34" t="s">
        <v>7</v>
      </c>
      <c r="B131" s="24">
        <f>TotalCostOfPlant*DebtRatio/100</f>
        <v>787500</v>
      </c>
    </row>
    <row r="132" spans="1:6">
      <c r="A132" s="34" t="s">
        <v>8</v>
      </c>
      <c r="B132" s="38">
        <f>CostOfEquity/100*(1+CostOfEquity/100)^EconomicLife/((1+CostOfEquity/100)^EconomicLife-1)</f>
        <v>0.1597614704057439</v>
      </c>
      <c r="D132" s="2" t="s">
        <v>96</v>
      </c>
    </row>
    <row r="133" spans="1:6">
      <c r="A133" s="34" t="s">
        <v>9</v>
      </c>
      <c r="B133" s="38">
        <f>InterestRateOnDebt/100*(1+InterestRateOnDebt/100)^EconomicLife/((1+InterestRateOnDebt/100)^EconomicLife-1)</f>
        <v>8.0242587190691314E-2</v>
      </c>
    </row>
    <row r="134" spans="1:6">
      <c r="A134" s="34" t="s">
        <v>10</v>
      </c>
      <c r="B134" s="24">
        <f>CapitalRecoveryFactorEquity*TotalEquityCost</f>
        <v>13979.128660502591</v>
      </c>
      <c r="D134" s="2" t="s">
        <v>97</v>
      </c>
    </row>
    <row r="135" spans="1:6">
      <c r="A135" s="34" t="s">
        <v>11</v>
      </c>
      <c r="B135" s="24">
        <f>TotalDebtCost*CapitalRecoveryFactorDebt</f>
        <v>63191.037412669408</v>
      </c>
      <c r="D135" s="2" t="s">
        <v>98</v>
      </c>
    </row>
    <row r="136" spans="1:6">
      <c r="A136" s="11" t="s">
        <v>12</v>
      </c>
      <c r="B136" s="13">
        <f>AnnualDebtPayment</f>
        <v>63191.037412669408</v>
      </c>
      <c r="D136" s="2" t="s">
        <v>99</v>
      </c>
    </row>
    <row r="138" spans="1:6">
      <c r="A138" s="18" t="s">
        <v>46</v>
      </c>
      <c r="B138" s="3"/>
      <c r="D138" s="2" t="s">
        <v>100</v>
      </c>
    </row>
    <row r="139" spans="1:6" ht="24">
      <c r="A139" s="69"/>
      <c r="B139" s="127" t="s">
        <v>218</v>
      </c>
      <c r="D139" s="22" t="s">
        <v>128</v>
      </c>
      <c r="E139" s="22" t="s">
        <v>129</v>
      </c>
      <c r="F139" s="22" t="s">
        <v>130</v>
      </c>
    </row>
    <row r="140" spans="1:6">
      <c r="A140" s="11" t="s">
        <v>15</v>
      </c>
      <c r="B140" s="19">
        <f>F140</f>
        <v>0.05</v>
      </c>
      <c r="D140" s="43">
        <v>0.2</v>
      </c>
      <c r="E140" s="43">
        <v>0.1</v>
      </c>
      <c r="F140" s="43">
        <v>0.05</v>
      </c>
    </row>
    <row r="141" spans="1:6">
      <c r="A141" s="11" t="s">
        <v>16</v>
      </c>
      <c r="B141" s="19">
        <f t="shared" ref="B141:B159" si="0">F141</f>
        <v>0.05</v>
      </c>
      <c r="D141" s="43">
        <v>0.32</v>
      </c>
      <c r="E141" s="43">
        <v>0.18</v>
      </c>
      <c r="F141" s="43">
        <v>0.05</v>
      </c>
    </row>
    <row r="142" spans="1:6">
      <c r="A142" s="11" t="s">
        <v>17</v>
      </c>
      <c r="B142" s="19">
        <f t="shared" si="0"/>
        <v>0.05</v>
      </c>
      <c r="D142" s="43">
        <v>0.192</v>
      </c>
      <c r="E142" s="43">
        <v>0.14399999999999999</v>
      </c>
      <c r="F142" s="43">
        <v>0.05</v>
      </c>
    </row>
    <row r="143" spans="1:6">
      <c r="A143" s="11" t="s">
        <v>18</v>
      </c>
      <c r="B143" s="19">
        <f t="shared" si="0"/>
        <v>0.05</v>
      </c>
      <c r="D143" s="43">
        <v>0.1152</v>
      </c>
      <c r="E143" s="43">
        <v>0.1152</v>
      </c>
      <c r="F143" s="43">
        <v>0.05</v>
      </c>
    </row>
    <row r="144" spans="1:6">
      <c r="A144" s="11" t="s">
        <v>19</v>
      </c>
      <c r="B144" s="19">
        <f t="shared" si="0"/>
        <v>0.05</v>
      </c>
      <c r="D144" s="43">
        <v>0.1152</v>
      </c>
      <c r="E144" s="43">
        <v>9.2200000000000004E-2</v>
      </c>
      <c r="F144" s="43">
        <v>0.05</v>
      </c>
    </row>
    <row r="145" spans="1:8">
      <c r="A145" s="11" t="s">
        <v>20</v>
      </c>
      <c r="B145" s="19">
        <f t="shared" si="0"/>
        <v>0.05</v>
      </c>
      <c r="D145" s="43">
        <v>5.7599999999999998E-2</v>
      </c>
      <c r="E145" s="43">
        <v>7.3700000000000002E-2</v>
      </c>
      <c r="F145" s="43">
        <v>0.05</v>
      </c>
    </row>
    <row r="146" spans="1:8">
      <c r="A146" s="11" t="s">
        <v>47</v>
      </c>
      <c r="B146" s="19">
        <f t="shared" si="0"/>
        <v>0.05</v>
      </c>
      <c r="D146" s="43">
        <v>0</v>
      </c>
      <c r="E146" s="43">
        <v>6.5500000000000003E-2</v>
      </c>
      <c r="F146" s="43">
        <v>0.05</v>
      </c>
    </row>
    <row r="147" spans="1:8">
      <c r="A147" s="11" t="s">
        <v>48</v>
      </c>
      <c r="B147" s="19">
        <f t="shared" si="0"/>
        <v>0.05</v>
      </c>
      <c r="D147" s="43">
        <v>0</v>
      </c>
      <c r="E147" s="43">
        <v>6.5500000000000003E-2</v>
      </c>
      <c r="F147" s="43">
        <v>0.05</v>
      </c>
    </row>
    <row r="148" spans="1:8">
      <c r="A148" s="11" t="s">
        <v>49</v>
      </c>
      <c r="B148" s="19">
        <f t="shared" si="0"/>
        <v>0.05</v>
      </c>
      <c r="D148" s="43">
        <v>0</v>
      </c>
      <c r="E148" s="43">
        <v>6.5500000000000003E-2</v>
      </c>
      <c r="F148" s="43">
        <v>0.05</v>
      </c>
    </row>
    <row r="149" spans="1:8">
      <c r="A149" s="11" t="s">
        <v>50</v>
      </c>
      <c r="B149" s="19">
        <f t="shared" si="0"/>
        <v>0.05</v>
      </c>
      <c r="D149" s="43">
        <v>0</v>
      </c>
      <c r="E149" s="43">
        <v>6.5500000000000003E-2</v>
      </c>
      <c r="F149" s="43">
        <v>0.05</v>
      </c>
    </row>
    <row r="150" spans="1:8">
      <c r="A150" s="11" t="s">
        <v>51</v>
      </c>
      <c r="B150" s="19">
        <f t="shared" si="0"/>
        <v>0.05</v>
      </c>
      <c r="D150" s="43">
        <v>0</v>
      </c>
      <c r="E150" s="43">
        <v>3.2899999999999999E-2</v>
      </c>
      <c r="F150" s="43">
        <v>0.05</v>
      </c>
    </row>
    <row r="151" spans="1:8">
      <c r="A151" s="11" t="s">
        <v>52</v>
      </c>
      <c r="B151" s="19">
        <f t="shared" si="0"/>
        <v>0.05</v>
      </c>
      <c r="D151" s="43">
        <v>0</v>
      </c>
      <c r="E151" s="43">
        <v>0</v>
      </c>
      <c r="F151" s="43">
        <v>0.05</v>
      </c>
    </row>
    <row r="152" spans="1:8">
      <c r="A152" s="11" t="s">
        <v>53</v>
      </c>
      <c r="B152" s="19">
        <f t="shared" si="0"/>
        <v>0.05</v>
      </c>
      <c r="D152" s="43">
        <v>0</v>
      </c>
      <c r="E152" s="43">
        <v>0</v>
      </c>
      <c r="F152" s="43">
        <v>0.05</v>
      </c>
    </row>
    <row r="153" spans="1:8">
      <c r="A153" s="11" t="s">
        <v>54</v>
      </c>
      <c r="B153" s="19">
        <f t="shared" si="0"/>
        <v>0.05</v>
      </c>
      <c r="D153" s="43">
        <v>0</v>
      </c>
      <c r="E153" s="43">
        <v>0</v>
      </c>
      <c r="F153" s="43">
        <v>0.05</v>
      </c>
    </row>
    <row r="154" spans="1:8">
      <c r="A154" s="11" t="s">
        <v>55</v>
      </c>
      <c r="B154" s="19">
        <f t="shared" si="0"/>
        <v>0.05</v>
      </c>
      <c r="D154" s="43">
        <v>0</v>
      </c>
      <c r="E154" s="43">
        <v>0</v>
      </c>
      <c r="F154" s="43">
        <v>0.05</v>
      </c>
      <c r="G154" s="31"/>
      <c r="H154" s="31"/>
    </row>
    <row r="155" spans="1:8">
      <c r="A155" s="11" t="s">
        <v>56</v>
      </c>
      <c r="B155" s="19">
        <f t="shared" si="0"/>
        <v>0.05</v>
      </c>
      <c r="D155" s="43">
        <v>0</v>
      </c>
      <c r="E155" s="43">
        <v>0</v>
      </c>
      <c r="F155" s="43">
        <v>0.05</v>
      </c>
    </row>
    <row r="156" spans="1:8">
      <c r="A156" s="11" t="s">
        <v>57</v>
      </c>
      <c r="B156" s="19">
        <f t="shared" si="0"/>
        <v>0.05</v>
      </c>
      <c r="D156" s="43">
        <v>0</v>
      </c>
      <c r="E156" s="43">
        <v>0</v>
      </c>
      <c r="F156" s="43">
        <v>0.05</v>
      </c>
    </row>
    <row r="157" spans="1:8">
      <c r="A157" s="11" t="s">
        <v>58</v>
      </c>
      <c r="B157" s="19">
        <f t="shared" si="0"/>
        <v>0.05</v>
      </c>
      <c r="D157" s="43">
        <v>0</v>
      </c>
      <c r="E157" s="43">
        <v>0</v>
      </c>
      <c r="F157" s="43">
        <v>0.05</v>
      </c>
    </row>
    <row r="158" spans="1:8">
      <c r="A158" s="11" t="s">
        <v>59</v>
      </c>
      <c r="B158" s="19">
        <f t="shared" si="0"/>
        <v>0.05</v>
      </c>
      <c r="D158" s="43">
        <v>0</v>
      </c>
      <c r="E158" s="43">
        <v>0</v>
      </c>
      <c r="F158" s="43">
        <v>0.05</v>
      </c>
    </row>
    <row r="159" spans="1:8">
      <c r="A159" s="11" t="s">
        <v>60</v>
      </c>
      <c r="B159" s="19">
        <f t="shared" si="0"/>
        <v>0.05</v>
      </c>
      <c r="D159" s="43">
        <v>0</v>
      </c>
      <c r="E159" s="43">
        <v>0</v>
      </c>
      <c r="F159" s="43">
        <v>0.05</v>
      </c>
    </row>
    <row r="160" spans="1:8">
      <c r="A160" s="34" t="s">
        <v>21</v>
      </c>
      <c r="B160" s="39">
        <f>SUM(B140:B159)</f>
        <v>1.0000000000000002</v>
      </c>
      <c r="D160" s="38">
        <f>SUM(D140:D159)</f>
        <v>0.99999999999999989</v>
      </c>
      <c r="E160" s="38">
        <f>SUM(E140:E159)</f>
        <v>1</v>
      </c>
      <c r="F160" s="38">
        <f>SUM(F140:F159)</f>
        <v>1.0000000000000002</v>
      </c>
    </row>
    <row r="161" spans="1:4">
      <c r="B161" s="9"/>
    </row>
    <row r="162" spans="1:4" ht="24">
      <c r="A162" s="128" t="s">
        <v>108</v>
      </c>
      <c r="B162" s="127" t="s">
        <v>218</v>
      </c>
      <c r="D162" s="2" t="s">
        <v>151</v>
      </c>
    </row>
    <row r="163" spans="1:4">
      <c r="A163" s="11" t="s">
        <v>15</v>
      </c>
      <c r="B163" s="23">
        <v>1</v>
      </c>
    </row>
    <row r="164" spans="1:4">
      <c r="A164" s="11" t="s">
        <v>16</v>
      </c>
      <c r="B164" s="23">
        <v>1</v>
      </c>
    </row>
    <row r="165" spans="1:4">
      <c r="A165" s="11" t="s">
        <v>17</v>
      </c>
      <c r="B165" s="23">
        <v>1</v>
      </c>
    </row>
    <row r="166" spans="1:4">
      <c r="A166" s="11" t="s">
        <v>18</v>
      </c>
      <c r="B166" s="23">
        <v>1</v>
      </c>
    </row>
    <row r="167" spans="1:4">
      <c r="A167" s="11" t="s">
        <v>19</v>
      </c>
      <c r="B167" s="23">
        <v>1</v>
      </c>
    </row>
    <row r="168" spans="1:4">
      <c r="A168" s="11" t="s">
        <v>20</v>
      </c>
      <c r="B168" s="23">
        <v>0</v>
      </c>
    </row>
    <row r="169" spans="1:4">
      <c r="A169" s="11" t="s">
        <v>47</v>
      </c>
      <c r="B169" s="29">
        <v>0</v>
      </c>
    </row>
    <row r="170" spans="1:4">
      <c r="A170" s="11" t="s">
        <v>48</v>
      </c>
      <c r="B170" s="23">
        <v>0</v>
      </c>
    </row>
    <row r="171" spans="1:4">
      <c r="A171" s="11" t="s">
        <v>49</v>
      </c>
      <c r="B171" s="23">
        <v>0</v>
      </c>
    </row>
    <row r="172" spans="1:4">
      <c r="A172" s="11" t="s">
        <v>50</v>
      </c>
      <c r="B172" s="23">
        <v>0</v>
      </c>
    </row>
    <row r="173" spans="1:4">
      <c r="A173" s="11" t="s">
        <v>51</v>
      </c>
      <c r="B173" s="23">
        <v>0</v>
      </c>
    </row>
    <row r="174" spans="1:4">
      <c r="A174" s="11" t="s">
        <v>52</v>
      </c>
      <c r="B174" s="23">
        <v>0</v>
      </c>
    </row>
    <row r="175" spans="1:4">
      <c r="A175" s="11" t="s">
        <v>53</v>
      </c>
      <c r="B175" s="23">
        <v>0</v>
      </c>
    </row>
    <row r="176" spans="1:4">
      <c r="A176" s="11" t="s">
        <v>54</v>
      </c>
      <c r="B176" s="23">
        <v>0</v>
      </c>
    </row>
    <row r="177" spans="1:34">
      <c r="A177" s="11" t="s">
        <v>55</v>
      </c>
      <c r="B177" s="23">
        <v>0</v>
      </c>
    </row>
    <row r="178" spans="1:34">
      <c r="A178" s="11" t="s">
        <v>56</v>
      </c>
      <c r="B178" s="23">
        <v>0</v>
      </c>
    </row>
    <row r="179" spans="1:34">
      <c r="A179" s="11" t="s">
        <v>57</v>
      </c>
      <c r="B179" s="23">
        <v>0</v>
      </c>
    </row>
    <row r="180" spans="1:34">
      <c r="A180" s="11" t="s">
        <v>58</v>
      </c>
      <c r="B180" s="23">
        <v>0</v>
      </c>
    </row>
    <row r="181" spans="1:34">
      <c r="A181" s="11" t="s">
        <v>59</v>
      </c>
      <c r="B181" s="23">
        <v>0</v>
      </c>
    </row>
    <row r="182" spans="1:34">
      <c r="A182" s="11" t="s">
        <v>60</v>
      </c>
      <c r="B182" s="23">
        <v>0</v>
      </c>
    </row>
    <row r="183" spans="1:34">
      <c r="B183" s="9"/>
    </row>
    <row r="184" spans="1:34">
      <c r="A184" s="18" t="s">
        <v>61</v>
      </c>
      <c r="B184" s="10"/>
      <c r="C184" s="3"/>
      <c r="D184" s="3"/>
      <c r="E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 spans="1:34">
      <c r="A185" s="58" t="s">
        <v>22</v>
      </c>
      <c r="B185" s="58">
        <v>1</v>
      </c>
      <c r="C185" s="58">
        <f t="shared" ref="C185:K185" si="1">B185+1</f>
        <v>2</v>
      </c>
      <c r="D185" s="58">
        <f t="shared" si="1"/>
        <v>3</v>
      </c>
      <c r="E185" s="58">
        <f t="shared" si="1"/>
        <v>4</v>
      </c>
      <c r="F185" s="58">
        <f>E185+1</f>
        <v>5</v>
      </c>
      <c r="G185" s="58">
        <f>F185+1</f>
        <v>6</v>
      </c>
      <c r="H185" s="58">
        <f>G185+1</f>
        <v>7</v>
      </c>
      <c r="I185" s="58">
        <f>H185+1</f>
        <v>8</v>
      </c>
      <c r="J185" s="58">
        <f t="shared" si="1"/>
        <v>9</v>
      </c>
      <c r="K185" s="58">
        <f t="shared" si="1"/>
        <v>10</v>
      </c>
      <c r="L185" s="58">
        <f>K185+1</f>
        <v>11</v>
      </c>
      <c r="M185" s="58">
        <f t="shared" ref="M185:U185" si="2">L185+1</f>
        <v>12</v>
      </c>
      <c r="N185" s="58">
        <f t="shared" si="2"/>
        <v>13</v>
      </c>
      <c r="O185" s="58">
        <f t="shared" si="2"/>
        <v>14</v>
      </c>
      <c r="P185" s="58">
        <f t="shared" si="2"/>
        <v>15</v>
      </c>
      <c r="Q185" s="58">
        <f t="shared" si="2"/>
        <v>16</v>
      </c>
      <c r="R185" s="58">
        <f t="shared" si="2"/>
        <v>17</v>
      </c>
      <c r="S185" s="58">
        <f t="shared" si="2"/>
        <v>18</v>
      </c>
      <c r="T185" s="58">
        <f t="shared" si="2"/>
        <v>19</v>
      </c>
      <c r="U185" s="58">
        <f t="shared" si="2"/>
        <v>20</v>
      </c>
      <c r="V185" s="64" t="s">
        <v>21</v>
      </c>
    </row>
    <row r="186" spans="1:34">
      <c r="A186" s="51" t="s">
        <v>23</v>
      </c>
      <c r="B186" s="59">
        <f>AnnualEquityRecovery</f>
        <v>13979.128660502591</v>
      </c>
      <c r="C186" s="59">
        <f>AnnualEquityRecovery</f>
        <v>13979.128660502591</v>
      </c>
      <c r="D186" s="59">
        <f t="shared" ref="D186:K186" si="3">$B$134</f>
        <v>13979.128660502591</v>
      </c>
      <c r="E186" s="59">
        <f t="shared" si="3"/>
        <v>13979.128660502591</v>
      </c>
      <c r="F186" s="59">
        <f t="shared" si="3"/>
        <v>13979.128660502591</v>
      </c>
      <c r="G186" s="59">
        <f t="shared" si="3"/>
        <v>13979.128660502591</v>
      </c>
      <c r="H186" s="59">
        <f t="shared" si="3"/>
        <v>13979.128660502591</v>
      </c>
      <c r="I186" s="59">
        <f t="shared" si="3"/>
        <v>13979.128660502591</v>
      </c>
      <c r="J186" s="59">
        <f t="shared" si="3"/>
        <v>13979.128660502591</v>
      </c>
      <c r="K186" s="59">
        <f t="shared" si="3"/>
        <v>13979.128660502591</v>
      </c>
      <c r="L186" s="59">
        <f t="shared" ref="L186:U186" si="4">$B$134</f>
        <v>13979.128660502591</v>
      </c>
      <c r="M186" s="59">
        <f t="shared" si="4"/>
        <v>13979.128660502591</v>
      </c>
      <c r="N186" s="59">
        <f t="shared" si="4"/>
        <v>13979.128660502591</v>
      </c>
      <c r="O186" s="59">
        <f t="shared" si="4"/>
        <v>13979.128660502591</v>
      </c>
      <c r="P186" s="59">
        <f t="shared" si="4"/>
        <v>13979.128660502591</v>
      </c>
      <c r="Q186" s="59">
        <f t="shared" si="4"/>
        <v>13979.128660502591</v>
      </c>
      <c r="R186" s="59">
        <f t="shared" si="4"/>
        <v>13979.128660502591</v>
      </c>
      <c r="S186" s="59">
        <f t="shared" si="4"/>
        <v>13979.128660502591</v>
      </c>
      <c r="T186" s="59">
        <f t="shared" si="4"/>
        <v>13979.128660502591</v>
      </c>
      <c r="U186" s="60">
        <f t="shared" si="4"/>
        <v>13979.128660502591</v>
      </c>
      <c r="V186" s="65">
        <f>SUM(B186:U186)</f>
        <v>279582.57321005181</v>
      </c>
      <c r="Y186" s="4"/>
      <c r="Z186" s="4"/>
      <c r="AA186" s="4"/>
      <c r="AB186" s="4"/>
      <c r="AC186" s="4"/>
      <c r="AD186" s="4"/>
      <c r="AE186" s="4"/>
      <c r="AF186" s="4"/>
      <c r="AG186" s="4"/>
      <c r="AH186" s="4"/>
    </row>
    <row r="187" spans="1:34">
      <c r="A187" s="52" t="s">
        <v>24</v>
      </c>
      <c r="B187" s="45">
        <f>CostOfEquity/100*TotalEquityCost</f>
        <v>13125</v>
      </c>
      <c r="C187" s="45">
        <f>CostOfEquity/100*EquityPrincipalRemaining</f>
        <v>12996.88070092461</v>
      </c>
      <c r="D187" s="45">
        <f t="shared" ref="D187:K187" si="5">$B$127/100*C189</f>
        <v>12849.543506987911</v>
      </c>
      <c r="E187" s="45">
        <f t="shared" si="5"/>
        <v>12680.10573396071</v>
      </c>
      <c r="F187" s="45">
        <f>$B$127/100*E189</f>
        <v>12485.252294979429</v>
      </c>
      <c r="G187" s="45">
        <f>$B$127/100*F189</f>
        <v>12261.170840150955</v>
      </c>
      <c r="H187" s="45">
        <f>$B$127/100*G189</f>
        <v>12003.47716709821</v>
      </c>
      <c r="I187" s="45">
        <f>$B$127/100*H189</f>
        <v>11707.129443087553</v>
      </c>
      <c r="J187" s="45">
        <f t="shared" si="5"/>
        <v>11366.329560475298</v>
      </c>
      <c r="K187" s="45">
        <f t="shared" si="5"/>
        <v>10974.409695471204</v>
      </c>
      <c r="L187" s="45">
        <f>$B$127/100*K189</f>
        <v>10523.701850716498</v>
      </c>
      <c r="M187" s="45">
        <f t="shared" ref="M187:U187" si="6">$B$127/100*L189</f>
        <v>10005.387829248584</v>
      </c>
      <c r="N187" s="45">
        <f t="shared" si="6"/>
        <v>9409.3267045604825</v>
      </c>
      <c r="O187" s="45">
        <f t="shared" si="6"/>
        <v>8723.8564111691667</v>
      </c>
      <c r="P187" s="45">
        <f t="shared" si="6"/>
        <v>7935.5655737691532</v>
      </c>
      <c r="Q187" s="45">
        <f t="shared" si="6"/>
        <v>7029.0311107591369</v>
      </c>
      <c r="R187" s="45">
        <f t="shared" si="6"/>
        <v>5986.516478297619</v>
      </c>
      <c r="S187" s="45">
        <f t="shared" si="6"/>
        <v>4787.6246509668727</v>
      </c>
      <c r="T187" s="45">
        <f t="shared" si="6"/>
        <v>3408.8990495365156</v>
      </c>
      <c r="U187" s="61">
        <f t="shared" si="6"/>
        <v>1823.3646078916042</v>
      </c>
      <c r="V187" s="66">
        <f t="shared" ref="V187:V206" si="7">SUM(B187:U187)</f>
        <v>192082.57321005152</v>
      </c>
      <c r="Y187" s="4"/>
      <c r="Z187" s="4"/>
      <c r="AA187" s="4"/>
      <c r="AB187" s="4"/>
      <c r="AC187" s="4"/>
      <c r="AD187" s="4"/>
      <c r="AE187" s="4"/>
      <c r="AF187" s="4"/>
      <c r="AG187" s="4"/>
      <c r="AH187" s="4"/>
    </row>
    <row r="188" spans="1:34">
      <c r="A188" s="52" t="s">
        <v>25</v>
      </c>
      <c r="B188" s="45">
        <f>EquityRecovery-EquityInterest</f>
        <v>854.12866050259072</v>
      </c>
      <c r="C188" s="45">
        <f t="shared" ref="C188:K188" si="8">C186-C187</f>
        <v>982.24795957798051</v>
      </c>
      <c r="D188" s="45">
        <f t="shared" si="8"/>
        <v>1129.5851535146794</v>
      </c>
      <c r="E188" s="45">
        <f t="shared" si="8"/>
        <v>1299.0229265418802</v>
      </c>
      <c r="F188" s="45">
        <f>F186-F187</f>
        <v>1493.8763655231614</v>
      </c>
      <c r="G188" s="45">
        <f>G186-G187</f>
        <v>1717.9578203516357</v>
      </c>
      <c r="H188" s="45">
        <f>H186-H187</f>
        <v>1975.6514934043807</v>
      </c>
      <c r="I188" s="45">
        <f t="shared" si="8"/>
        <v>2271.9992174150375</v>
      </c>
      <c r="J188" s="45">
        <f t="shared" si="8"/>
        <v>2612.7991000272923</v>
      </c>
      <c r="K188" s="45">
        <f t="shared" si="8"/>
        <v>3004.7189650313867</v>
      </c>
      <c r="L188" s="45">
        <f t="shared" ref="L188:U188" si="9">L186-L187</f>
        <v>3455.4268097860931</v>
      </c>
      <c r="M188" s="45">
        <f t="shared" si="9"/>
        <v>3973.7408312540065</v>
      </c>
      <c r="N188" s="45">
        <f t="shared" si="9"/>
        <v>4569.8019559421082</v>
      </c>
      <c r="O188" s="45">
        <f t="shared" si="9"/>
        <v>5255.272249333424</v>
      </c>
      <c r="P188" s="45">
        <f t="shared" si="9"/>
        <v>6043.5630867334376</v>
      </c>
      <c r="Q188" s="45">
        <f t="shared" si="9"/>
        <v>6950.0975497434538</v>
      </c>
      <c r="R188" s="45">
        <f t="shared" si="9"/>
        <v>7992.6121822049718</v>
      </c>
      <c r="S188" s="45">
        <f t="shared" si="9"/>
        <v>9191.5040095357181</v>
      </c>
      <c r="T188" s="45">
        <f t="shared" si="9"/>
        <v>10570.229610966075</v>
      </c>
      <c r="U188" s="61">
        <f t="shared" si="9"/>
        <v>12155.764052610986</v>
      </c>
      <c r="V188" s="66">
        <f t="shared" si="7"/>
        <v>87500.000000000306</v>
      </c>
      <c r="W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</row>
    <row r="189" spans="1:34">
      <c r="A189" s="52" t="s">
        <v>26</v>
      </c>
      <c r="B189" s="45">
        <f>TotalEquityCost-EquityPrincipalPaid</f>
        <v>86645.871339497404</v>
      </c>
      <c r="C189" s="45">
        <f t="shared" ref="C189:K189" si="10">B189-C188</f>
        <v>85663.623379919416</v>
      </c>
      <c r="D189" s="45">
        <f t="shared" si="10"/>
        <v>84534.038226404737</v>
      </c>
      <c r="E189" s="45">
        <f t="shared" si="10"/>
        <v>83235.015299862862</v>
      </c>
      <c r="F189" s="45">
        <f>E189-F188</f>
        <v>81741.138934339702</v>
      </c>
      <c r="G189" s="45">
        <f>F189-G188</f>
        <v>80023.181113988074</v>
      </c>
      <c r="H189" s="45">
        <f>G189-H188</f>
        <v>78047.529620583693</v>
      </c>
      <c r="I189" s="45">
        <f>H189-I188</f>
        <v>75775.530403168654</v>
      </c>
      <c r="J189" s="45">
        <f t="shared" si="10"/>
        <v>73162.731303141365</v>
      </c>
      <c r="K189" s="45">
        <f t="shared" si="10"/>
        <v>70158.012338109984</v>
      </c>
      <c r="L189" s="45">
        <f>K189-L188</f>
        <v>66702.585528323893</v>
      </c>
      <c r="M189" s="45">
        <f t="shared" ref="M189:U189" si="11">L189-M188</f>
        <v>62728.844697069886</v>
      </c>
      <c r="N189" s="45">
        <f t="shared" si="11"/>
        <v>58159.042741127778</v>
      </c>
      <c r="O189" s="45">
        <f t="shared" si="11"/>
        <v>52903.770491794356</v>
      </c>
      <c r="P189" s="45">
        <f t="shared" si="11"/>
        <v>46860.207405060915</v>
      </c>
      <c r="Q189" s="45">
        <f t="shared" si="11"/>
        <v>39910.10985531746</v>
      </c>
      <c r="R189" s="45">
        <f t="shared" si="11"/>
        <v>31917.497673112488</v>
      </c>
      <c r="S189" s="45">
        <f t="shared" si="11"/>
        <v>22725.99366357677</v>
      </c>
      <c r="T189" s="45">
        <f t="shared" si="11"/>
        <v>12155.764052610695</v>
      </c>
      <c r="U189" s="61">
        <f t="shared" si="11"/>
        <v>-2.9103830456733704E-10</v>
      </c>
      <c r="V189" s="67" t="s">
        <v>154</v>
      </c>
      <c r="Y189" s="4"/>
      <c r="Z189" s="4"/>
      <c r="AA189" s="4"/>
      <c r="AB189" s="4"/>
      <c r="AC189" s="4"/>
      <c r="AD189" s="4"/>
      <c r="AE189" s="4"/>
      <c r="AF189" s="4"/>
      <c r="AG189" s="4"/>
      <c r="AH189" s="4"/>
    </row>
    <row r="190" spans="1:34">
      <c r="A190" s="52" t="s">
        <v>27</v>
      </c>
      <c r="B190" s="45">
        <f>AnnualDebtPayment</f>
        <v>63191.037412669408</v>
      </c>
      <c r="C190" s="45">
        <f t="shared" ref="C190:K190" si="12">$B$135</f>
        <v>63191.037412669408</v>
      </c>
      <c r="D190" s="45">
        <f t="shared" si="12"/>
        <v>63191.037412669408</v>
      </c>
      <c r="E190" s="45">
        <f t="shared" si="12"/>
        <v>63191.037412669408</v>
      </c>
      <c r="F190" s="45">
        <f t="shared" si="12"/>
        <v>63191.037412669408</v>
      </c>
      <c r="G190" s="45">
        <f t="shared" si="12"/>
        <v>63191.037412669408</v>
      </c>
      <c r="H190" s="45">
        <f t="shared" si="12"/>
        <v>63191.037412669408</v>
      </c>
      <c r="I190" s="45">
        <f t="shared" si="12"/>
        <v>63191.037412669408</v>
      </c>
      <c r="J190" s="45">
        <f t="shared" si="12"/>
        <v>63191.037412669408</v>
      </c>
      <c r="K190" s="45">
        <f t="shared" si="12"/>
        <v>63191.037412669408</v>
      </c>
      <c r="L190" s="45">
        <f t="shared" ref="L190:U190" si="13">$B$135</f>
        <v>63191.037412669408</v>
      </c>
      <c r="M190" s="45">
        <f t="shared" si="13"/>
        <v>63191.037412669408</v>
      </c>
      <c r="N190" s="45">
        <f t="shared" si="13"/>
        <v>63191.037412669408</v>
      </c>
      <c r="O190" s="45">
        <f t="shared" si="13"/>
        <v>63191.037412669408</v>
      </c>
      <c r="P190" s="45">
        <f t="shared" si="13"/>
        <v>63191.037412669408</v>
      </c>
      <c r="Q190" s="45">
        <f t="shared" si="13"/>
        <v>63191.037412669408</v>
      </c>
      <c r="R190" s="45">
        <f t="shared" si="13"/>
        <v>63191.037412669408</v>
      </c>
      <c r="S190" s="45">
        <f t="shared" si="13"/>
        <v>63191.037412669408</v>
      </c>
      <c r="T190" s="45">
        <f t="shared" si="13"/>
        <v>63191.037412669408</v>
      </c>
      <c r="U190" s="61">
        <f t="shared" si="13"/>
        <v>63191.037412669408</v>
      </c>
      <c r="V190" s="66">
        <f t="shared" si="7"/>
        <v>1263820.7482533883</v>
      </c>
      <c r="Y190" s="4"/>
      <c r="Z190" s="4"/>
      <c r="AA190" s="4"/>
      <c r="AB190" s="4"/>
      <c r="AC190" s="4"/>
      <c r="AD190" s="4"/>
      <c r="AE190" s="4"/>
      <c r="AF190" s="4"/>
      <c r="AG190" s="4"/>
      <c r="AH190" s="4"/>
    </row>
    <row r="191" spans="1:34">
      <c r="A191" s="52" t="s">
        <v>28</v>
      </c>
      <c r="B191" s="45">
        <f>InterestRateOnDebt/100*TotalDebtCost</f>
        <v>39375</v>
      </c>
      <c r="C191" s="45">
        <f t="shared" ref="C191:K191" si="14">$B$125/100*B193</f>
        <v>38184.19812936653</v>
      </c>
      <c r="D191" s="45">
        <f t="shared" si="14"/>
        <v>36933.856165201389</v>
      </c>
      <c r="E191" s="45">
        <f t="shared" si="14"/>
        <v>35620.997102827991</v>
      </c>
      <c r="F191" s="45">
        <f>$B$125/100*E193</f>
        <v>34242.495087335919</v>
      </c>
      <c r="G191" s="45">
        <f>$B$125/100*F193</f>
        <v>32795.067971069242</v>
      </c>
      <c r="H191" s="45">
        <f>$B$125/100*G193</f>
        <v>31275.269498989237</v>
      </c>
      <c r="I191" s="45">
        <f>$B$125/100*H193</f>
        <v>29679.481103305228</v>
      </c>
      <c r="J191" s="45">
        <f t="shared" si="14"/>
        <v>28003.90328783702</v>
      </c>
      <c r="K191" s="45">
        <f t="shared" si="14"/>
        <v>26244.546581595405</v>
      </c>
      <c r="L191" s="45">
        <f>$B$125/100*K193</f>
        <v>24397.222040041703</v>
      </c>
      <c r="M191" s="45">
        <f t="shared" ref="M191:U191" si="15">$B$125/100*L193</f>
        <v>22457.53127141032</v>
      </c>
      <c r="N191" s="45">
        <f t="shared" si="15"/>
        <v>20420.855964347364</v>
      </c>
      <c r="O191" s="45">
        <f t="shared" si="15"/>
        <v>18282.346891931262</v>
      </c>
      <c r="P191" s="45">
        <f t="shared" si="15"/>
        <v>16036.912365894355</v>
      </c>
      <c r="Q191" s="45">
        <f t="shared" si="15"/>
        <v>13679.206113555603</v>
      </c>
      <c r="R191" s="45">
        <f t="shared" si="15"/>
        <v>11203.614548599913</v>
      </c>
      <c r="S191" s="45">
        <f t="shared" si="15"/>
        <v>8604.2434053964371</v>
      </c>
      <c r="T191" s="45">
        <f t="shared" si="15"/>
        <v>5874.9037050327897</v>
      </c>
      <c r="U191" s="61">
        <f t="shared" si="15"/>
        <v>3009.0970196509584</v>
      </c>
      <c r="V191" s="66">
        <f t="shared" si="7"/>
        <v>476320.74825338868</v>
      </c>
      <c r="Y191" s="4"/>
      <c r="Z191" s="4"/>
      <c r="AA191" s="4"/>
      <c r="AB191" s="4"/>
      <c r="AC191" s="4"/>
      <c r="AD191" s="4"/>
      <c r="AE191" s="4"/>
      <c r="AF191" s="4"/>
      <c r="AG191" s="4"/>
      <c r="AH191" s="4"/>
    </row>
    <row r="192" spans="1:34">
      <c r="A192" s="52" t="s">
        <v>29</v>
      </c>
      <c r="B192" s="45">
        <f>RebtRecovery-DebtInterest</f>
        <v>23816.037412669408</v>
      </c>
      <c r="C192" s="45">
        <f t="shared" ref="C192:K192" si="16">C190-C191</f>
        <v>25006.839283302877</v>
      </c>
      <c r="D192" s="45">
        <f t="shared" si="16"/>
        <v>26257.181247468019</v>
      </c>
      <c r="E192" s="45">
        <f t="shared" si="16"/>
        <v>27570.040309841417</v>
      </c>
      <c r="F192" s="45">
        <f>F190-F191</f>
        <v>28948.542325333488</v>
      </c>
      <c r="G192" s="45">
        <f>G190-G191</f>
        <v>30395.969441600166</v>
      </c>
      <c r="H192" s="45">
        <f>H190-H191</f>
        <v>31915.767913680171</v>
      </c>
      <c r="I192" s="45">
        <f t="shared" si="16"/>
        <v>33511.556309364183</v>
      </c>
      <c r="J192" s="45">
        <f t="shared" si="16"/>
        <v>35187.134124832388</v>
      </c>
      <c r="K192" s="45">
        <f t="shared" si="16"/>
        <v>36946.490831073999</v>
      </c>
      <c r="L192" s="45">
        <f t="shared" ref="L192:U192" si="17">L190-L191</f>
        <v>38793.815372627709</v>
      </c>
      <c r="M192" s="45">
        <f t="shared" si="17"/>
        <v>40733.506141259088</v>
      </c>
      <c r="N192" s="45">
        <f t="shared" si="17"/>
        <v>42770.181448322044</v>
      </c>
      <c r="O192" s="45">
        <f t="shared" si="17"/>
        <v>44908.69052073815</v>
      </c>
      <c r="P192" s="45">
        <f t="shared" si="17"/>
        <v>47154.125046775051</v>
      </c>
      <c r="Q192" s="45">
        <f t="shared" si="17"/>
        <v>49511.831299113808</v>
      </c>
      <c r="R192" s="45">
        <f t="shared" si="17"/>
        <v>51987.422864069493</v>
      </c>
      <c r="S192" s="45">
        <f t="shared" si="17"/>
        <v>54586.794007272969</v>
      </c>
      <c r="T192" s="45">
        <f t="shared" si="17"/>
        <v>57316.133707636618</v>
      </c>
      <c r="U192" s="61">
        <f t="shared" si="17"/>
        <v>60181.940393018449</v>
      </c>
      <c r="V192" s="66">
        <f t="shared" si="7"/>
        <v>787499.9999999993</v>
      </c>
      <c r="W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</row>
    <row r="193" spans="1:34">
      <c r="A193" s="52" t="s">
        <v>30</v>
      </c>
      <c r="B193" s="45">
        <f>TotalDebtCost-DebtPrincipalPaid</f>
        <v>763683.96258733061</v>
      </c>
      <c r="C193" s="45">
        <f t="shared" ref="C193:K193" si="18">B193-C192</f>
        <v>738677.12330402771</v>
      </c>
      <c r="D193" s="45">
        <f t="shared" si="18"/>
        <v>712419.94205655972</v>
      </c>
      <c r="E193" s="45">
        <f t="shared" si="18"/>
        <v>684849.90174671833</v>
      </c>
      <c r="F193" s="45">
        <f>E193-F192</f>
        <v>655901.35942138487</v>
      </c>
      <c r="G193" s="45">
        <f>F193-G192</f>
        <v>625505.38997978473</v>
      </c>
      <c r="H193" s="45">
        <f>G193-H192</f>
        <v>593589.62206610455</v>
      </c>
      <c r="I193" s="45">
        <f>H193-I192</f>
        <v>560078.0657567404</v>
      </c>
      <c r="J193" s="45">
        <f t="shared" si="18"/>
        <v>524890.93163190805</v>
      </c>
      <c r="K193" s="45">
        <f t="shared" si="18"/>
        <v>487944.44080083404</v>
      </c>
      <c r="L193" s="45">
        <f>K193-L192</f>
        <v>449150.62542820635</v>
      </c>
      <c r="M193" s="45">
        <f t="shared" ref="M193:U193" si="19">L193-M192</f>
        <v>408417.11928694724</v>
      </c>
      <c r="N193" s="45">
        <f t="shared" si="19"/>
        <v>365646.93783862522</v>
      </c>
      <c r="O193" s="45">
        <f t="shared" si="19"/>
        <v>320738.24731788709</v>
      </c>
      <c r="P193" s="45">
        <f t="shared" si="19"/>
        <v>273584.12227111205</v>
      </c>
      <c r="Q193" s="45">
        <f t="shared" si="19"/>
        <v>224072.29097199824</v>
      </c>
      <c r="R193" s="45">
        <f t="shared" si="19"/>
        <v>172084.86810792875</v>
      </c>
      <c r="S193" s="45">
        <f t="shared" si="19"/>
        <v>117498.07410065578</v>
      </c>
      <c r="T193" s="45">
        <f t="shared" si="19"/>
        <v>60181.940393019162</v>
      </c>
      <c r="U193" s="61">
        <f t="shared" si="19"/>
        <v>7.1304384618997574E-10</v>
      </c>
      <c r="V193" s="67" t="s">
        <v>154</v>
      </c>
      <c r="Y193" s="4"/>
      <c r="Z193" s="4"/>
      <c r="AA193" s="4"/>
      <c r="AB193" s="4"/>
      <c r="AC193" s="4"/>
      <c r="AD193" s="4"/>
      <c r="AE193" s="4"/>
      <c r="AF193" s="4"/>
      <c r="AG193" s="4"/>
      <c r="AH193" s="4"/>
    </row>
    <row r="194" spans="1:34">
      <c r="A194" s="52" t="s">
        <v>214</v>
      </c>
      <c r="B194" s="45">
        <f>AnnualBiomassConsumptionDryMass*BiomassFuelCost</f>
        <v>84987.142581893786</v>
      </c>
      <c r="C194" s="45">
        <f>BiomassFuelCostCF*(1+EscalationBiomassFuel/100)^(Year-1)</f>
        <v>86771.872576113543</v>
      </c>
      <c r="D194" s="45">
        <f t="shared" ref="D194:U194" si="20">$B$194*(1+$B$115/100)^(D185-1)</f>
        <v>88594.081900211924</v>
      </c>
      <c r="E194" s="45">
        <f t="shared" si="20"/>
        <v>90454.557620116364</v>
      </c>
      <c r="F194" s="45">
        <f t="shared" si="20"/>
        <v>92354.103330138794</v>
      </c>
      <c r="G194" s="45">
        <f t="shared" si="20"/>
        <v>94293.539500071696</v>
      </c>
      <c r="H194" s="45">
        <f t="shared" si="20"/>
        <v>96273.703829573191</v>
      </c>
      <c r="I194" s="45">
        <f t="shared" si="20"/>
        <v>98295.451609994212</v>
      </c>
      <c r="J194" s="45">
        <f t="shared" si="20"/>
        <v>100359.65609380408</v>
      </c>
      <c r="K194" s="45">
        <f t="shared" si="20"/>
        <v>102467.20887177394</v>
      </c>
      <c r="L194" s="45">
        <f t="shared" si="20"/>
        <v>104619.02025808119</v>
      </c>
      <c r="M194" s="45">
        <f t="shared" si="20"/>
        <v>106816.0196835009</v>
      </c>
      <c r="N194" s="45">
        <f t="shared" si="20"/>
        <v>109059.15609685438</v>
      </c>
      <c r="O194" s="45">
        <f t="shared" si="20"/>
        <v>111349.3983748883</v>
      </c>
      <c r="P194" s="45">
        <f t="shared" si="20"/>
        <v>113687.73574076097</v>
      </c>
      <c r="Q194" s="45">
        <f t="shared" si="20"/>
        <v>116075.17819131693</v>
      </c>
      <c r="R194" s="45">
        <f t="shared" si="20"/>
        <v>118512.75693333457</v>
      </c>
      <c r="S194" s="45">
        <f t="shared" si="20"/>
        <v>121001.52482893459</v>
      </c>
      <c r="T194" s="45">
        <f t="shared" si="20"/>
        <v>123542.55685034218</v>
      </c>
      <c r="U194" s="61">
        <f t="shared" si="20"/>
        <v>126136.95054419937</v>
      </c>
      <c r="V194" s="66">
        <f t="shared" si="7"/>
        <v>2085651.6154159051</v>
      </c>
      <c r="Y194" s="4"/>
      <c r="Z194" s="4"/>
      <c r="AA194" s="4"/>
      <c r="AB194" s="4"/>
      <c r="AC194" s="4"/>
      <c r="AD194" s="4"/>
      <c r="AE194" s="4"/>
      <c r="AF194" s="4"/>
      <c r="AG194" s="4"/>
      <c r="AH194" s="4"/>
    </row>
    <row r="195" spans="1:34">
      <c r="A195" s="52" t="s">
        <v>215</v>
      </c>
      <c r="B195" s="45">
        <f>AnnualDualFuelConsumption*DualFuelCost</f>
        <v>90404.204491161014</v>
      </c>
      <c r="C195" s="45">
        <f>DualFuelCostCF*(1+EscalationDualFuel/100)^(Year-1)</f>
        <v>92302.692785475389</v>
      </c>
      <c r="D195" s="45">
        <f t="shared" ref="D195:U195" si="21">$B195*(1+$B$116/100)^(D185-1)</f>
        <v>94241.049333970353</v>
      </c>
      <c r="E195" s="45">
        <f t="shared" si="21"/>
        <v>96220.11136998373</v>
      </c>
      <c r="F195" s="45">
        <f t="shared" si="21"/>
        <v>98240.733708753367</v>
      </c>
      <c r="G195" s="45">
        <f t="shared" si="21"/>
        <v>100303.78911663717</v>
      </c>
      <c r="H195" s="45">
        <f t="shared" si="21"/>
        <v>102410.16868808655</v>
      </c>
      <c r="I195" s="45">
        <f t="shared" si="21"/>
        <v>104560.78223053635</v>
      </c>
      <c r="J195" s="45">
        <f t="shared" si="21"/>
        <v>106756.55865737759</v>
      </c>
      <c r="K195" s="45">
        <f t="shared" si="21"/>
        <v>108998.44638918251</v>
      </c>
      <c r="L195" s="45">
        <f t="shared" si="21"/>
        <v>111287.41376335533</v>
      </c>
      <c r="M195" s="45">
        <f t="shared" si="21"/>
        <v>113624.44945238579</v>
      </c>
      <c r="N195" s="45">
        <f t="shared" si="21"/>
        <v>116010.56289088586</v>
      </c>
      <c r="O195" s="45">
        <f t="shared" si="21"/>
        <v>118446.78471159445</v>
      </c>
      <c r="P195" s="45">
        <f t="shared" si="21"/>
        <v>120934.16719053793</v>
      </c>
      <c r="Q195" s="45">
        <f t="shared" si="21"/>
        <v>123473.7847015392</v>
      </c>
      <c r="R195" s="45">
        <f t="shared" si="21"/>
        <v>126066.73418027152</v>
      </c>
      <c r="S195" s="45">
        <f t="shared" si="21"/>
        <v>128714.13559805723</v>
      </c>
      <c r="T195" s="45">
        <f t="shared" si="21"/>
        <v>131417.13244561639</v>
      </c>
      <c r="U195" s="45">
        <f t="shared" si="21"/>
        <v>134176.89222697433</v>
      </c>
      <c r="V195" s="66">
        <f t="shared" si="7"/>
        <v>2218590.5939323823</v>
      </c>
      <c r="Y195" s="4"/>
      <c r="Z195" s="4"/>
      <c r="AA195" s="4"/>
      <c r="AB195" s="4"/>
      <c r="AC195" s="4"/>
      <c r="AD195" s="4"/>
      <c r="AE195" s="4"/>
      <c r="AF195" s="4"/>
      <c r="AG195" s="4"/>
      <c r="AH195" s="4"/>
    </row>
    <row r="196" spans="1:34">
      <c r="A196" s="52" t="s">
        <v>31</v>
      </c>
      <c r="B196" s="45">
        <f>TotalNonFuelExpenses</f>
        <v>30000</v>
      </c>
      <c r="C196" s="45">
        <f>NonFuelExpensesCF*(1+EscalationOther/100)^(Year-1)</f>
        <v>30629.999999999996</v>
      </c>
      <c r="D196" s="45">
        <f t="shared" ref="D196:U196" si="22">$B$196*(1+$B$120/100)^(D185-1)</f>
        <v>31273.229999999992</v>
      </c>
      <c r="E196" s="45">
        <f t="shared" si="22"/>
        <v>31929.96782999999</v>
      </c>
      <c r="F196" s="45">
        <f t="shared" si="22"/>
        <v>32600.497154429984</v>
      </c>
      <c r="G196" s="45">
        <f t="shared" si="22"/>
        <v>33285.107594673012</v>
      </c>
      <c r="H196" s="45">
        <f t="shared" si="22"/>
        <v>33984.094854161143</v>
      </c>
      <c r="I196" s="45">
        <f t="shared" si="22"/>
        <v>34697.760846098521</v>
      </c>
      <c r="J196" s="45">
        <f t="shared" si="22"/>
        <v>35426.413823866584</v>
      </c>
      <c r="K196" s="45">
        <f t="shared" si="22"/>
        <v>36170.368514167778</v>
      </c>
      <c r="L196" s="45">
        <f t="shared" si="22"/>
        <v>36929.946252965296</v>
      </c>
      <c r="M196" s="45">
        <f t="shared" si="22"/>
        <v>37705.475124277567</v>
      </c>
      <c r="N196" s="45">
        <f t="shared" si="22"/>
        <v>38497.290101887382</v>
      </c>
      <c r="O196" s="45">
        <f t="shared" si="22"/>
        <v>39305.733194027016</v>
      </c>
      <c r="P196" s="45">
        <f t="shared" si="22"/>
        <v>40131.153591101582</v>
      </c>
      <c r="Q196" s="45">
        <f t="shared" si="22"/>
        <v>40973.907816514708</v>
      </c>
      <c r="R196" s="45">
        <f t="shared" si="22"/>
        <v>41834.359880661512</v>
      </c>
      <c r="S196" s="45">
        <f t="shared" si="22"/>
        <v>42712.881438155404</v>
      </c>
      <c r="T196" s="45">
        <f t="shared" si="22"/>
        <v>43609.851948356656</v>
      </c>
      <c r="U196" s="61">
        <f t="shared" si="22"/>
        <v>44525.658839272146</v>
      </c>
      <c r="V196" s="66">
        <f t="shared" si="7"/>
        <v>736223.69880461623</v>
      </c>
      <c r="Y196" s="4"/>
      <c r="Z196" s="4"/>
      <c r="AA196" s="4"/>
      <c r="AB196" s="4"/>
      <c r="AC196" s="4"/>
      <c r="AD196" s="4"/>
      <c r="AE196" s="4"/>
      <c r="AF196" s="4"/>
      <c r="AG196" s="4"/>
      <c r="AH196" s="4"/>
    </row>
    <row r="197" spans="1:34">
      <c r="A197" s="52" t="s">
        <v>32</v>
      </c>
      <c r="B197" s="45">
        <f>DebtReserve</f>
        <v>63191.037412669408</v>
      </c>
      <c r="C197" s="45">
        <v>0</v>
      </c>
      <c r="D197" s="45">
        <v>0</v>
      </c>
      <c r="E197" s="45">
        <v>0</v>
      </c>
      <c r="F197" s="45">
        <v>0</v>
      </c>
      <c r="G197" s="45">
        <v>0</v>
      </c>
      <c r="H197" s="45">
        <v>0</v>
      </c>
      <c r="I197" s="45">
        <v>0</v>
      </c>
      <c r="J197" s="45">
        <v>0</v>
      </c>
      <c r="K197" s="45">
        <v>0</v>
      </c>
      <c r="L197" s="45">
        <v>0</v>
      </c>
      <c r="M197" s="45">
        <v>0</v>
      </c>
      <c r="N197" s="45">
        <v>0</v>
      </c>
      <c r="O197" s="45">
        <v>0</v>
      </c>
      <c r="P197" s="45">
        <v>0</v>
      </c>
      <c r="Q197" s="45">
        <v>0</v>
      </c>
      <c r="R197" s="45">
        <v>0</v>
      </c>
      <c r="S197" s="45">
        <v>0</v>
      </c>
      <c r="T197" s="45">
        <v>0</v>
      </c>
      <c r="U197" s="61">
        <f>-B197</f>
        <v>-63191.037412669408</v>
      </c>
      <c r="V197" s="66">
        <f t="shared" si="7"/>
        <v>0</v>
      </c>
      <c r="Y197" s="4"/>
      <c r="Z197" s="4"/>
      <c r="AA197" s="4"/>
      <c r="AB197" s="4"/>
      <c r="AC197" s="4"/>
      <c r="AD197" s="4"/>
      <c r="AE197" s="4"/>
      <c r="AF197" s="4"/>
      <c r="AG197" s="4"/>
      <c r="AH197" s="4"/>
    </row>
    <row r="198" spans="1:34">
      <c r="A198" s="52" t="s">
        <v>33</v>
      </c>
      <c r="B198" s="45">
        <f>TotalCostOfPlant*B140</f>
        <v>43750</v>
      </c>
      <c r="C198" s="45">
        <f>TotalCostOfPlant*B141</f>
        <v>43750</v>
      </c>
      <c r="D198" s="45">
        <f>$B$129*$B142</f>
        <v>43750</v>
      </c>
      <c r="E198" s="45">
        <f>$B$129*$B143</f>
        <v>43750</v>
      </c>
      <c r="F198" s="45">
        <f>$B$129*$B144</f>
        <v>43750</v>
      </c>
      <c r="G198" s="45">
        <f>$B$129*$B145</f>
        <v>43750</v>
      </c>
      <c r="H198" s="45">
        <f>$B$129*$B146</f>
        <v>43750</v>
      </c>
      <c r="I198" s="45">
        <f>$B$129*$B147</f>
        <v>43750</v>
      </c>
      <c r="J198" s="45">
        <f>$B$129*$B148</f>
        <v>43750</v>
      </c>
      <c r="K198" s="45">
        <f>$B$129*$B149</f>
        <v>43750</v>
      </c>
      <c r="L198" s="45">
        <f>$B$129*$B150</f>
        <v>43750</v>
      </c>
      <c r="M198" s="45">
        <f>$B$129*$B151</f>
        <v>43750</v>
      </c>
      <c r="N198" s="45">
        <f>$B$129*$B152</f>
        <v>43750</v>
      </c>
      <c r="O198" s="45">
        <f>$B$129*$B153</f>
        <v>43750</v>
      </c>
      <c r="P198" s="45">
        <f>$B$129*$B154</f>
        <v>43750</v>
      </c>
      <c r="Q198" s="45">
        <f>$B$129*$B155</f>
        <v>43750</v>
      </c>
      <c r="R198" s="45">
        <f>$B$129*$B156</f>
        <v>43750</v>
      </c>
      <c r="S198" s="45">
        <f>$B$129*$B157</f>
        <v>43750</v>
      </c>
      <c r="T198" s="45">
        <f>$B$129*$B158</f>
        <v>43750</v>
      </c>
      <c r="U198" s="61">
        <f>$B$129*$B159</f>
        <v>43750</v>
      </c>
      <c r="V198" s="66">
        <f t="shared" si="7"/>
        <v>875000</v>
      </c>
      <c r="Y198" s="4"/>
      <c r="Z198" s="4"/>
      <c r="AA198" s="4"/>
      <c r="AB198" s="4"/>
      <c r="AC198" s="4"/>
      <c r="AD198" s="4"/>
      <c r="AE198" s="4"/>
      <c r="AF198" s="4"/>
      <c r="AG198" s="4"/>
      <c r="AH198" s="4"/>
    </row>
    <row r="199" spans="1:34">
      <c r="A199" s="52" t="s">
        <v>162</v>
      </c>
      <c r="B199" s="45">
        <f>AnnualCapacityPayment</f>
        <v>0</v>
      </c>
      <c r="C199" s="45">
        <f t="shared" ref="C199:U199" si="23">$B$109</f>
        <v>0</v>
      </c>
      <c r="D199" s="45">
        <f t="shared" si="23"/>
        <v>0</v>
      </c>
      <c r="E199" s="45">
        <f t="shared" si="23"/>
        <v>0</v>
      </c>
      <c r="F199" s="45">
        <f t="shared" si="23"/>
        <v>0</v>
      </c>
      <c r="G199" s="45">
        <f t="shared" si="23"/>
        <v>0</v>
      </c>
      <c r="H199" s="45">
        <f t="shared" si="23"/>
        <v>0</v>
      </c>
      <c r="I199" s="45">
        <f t="shared" si="23"/>
        <v>0</v>
      </c>
      <c r="J199" s="45">
        <f t="shared" si="23"/>
        <v>0</v>
      </c>
      <c r="K199" s="45">
        <f t="shared" si="23"/>
        <v>0</v>
      </c>
      <c r="L199" s="45">
        <f t="shared" si="23"/>
        <v>0</v>
      </c>
      <c r="M199" s="45">
        <f t="shared" si="23"/>
        <v>0</v>
      </c>
      <c r="N199" s="45">
        <f t="shared" si="23"/>
        <v>0</v>
      </c>
      <c r="O199" s="45">
        <f t="shared" si="23"/>
        <v>0</v>
      </c>
      <c r="P199" s="45">
        <f t="shared" si="23"/>
        <v>0</v>
      </c>
      <c r="Q199" s="45">
        <f t="shared" si="23"/>
        <v>0</v>
      </c>
      <c r="R199" s="45">
        <f t="shared" si="23"/>
        <v>0</v>
      </c>
      <c r="S199" s="45">
        <f t="shared" si="23"/>
        <v>0</v>
      </c>
      <c r="T199" s="45">
        <f t="shared" si="23"/>
        <v>0</v>
      </c>
      <c r="U199" s="61">
        <f t="shared" si="23"/>
        <v>0</v>
      </c>
      <c r="V199" s="66">
        <f t="shared" si="7"/>
        <v>0</v>
      </c>
      <c r="Y199" s="4"/>
      <c r="Z199" s="4"/>
      <c r="AA199" s="4"/>
      <c r="AB199" s="4"/>
      <c r="AC199" s="4"/>
      <c r="AD199" s="4"/>
      <c r="AE199" s="4"/>
      <c r="AF199" s="4"/>
      <c r="AG199" s="4"/>
      <c r="AH199" s="4"/>
    </row>
    <row r="200" spans="1:34">
      <c r="A200" s="52" t="s">
        <v>163</v>
      </c>
      <c r="B200" s="45">
        <f>TotalIncomeFromHeatSales</f>
        <v>56735.282608695656</v>
      </c>
      <c r="C200" s="45">
        <f>HeatIncome*(1+EscalationHeatSales/100)^(Year-1)</f>
        <v>57926.723543478256</v>
      </c>
      <c r="D200" s="45">
        <f t="shared" ref="D200:U200" si="24">$B200*(1+$B$118/100)^(D185-1)</f>
        <v>59143.184737891293</v>
      </c>
      <c r="E200" s="45">
        <f t="shared" si="24"/>
        <v>60385.191617387005</v>
      </c>
      <c r="F200" s="45">
        <f t="shared" si="24"/>
        <v>61653.280641352125</v>
      </c>
      <c r="G200" s="45">
        <f t="shared" si="24"/>
        <v>62947.999534820512</v>
      </c>
      <c r="H200" s="45">
        <f t="shared" si="24"/>
        <v>64269.907525051734</v>
      </c>
      <c r="I200" s="45">
        <f t="shared" si="24"/>
        <v>65619.575583077807</v>
      </c>
      <c r="J200" s="45">
        <f t="shared" si="24"/>
        <v>66997.586670322431</v>
      </c>
      <c r="K200" s="45">
        <f t="shared" si="24"/>
        <v>68404.535990399192</v>
      </c>
      <c r="L200" s="45">
        <f t="shared" si="24"/>
        <v>69841.03124619757</v>
      </c>
      <c r="M200" s="45">
        <f t="shared" si="24"/>
        <v>71307.692902367722</v>
      </c>
      <c r="N200" s="45">
        <f t="shared" si="24"/>
        <v>72805.154453317416</v>
      </c>
      <c r="O200" s="45">
        <f t="shared" si="24"/>
        <v>74334.062696837078</v>
      </c>
      <c r="P200" s="45">
        <f t="shared" si="24"/>
        <v>75895.078013470658</v>
      </c>
      <c r="Q200" s="45">
        <f t="shared" si="24"/>
        <v>77488.874651753518</v>
      </c>
      <c r="R200" s="45">
        <f t="shared" si="24"/>
        <v>79116.141019440343</v>
      </c>
      <c r="S200" s="45">
        <f t="shared" si="24"/>
        <v>80777.57998084859</v>
      </c>
      <c r="T200" s="45">
        <f t="shared" si="24"/>
        <v>82473.90916044639</v>
      </c>
      <c r="U200" s="61">
        <f t="shared" si="24"/>
        <v>84205.861252815768</v>
      </c>
      <c r="V200" s="66">
        <f t="shared" si="7"/>
        <v>1392328.6538299709</v>
      </c>
      <c r="Y200" s="4"/>
      <c r="Z200" s="4"/>
      <c r="AA200" s="4"/>
      <c r="AB200" s="4"/>
      <c r="AC200" s="4"/>
      <c r="AD200" s="4"/>
      <c r="AE200" s="4"/>
      <c r="AF200" s="4"/>
      <c r="AG200" s="4"/>
      <c r="AH200" s="4"/>
    </row>
    <row r="201" spans="1:34">
      <c r="A201" s="52" t="s">
        <v>208</v>
      </c>
      <c r="B201" s="45">
        <f>AnnualIncomeFromChar</f>
        <v>0</v>
      </c>
      <c r="C201" s="45">
        <f>$B201*(1+$B$119/100)^(C185-1)</f>
        <v>0</v>
      </c>
      <c r="D201" s="45">
        <f t="shared" ref="D201:U201" si="25">$B201*(1+$B$119/100)^(D185-1)</f>
        <v>0</v>
      </c>
      <c r="E201" s="45">
        <f t="shared" si="25"/>
        <v>0</v>
      </c>
      <c r="F201" s="45">
        <f t="shared" si="25"/>
        <v>0</v>
      </c>
      <c r="G201" s="45">
        <f t="shared" si="25"/>
        <v>0</v>
      </c>
      <c r="H201" s="45">
        <f t="shared" si="25"/>
        <v>0</v>
      </c>
      <c r="I201" s="45">
        <f t="shared" si="25"/>
        <v>0</v>
      </c>
      <c r="J201" s="45">
        <f t="shared" si="25"/>
        <v>0</v>
      </c>
      <c r="K201" s="45">
        <f t="shared" si="25"/>
        <v>0</v>
      </c>
      <c r="L201" s="45">
        <f t="shared" si="25"/>
        <v>0</v>
      </c>
      <c r="M201" s="45">
        <f t="shared" si="25"/>
        <v>0</v>
      </c>
      <c r="N201" s="45">
        <f t="shared" si="25"/>
        <v>0</v>
      </c>
      <c r="O201" s="45">
        <f t="shared" si="25"/>
        <v>0</v>
      </c>
      <c r="P201" s="45">
        <f t="shared" si="25"/>
        <v>0</v>
      </c>
      <c r="Q201" s="45">
        <f t="shared" si="25"/>
        <v>0</v>
      </c>
      <c r="R201" s="45">
        <f t="shared" si="25"/>
        <v>0</v>
      </c>
      <c r="S201" s="45">
        <f t="shared" si="25"/>
        <v>0</v>
      </c>
      <c r="T201" s="45">
        <f t="shared" si="25"/>
        <v>0</v>
      </c>
      <c r="U201" s="45">
        <f t="shared" si="25"/>
        <v>0</v>
      </c>
      <c r="V201" s="66">
        <f t="shared" si="7"/>
        <v>0</v>
      </c>
      <c r="Y201" s="4"/>
      <c r="Z201" s="4"/>
      <c r="AA201" s="4"/>
      <c r="AB201" s="4"/>
      <c r="AC201" s="4"/>
      <c r="AD201" s="4"/>
      <c r="AE201" s="4"/>
      <c r="AF201" s="4"/>
      <c r="AG201" s="4"/>
      <c r="AH201" s="4"/>
    </row>
    <row r="202" spans="1:34">
      <c r="A202" s="52" t="s">
        <v>34</v>
      </c>
      <c r="B202" s="45">
        <f>AnnualDebtReserveInterest</f>
        <v>1263.820748253388</v>
      </c>
      <c r="C202" s="45">
        <f t="shared" ref="C202:U202" si="26">$B$110</f>
        <v>1263.820748253388</v>
      </c>
      <c r="D202" s="45">
        <f t="shared" si="26"/>
        <v>1263.820748253388</v>
      </c>
      <c r="E202" s="45">
        <f t="shared" si="26"/>
        <v>1263.820748253388</v>
      </c>
      <c r="F202" s="45">
        <f t="shared" si="26"/>
        <v>1263.820748253388</v>
      </c>
      <c r="G202" s="45">
        <f t="shared" si="26"/>
        <v>1263.820748253388</v>
      </c>
      <c r="H202" s="45">
        <f t="shared" si="26"/>
        <v>1263.820748253388</v>
      </c>
      <c r="I202" s="45">
        <f t="shared" si="26"/>
        <v>1263.820748253388</v>
      </c>
      <c r="J202" s="45">
        <f t="shared" si="26"/>
        <v>1263.820748253388</v>
      </c>
      <c r="K202" s="45">
        <f t="shared" si="26"/>
        <v>1263.820748253388</v>
      </c>
      <c r="L202" s="45">
        <f t="shared" si="26"/>
        <v>1263.820748253388</v>
      </c>
      <c r="M202" s="45">
        <f t="shared" si="26"/>
        <v>1263.820748253388</v>
      </c>
      <c r="N202" s="45">
        <f t="shared" si="26"/>
        <v>1263.820748253388</v>
      </c>
      <c r="O202" s="45">
        <f t="shared" si="26"/>
        <v>1263.820748253388</v>
      </c>
      <c r="P202" s="45">
        <f t="shared" si="26"/>
        <v>1263.820748253388</v>
      </c>
      <c r="Q202" s="45">
        <f t="shared" si="26"/>
        <v>1263.820748253388</v>
      </c>
      <c r="R202" s="45">
        <f t="shared" si="26"/>
        <v>1263.820748253388</v>
      </c>
      <c r="S202" s="45">
        <f t="shared" si="26"/>
        <v>1263.820748253388</v>
      </c>
      <c r="T202" s="45">
        <f t="shared" si="26"/>
        <v>1263.820748253388</v>
      </c>
      <c r="U202" s="61">
        <f t="shared" si="26"/>
        <v>1263.820748253388</v>
      </c>
      <c r="V202" s="66">
        <f t="shared" si="7"/>
        <v>25276.41496506775</v>
      </c>
      <c r="Y202" s="4"/>
      <c r="Z202" s="4"/>
      <c r="AA202" s="4"/>
      <c r="AB202" s="4"/>
      <c r="AC202" s="4"/>
      <c r="AD202" s="4"/>
      <c r="AE202" s="4"/>
      <c r="AF202" s="4"/>
      <c r="AG202" s="4"/>
      <c r="AH202" s="4"/>
    </row>
    <row r="203" spans="1:34">
      <c r="A203" s="52" t="s">
        <v>110</v>
      </c>
      <c r="B203" s="45">
        <f>((CombinedTaxRate/100)/(1-CombinedTaxRate/100))*(EquityPrincipalPaid+DebtPrincipalPaid+EquityInterest-Depreciation+DebtReserveCF)</f>
        <v>38694.681948996018</v>
      </c>
      <c r="C203" s="45">
        <f t="shared" ref="C203:U203" si="27">(($B$103/100)/(1-$B$103/100))*(C$188+C$192+C$187-C$198+C$197)</f>
        <v>-3220.7360723160145</v>
      </c>
      <c r="D203" s="45">
        <f t="shared" si="27"/>
        <v>-2375.439185306006</v>
      </c>
      <c r="E203" s="45">
        <f t="shared" si="27"/>
        <v>-1487.8774539454973</v>
      </c>
      <c r="F203" s="45">
        <f t="shared" si="27"/>
        <v>-555.93763601696128</v>
      </c>
      <c r="G203" s="45">
        <f t="shared" si="27"/>
        <v>422.59917280800329</v>
      </c>
      <c r="H203" s="45">
        <f t="shared" si="27"/>
        <v>1450.0628220742144</v>
      </c>
      <c r="I203" s="45">
        <f t="shared" si="27"/>
        <v>2528.8996538037409</v>
      </c>
      <c r="J203" s="45">
        <f t="shared" si="27"/>
        <v>3661.6783271197305</v>
      </c>
      <c r="K203" s="45">
        <f t="shared" si="27"/>
        <v>4851.0959341015268</v>
      </c>
      <c r="L203" s="45">
        <f t="shared" si="27"/>
        <v>6099.9844214324157</v>
      </c>
      <c r="M203" s="45">
        <f t="shared" si="27"/>
        <v>7411.3173331298422</v>
      </c>
      <c r="N203" s="45">
        <f t="shared" si="27"/>
        <v>8788.2168904121463</v>
      </c>
      <c r="O203" s="45">
        <f t="shared" si="27"/>
        <v>10233.961425558567</v>
      </c>
      <c r="P203" s="45">
        <f t="shared" si="27"/>
        <v>11751.993187462307</v>
      </c>
      <c r="Q203" s="45">
        <f t="shared" si="27"/>
        <v>13345.926537461235</v>
      </c>
      <c r="R203" s="45">
        <f t="shared" si="27"/>
        <v>15019.556554960103</v>
      </c>
      <c r="S203" s="45">
        <f t="shared" si="27"/>
        <v>16776.868073333921</v>
      </c>
      <c r="T203" s="45">
        <f t="shared" si="27"/>
        <v>18622.045167626427</v>
      </c>
      <c r="U203" s="45">
        <f t="shared" si="27"/>
        <v>-22160.981558973723</v>
      </c>
      <c r="V203" s="66">
        <f t="shared" si="7"/>
        <v>129857.91554372199</v>
      </c>
      <c r="Y203" s="4"/>
      <c r="Z203" s="4"/>
      <c r="AA203" s="4"/>
      <c r="AB203" s="4"/>
      <c r="AC203" s="4"/>
      <c r="AD203" s="4"/>
      <c r="AE203" s="4"/>
      <c r="AF203" s="4"/>
      <c r="AG203" s="4"/>
      <c r="AH203" s="4"/>
    </row>
    <row r="204" spans="1:34">
      <c r="A204" s="52" t="s">
        <v>109</v>
      </c>
      <c r="B204" s="45">
        <f>AnnualNetElectricityGeneration*ProductionTaxCredit*B163</f>
        <v>33507</v>
      </c>
      <c r="C204" s="45">
        <f>AnnualNetElectricityGeneration*ProductionTaxCredit*((1+EscalationProductionTaxCredit/100)^(Year-1))*$B164</f>
        <v>34210.646999999997</v>
      </c>
      <c r="D204" s="45">
        <f>$B$41*$B$102*((1+$B$117/100)^(D185-1))*$B165</f>
        <v>34929.070586999987</v>
      </c>
      <c r="E204" s="45">
        <f>$B$41*$B$102*((1+$B$117/100)^(E185-1))*$B166</f>
        <v>35662.581069326989</v>
      </c>
      <c r="F204" s="45">
        <f>$B$41*$B$102*((1+$B$117/100)^(F185-1))*$B167</f>
        <v>36411.495271782849</v>
      </c>
      <c r="G204" s="45">
        <f>$B$41*$B$102*((1+$B$117/100)^(G185-1))*$B168</f>
        <v>0</v>
      </c>
      <c r="H204" s="45">
        <f>$B$41*$B$102*((1+$B$117/100)^(H185-1))*$B169</f>
        <v>0</v>
      </c>
      <c r="I204" s="45">
        <f>$B$41*$B$102*((1+$B$117/100)^(I185-1))*$B170</f>
        <v>0</v>
      </c>
      <c r="J204" s="45">
        <f>$B$41*$B$102*((1+$B$117/100)^(J185-1))*$B171</f>
        <v>0</v>
      </c>
      <c r="K204" s="45">
        <f>$B$41*$B$102*((1+$B$117/100)^(K185-1))*$B172</f>
        <v>0</v>
      </c>
      <c r="L204" s="45">
        <f>$B$41*$B$102*((1+$B$117/100)^(L185-1))*$B173</f>
        <v>0</v>
      </c>
      <c r="M204" s="45">
        <f>$B$41*$B$102*((1+$B$117/100)^(M185-1))*$B174</f>
        <v>0</v>
      </c>
      <c r="N204" s="45">
        <f>$B$41*$B$102*((1+$B$117/100)^(N185-1))*$B175</f>
        <v>0</v>
      </c>
      <c r="O204" s="45">
        <f>$B$41*$B$102*((1+$B$117/100)^(O185-1))*$B176</f>
        <v>0</v>
      </c>
      <c r="P204" s="45">
        <f>$B$41*$B$102*((1+$B$117/100)^(P185-1))*$B177</f>
        <v>0</v>
      </c>
      <c r="Q204" s="45">
        <f>$B$41*$B$102*((1+$B$117/100)^(Q185-1))*$B178</f>
        <v>0</v>
      </c>
      <c r="R204" s="45">
        <f>$B$41*$B$102*((1+$B$117/100)^(R185-1))*$B179</f>
        <v>0</v>
      </c>
      <c r="S204" s="45">
        <f>$B$41*$B$102*((1+$B$117/100)^(S185-1))*$B180</f>
        <v>0</v>
      </c>
      <c r="T204" s="45">
        <f>$B$41*$B$102*((1+$B$117/100)^(T185-1))*$B181</f>
        <v>0</v>
      </c>
      <c r="U204" s="61">
        <f>$B$41*$B$102*((1+$B$117/100)^(U185-1))*$B182</f>
        <v>0</v>
      </c>
      <c r="V204" s="66">
        <f t="shared" si="7"/>
        <v>174720.79392810984</v>
      </c>
      <c r="Y204" s="4"/>
      <c r="Z204" s="4"/>
      <c r="AA204" s="4"/>
      <c r="AB204" s="4"/>
      <c r="AC204" s="4"/>
      <c r="AD204" s="4"/>
      <c r="AE204" s="4"/>
      <c r="AF204" s="4"/>
      <c r="AG204" s="4"/>
      <c r="AH204" s="4"/>
    </row>
    <row r="205" spans="1:34">
      <c r="A205" s="52" t="s">
        <v>35</v>
      </c>
      <c r="B205" s="45">
        <f>((CombinedTaxRate/100)/(1-CombinedTaxRate/100))*(EquityPrincipalPaid+DebtPrincipalPaid+EquityInterest-Depreciation+DebtReserveCF-TaxCredit)</f>
        <v>16042.188787290472</v>
      </c>
      <c r="C205" s="45">
        <f>((CombinedTaxRate/100)/(1-CombinedTaxRate/100))*(C$188+C$192+C$187-C$198+C$197-C$204)</f>
        <v>-26348.931590417378</v>
      </c>
      <c r="D205" s="45">
        <f t="shared" ref="D205:U205" si="28">(($B$103/100)/(1-$B$103/100))*(D$188+D$192+D$187-D$198+D$197-D$204)</f>
        <v>-25989.32680928749</v>
      </c>
      <c r="E205" s="45">
        <f t="shared" si="28"/>
        <v>-25597.656718030594</v>
      </c>
      <c r="F205" s="45">
        <f t="shared" si="28"/>
        <v>-25172.02226464784</v>
      </c>
      <c r="G205" s="45">
        <f t="shared" si="28"/>
        <v>422.59917280800329</v>
      </c>
      <c r="H205" s="45">
        <f t="shared" si="28"/>
        <v>1450.0628220742144</v>
      </c>
      <c r="I205" s="45">
        <f t="shared" si="28"/>
        <v>2528.8996538037409</v>
      </c>
      <c r="J205" s="45">
        <f t="shared" si="28"/>
        <v>3661.6783271197305</v>
      </c>
      <c r="K205" s="45">
        <f t="shared" si="28"/>
        <v>4851.0959341015268</v>
      </c>
      <c r="L205" s="45">
        <f t="shared" si="28"/>
        <v>6099.9844214324157</v>
      </c>
      <c r="M205" s="45">
        <f t="shared" si="28"/>
        <v>7411.3173331298422</v>
      </c>
      <c r="N205" s="45">
        <f t="shared" si="28"/>
        <v>8788.2168904121463</v>
      </c>
      <c r="O205" s="45">
        <f t="shared" si="28"/>
        <v>10233.961425558567</v>
      </c>
      <c r="P205" s="45">
        <f t="shared" si="28"/>
        <v>11751.993187462307</v>
      </c>
      <c r="Q205" s="45">
        <f t="shared" si="28"/>
        <v>13345.926537461235</v>
      </c>
      <c r="R205" s="45">
        <f t="shared" si="28"/>
        <v>15019.556554960103</v>
      </c>
      <c r="S205" s="45">
        <f t="shared" si="28"/>
        <v>16776.868073333921</v>
      </c>
      <c r="T205" s="45">
        <f t="shared" si="28"/>
        <v>18622.045167626427</v>
      </c>
      <c r="U205" s="45">
        <f t="shared" si="28"/>
        <v>-22160.981558973723</v>
      </c>
      <c r="V205" s="66">
        <f t="shared" si="7"/>
        <v>11737.475347217634</v>
      </c>
      <c r="Y205" s="4"/>
      <c r="Z205" s="4"/>
      <c r="AA205" s="4"/>
      <c r="AB205" s="4"/>
      <c r="AC205" s="4"/>
      <c r="AD205" s="4"/>
      <c r="AE205" s="4"/>
      <c r="AF205" s="4"/>
      <c r="AG205" s="4"/>
      <c r="AH205" s="4"/>
    </row>
    <row r="206" spans="1:34">
      <c r="A206" s="53" t="s">
        <v>36</v>
      </c>
      <c r="B206" s="62">
        <f>EquityRecovery+RebtRecovery+BiomassFuelCostCF+DualFuelCostCF+NonFuelExpensesCF+Taxes+DebtReserveCF-CapacityIncome-InterstOnDebtReserve-HeatIncome-CharIncome</f>
        <v>303795.63598923758</v>
      </c>
      <c r="C206" s="62">
        <f t="shared" ref="C206:U206" si="29">C186+C190+C194+C195+C196+C205+C197-C199-C202-C200-C201</f>
        <v>201335.25555261195</v>
      </c>
      <c r="D206" s="62">
        <f t="shared" si="29"/>
        <v>204882.1950119221</v>
      </c>
      <c r="E206" s="62">
        <f t="shared" si="29"/>
        <v>208528.13380960113</v>
      </c>
      <c r="F206" s="62">
        <f t="shared" si="29"/>
        <v>212276.3766122408</v>
      </c>
      <c r="G206" s="62">
        <f t="shared" si="29"/>
        <v>241263.38117428799</v>
      </c>
      <c r="H206" s="62">
        <f t="shared" si="29"/>
        <v>245754.46799376199</v>
      </c>
      <c r="I206" s="62">
        <f t="shared" si="29"/>
        <v>250369.66408227367</v>
      </c>
      <c r="J206" s="62">
        <f t="shared" si="29"/>
        <v>255113.06555676417</v>
      </c>
      <c r="K206" s="62">
        <f t="shared" si="29"/>
        <v>259988.92904374521</v>
      </c>
      <c r="L206" s="62">
        <f t="shared" si="29"/>
        <v>265001.67877455533</v>
      </c>
      <c r="M206" s="62">
        <f t="shared" si="29"/>
        <v>270155.91401584499</v>
      </c>
      <c r="N206" s="62">
        <f t="shared" si="29"/>
        <v>275456.41685164097</v>
      </c>
      <c r="O206" s="62">
        <f t="shared" si="29"/>
        <v>280908.1603341499</v>
      </c>
      <c r="P206" s="62">
        <f t="shared" si="29"/>
        <v>286516.3170213108</v>
      </c>
      <c r="Q206" s="62">
        <f t="shared" si="29"/>
        <v>292286.26791999716</v>
      </c>
      <c r="R206" s="62">
        <f t="shared" si="29"/>
        <v>298223.61185470596</v>
      </c>
      <c r="S206" s="62">
        <f t="shared" si="29"/>
        <v>304334.17528255121</v>
      </c>
      <c r="T206" s="62">
        <f t="shared" si="29"/>
        <v>310624.02257641393</v>
      </c>
      <c r="U206" s="62">
        <f t="shared" si="29"/>
        <v>211187.9667109056</v>
      </c>
      <c r="V206" s="57">
        <f t="shared" si="7"/>
        <v>5178001.6361685218</v>
      </c>
      <c r="Y206" s="4"/>
      <c r="Z206" s="4"/>
      <c r="AA206" s="4"/>
      <c r="AB206" s="4"/>
      <c r="AC206" s="4"/>
      <c r="AD206" s="4"/>
      <c r="AE206" s="4"/>
      <c r="AF206" s="4"/>
      <c r="AG206" s="4"/>
      <c r="AH206" s="4"/>
    </row>
    <row r="207" spans="1:34"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</row>
    <row r="208" spans="1:34">
      <c r="A208" s="18" t="s">
        <v>62</v>
      </c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Y208" s="4"/>
      <c r="Z208" s="4"/>
      <c r="AA208" s="4"/>
      <c r="AB208" s="4"/>
      <c r="AC208" s="4"/>
      <c r="AD208" s="4"/>
      <c r="AE208" s="4"/>
      <c r="AF208" s="4"/>
      <c r="AG208" s="4"/>
      <c r="AH208" s="4"/>
    </row>
    <row r="209" spans="1:57">
      <c r="A209" s="54" t="s">
        <v>37</v>
      </c>
      <c r="B209" s="55">
        <f>CostOfEquity/100</f>
        <v>0.15</v>
      </c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4"/>
      <c r="Y209" s="8"/>
      <c r="Z209" s="4"/>
      <c r="AA209" s="4"/>
      <c r="AB209" s="4"/>
      <c r="AC209" s="4"/>
      <c r="AD209" s="4"/>
      <c r="AE209" s="4"/>
      <c r="AF209" s="4"/>
      <c r="AG209" s="4"/>
      <c r="AH209" s="4"/>
    </row>
    <row r="210" spans="1:57">
      <c r="A210" s="34" t="s">
        <v>38</v>
      </c>
      <c r="B210" s="24">
        <f>EnergyRevenueRequired*(1+LACCostOfMoney)^-B185</f>
        <v>264170.11825151095</v>
      </c>
      <c r="C210" s="24">
        <f>C206*(1+$B$209)^-C185</f>
        <v>152238.37848968769</v>
      </c>
      <c r="D210" s="24">
        <f t="shared" ref="D210:U210" si="30">D206*(1+$B$209)^-D185</f>
        <v>134713.36895663492</v>
      </c>
      <c r="E210" s="24">
        <f>E206*(1+$B$209)^-E185</f>
        <v>119226.63730309781</v>
      </c>
      <c r="F210" s="24">
        <f t="shared" si="30"/>
        <v>105538.87590502414</v>
      </c>
      <c r="G210" s="24">
        <f t="shared" si="30"/>
        <v>104304.8175645734</v>
      </c>
      <c r="H210" s="24">
        <f t="shared" si="30"/>
        <v>92388.207245449303</v>
      </c>
      <c r="I210" s="24">
        <f t="shared" si="30"/>
        <v>81846.287305764359</v>
      </c>
      <c r="J210" s="24">
        <f t="shared" si="30"/>
        <v>72519.055358121608</v>
      </c>
      <c r="K210" s="24">
        <f t="shared" si="30"/>
        <v>64265.287020616794</v>
      </c>
      <c r="L210" s="24">
        <f t="shared" si="30"/>
        <v>56960.314860599618</v>
      </c>
      <c r="M210" s="24">
        <f t="shared" si="30"/>
        <v>50494.071994775593</v>
      </c>
      <c r="N210" s="24">
        <f t="shared" si="30"/>
        <v>44769.368586409182</v>
      </c>
      <c r="O210" s="24">
        <f t="shared" si="30"/>
        <v>39700.373317379992</v>
      </c>
      <c r="P210" s="24">
        <f t="shared" si="30"/>
        <v>35211.275283262978</v>
      </c>
      <c r="Q210" s="24">
        <f t="shared" si="30"/>
        <v>31235.104720536623</v>
      </c>
      <c r="R210" s="24">
        <f t="shared" si="30"/>
        <v>27712.69357652944</v>
      </c>
      <c r="S210" s="24">
        <f t="shared" si="30"/>
        <v>24591.759218699626</v>
      </c>
      <c r="T210" s="24">
        <f t="shared" si="30"/>
        <v>21826.096588813922</v>
      </c>
      <c r="U210" s="49">
        <f t="shared" si="30"/>
        <v>12903.643674924595</v>
      </c>
      <c r="V210" s="68"/>
      <c r="Y210" s="4"/>
      <c r="Z210" s="4"/>
      <c r="AA210" s="4"/>
      <c r="AB210" s="4"/>
      <c r="AC210" s="4"/>
      <c r="AD210" s="4"/>
      <c r="AE210" s="4"/>
      <c r="AF210" s="4"/>
      <c r="AG210" s="4"/>
      <c r="AH210" s="4"/>
    </row>
    <row r="211" spans="1:57">
      <c r="A211" s="56" t="s">
        <v>39</v>
      </c>
      <c r="B211" s="57">
        <f>SUM(B210:U210)</f>
        <v>1536615.7352224123</v>
      </c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68"/>
    </row>
    <row r="212" spans="1:57">
      <c r="A212" s="34" t="s">
        <v>40</v>
      </c>
      <c r="B212" s="38">
        <f>LACCostOfMoney*(1+LACCostOfMoney)^EconomicLife/((1+LACCostOfMoney)^EconomicLife-1)</f>
        <v>0.1597614704057439</v>
      </c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68"/>
    </row>
    <row r="213" spans="1:57" ht="12.75" thickBot="1">
      <c r="A213" s="54" t="s">
        <v>65</v>
      </c>
      <c r="B213" s="65">
        <f>TotalPresentWorth*CurrentCapitalRecoveryFactor</f>
        <v>245491.98930773581</v>
      </c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66">
        <f>B213*B126</f>
        <v>4909839.7861547163</v>
      </c>
      <c r="Z213" s="4"/>
      <c r="AA213" s="4"/>
      <c r="AB213" s="4"/>
      <c r="AC213" s="4"/>
      <c r="AD213" s="4"/>
      <c r="AE213" s="4"/>
      <c r="AF213" s="4"/>
      <c r="AG213" s="4"/>
      <c r="AH213" s="4"/>
      <c r="AI213" s="4"/>
    </row>
    <row r="214" spans="1:57" ht="12.75" thickBot="1">
      <c r="A214" s="130" t="s">
        <v>155</v>
      </c>
      <c r="B214" s="131">
        <f>CurrentAnnualRevenueRequirements/AnnualNetElectricityGeneration</f>
        <v>6.5939293394503301E-2</v>
      </c>
      <c r="C214" s="63"/>
      <c r="D214" s="63"/>
      <c r="E214" s="63"/>
      <c r="F214" s="62"/>
      <c r="G214" s="62"/>
      <c r="H214" s="62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57">
        <f>B214*B126*B41</f>
        <v>4909839.7861547163</v>
      </c>
      <c r="Z214" s="4"/>
      <c r="AA214" s="4"/>
      <c r="AB214" s="4"/>
      <c r="AC214" s="4"/>
      <c r="AD214" s="4"/>
      <c r="AE214" s="4"/>
      <c r="AF214" s="4"/>
      <c r="AG214" s="4"/>
      <c r="AH214" s="4"/>
      <c r="AI214" s="4"/>
    </row>
    <row r="215" spans="1:57" s="25" customFormat="1">
      <c r="B215" s="26"/>
      <c r="F215" s="27"/>
      <c r="G215" s="27"/>
      <c r="H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</row>
    <row r="216" spans="1:57">
      <c r="A216" s="18" t="s">
        <v>63</v>
      </c>
      <c r="B216" s="20"/>
      <c r="F216" s="4"/>
      <c r="G216" s="4"/>
      <c r="H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</row>
    <row r="217" spans="1:57">
      <c r="A217" s="34" t="s">
        <v>76</v>
      </c>
      <c r="B217" s="38">
        <f>(1+LACCostOfMoney)/(1+GeneralInflation/100)-1</f>
        <v>0.12634671890303628</v>
      </c>
      <c r="F217" s="4"/>
      <c r="G217" s="4"/>
      <c r="H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</row>
    <row r="218" spans="1:57">
      <c r="A218" s="34" t="s">
        <v>41</v>
      </c>
      <c r="B218" s="38">
        <f>RealCostOfMoney*(1+RealCostOfMoney)^EconomicLife/((1+RealCostOfMoney)^EconomicLife-1)</f>
        <v>0.13923864551402346</v>
      </c>
      <c r="F218" s="4"/>
      <c r="G218" s="4"/>
      <c r="H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</row>
    <row r="219" spans="1:57" ht="12.75" thickBot="1">
      <c r="A219" s="54" t="s">
        <v>64</v>
      </c>
      <c r="B219" s="65">
        <f>TotalPresentWorth*ConstantCapitalRecoveryFactor</f>
        <v>213956.29364790398</v>
      </c>
      <c r="F219" s="4"/>
      <c r="G219" s="4"/>
      <c r="H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</row>
    <row r="220" spans="1:57" ht="12.75" thickBot="1">
      <c r="A220" s="130" t="s">
        <v>156</v>
      </c>
      <c r="B220" s="131">
        <f>ConstantLevelAnnualRevenue/AnnualNetElectricityGeneration</f>
        <v>5.7468786905158199E-2</v>
      </c>
      <c r="F220" s="4"/>
      <c r="G220" s="4"/>
      <c r="H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</row>
    <row r="221" spans="1:57">
      <c r="F221" s="4"/>
      <c r="G221" s="4"/>
      <c r="H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</row>
    <row r="222" spans="1:57">
      <c r="F222" s="4"/>
      <c r="G222" s="4"/>
      <c r="H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</row>
    <row r="223" spans="1:57"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</row>
    <row r="224" spans="1:57" ht="15">
      <c r="A224" s="134" t="s">
        <v>231</v>
      </c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</row>
    <row r="225" spans="1:56">
      <c r="A225" s="11" t="s">
        <v>232</v>
      </c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</row>
    <row r="226" spans="1:56" ht="12.75" thickBot="1"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Z226" s="4"/>
      <c r="AA226" s="4"/>
      <c r="AB226" s="4"/>
      <c r="AC226" s="4"/>
      <c r="AD226" s="4"/>
      <c r="AE226" s="4"/>
    </row>
    <row r="227" spans="1:56">
      <c r="B227" s="164" t="s">
        <v>112</v>
      </c>
      <c r="C227" s="165"/>
      <c r="D227" s="165"/>
      <c r="E227" s="165"/>
      <c r="F227" s="165"/>
      <c r="G227" s="166"/>
      <c r="I227" s="164" t="s">
        <v>233</v>
      </c>
      <c r="J227" s="165"/>
      <c r="K227" s="165"/>
      <c r="L227" s="165"/>
      <c r="M227" s="165"/>
      <c r="N227" s="166"/>
      <c r="P227" s="164" t="s">
        <v>234</v>
      </c>
      <c r="Q227" s="165"/>
      <c r="R227" s="165"/>
      <c r="S227" s="165"/>
      <c r="T227" s="165"/>
      <c r="U227" s="166"/>
      <c r="W227" s="164" t="s">
        <v>235</v>
      </c>
      <c r="X227" s="165"/>
      <c r="Y227" s="165"/>
      <c r="Z227" s="165"/>
      <c r="AA227" s="165"/>
      <c r="AB227" s="166"/>
      <c r="AD227" s="164" t="s">
        <v>236</v>
      </c>
      <c r="AE227" s="165"/>
      <c r="AF227" s="165"/>
      <c r="AG227" s="165"/>
      <c r="AH227" s="165"/>
      <c r="AI227" s="166"/>
      <c r="AK227" s="164" t="s">
        <v>237</v>
      </c>
      <c r="AL227" s="165"/>
      <c r="AM227" s="165"/>
      <c r="AN227" s="165"/>
      <c r="AO227" s="165"/>
      <c r="AP227" s="166"/>
      <c r="AR227" s="135" t="s">
        <v>252</v>
      </c>
      <c r="AS227" s="136"/>
      <c r="AT227" s="136"/>
      <c r="AU227" s="136"/>
      <c r="AV227" s="92"/>
      <c r="AW227" s="137">
        <f>B80</f>
        <v>0.01</v>
      </c>
      <c r="AY227" s="164" t="s">
        <v>238</v>
      </c>
      <c r="AZ227" s="165"/>
      <c r="BA227" s="165"/>
      <c r="BB227" s="165"/>
      <c r="BC227" s="165"/>
      <c r="BD227" s="166"/>
    </row>
    <row r="228" spans="1:56" ht="36">
      <c r="A228" s="138"/>
      <c r="B228" s="139" t="s">
        <v>239</v>
      </c>
      <c r="C228" s="97" t="s">
        <v>240</v>
      </c>
      <c r="D228" s="97" t="s">
        <v>112</v>
      </c>
      <c r="E228" s="97" t="s">
        <v>241</v>
      </c>
      <c r="F228" s="97" t="s">
        <v>242</v>
      </c>
      <c r="G228" s="98" t="s">
        <v>243</v>
      </c>
      <c r="I228" s="139" t="s">
        <v>239</v>
      </c>
      <c r="J228" s="97" t="s">
        <v>240</v>
      </c>
      <c r="K228" s="97" t="s">
        <v>233</v>
      </c>
      <c r="L228" s="97" t="s">
        <v>241</v>
      </c>
      <c r="M228" s="97" t="s">
        <v>242</v>
      </c>
      <c r="N228" s="98" t="s">
        <v>243</v>
      </c>
      <c r="P228" s="139" t="s">
        <v>239</v>
      </c>
      <c r="Q228" s="97" t="s">
        <v>240</v>
      </c>
      <c r="R228" s="97" t="s">
        <v>234</v>
      </c>
      <c r="S228" s="97" t="s">
        <v>241</v>
      </c>
      <c r="T228" s="97" t="s">
        <v>242</v>
      </c>
      <c r="U228" s="98" t="s">
        <v>243</v>
      </c>
      <c r="W228" s="139" t="s">
        <v>239</v>
      </c>
      <c r="X228" s="97" t="s">
        <v>240</v>
      </c>
      <c r="Y228" s="97" t="s">
        <v>235</v>
      </c>
      <c r="Z228" s="97" t="s">
        <v>241</v>
      </c>
      <c r="AA228" s="97" t="s">
        <v>242</v>
      </c>
      <c r="AB228" s="98" t="s">
        <v>243</v>
      </c>
      <c r="AD228" s="139" t="s">
        <v>239</v>
      </c>
      <c r="AE228" s="97" t="s">
        <v>240</v>
      </c>
      <c r="AF228" s="97" t="s">
        <v>236</v>
      </c>
      <c r="AG228" s="97" t="s">
        <v>241</v>
      </c>
      <c r="AH228" s="97" t="s">
        <v>242</v>
      </c>
      <c r="AI228" s="98" t="s">
        <v>243</v>
      </c>
      <c r="AK228" s="139" t="s">
        <v>239</v>
      </c>
      <c r="AL228" s="97" t="s">
        <v>240</v>
      </c>
      <c r="AM228" s="97" t="s">
        <v>237</v>
      </c>
      <c r="AN228" s="97" t="s">
        <v>241</v>
      </c>
      <c r="AO228" s="97" t="s">
        <v>242</v>
      </c>
      <c r="AP228" s="98" t="s">
        <v>243</v>
      </c>
      <c r="AR228" s="139" t="s">
        <v>239</v>
      </c>
      <c r="AS228" s="97" t="s">
        <v>240</v>
      </c>
      <c r="AT228" s="97" t="s">
        <v>244</v>
      </c>
      <c r="AU228" s="97" t="s">
        <v>241</v>
      </c>
      <c r="AV228" s="97" t="s">
        <v>242</v>
      </c>
      <c r="AW228" s="98" t="s">
        <v>243</v>
      </c>
      <c r="AY228" s="139" t="s">
        <v>239</v>
      </c>
      <c r="AZ228" s="97" t="s">
        <v>240</v>
      </c>
      <c r="BA228" s="97" t="s">
        <v>238</v>
      </c>
      <c r="BB228" s="97" t="s">
        <v>245</v>
      </c>
      <c r="BC228" s="97" t="s">
        <v>246</v>
      </c>
      <c r="BD228" s="98" t="s">
        <v>243</v>
      </c>
    </row>
    <row r="229" spans="1:56">
      <c r="A229" s="138"/>
      <c r="B229" s="139"/>
      <c r="C229" s="97" t="s">
        <v>247</v>
      </c>
      <c r="D229" s="97" t="s">
        <v>158</v>
      </c>
      <c r="E229" s="97" t="s">
        <v>248</v>
      </c>
      <c r="F229" s="97" t="s">
        <v>248</v>
      </c>
      <c r="G229" s="96" t="s">
        <v>247</v>
      </c>
      <c r="I229" s="139"/>
      <c r="J229" s="97" t="s">
        <v>247</v>
      </c>
      <c r="K229" s="97" t="s">
        <v>249</v>
      </c>
      <c r="L229" s="97" t="s">
        <v>248</v>
      </c>
      <c r="M229" s="97" t="s">
        <v>248</v>
      </c>
      <c r="N229" s="96" t="s">
        <v>247</v>
      </c>
      <c r="P229" s="139"/>
      <c r="Q229" s="97" t="s">
        <v>247</v>
      </c>
      <c r="R229" s="97" t="s">
        <v>248</v>
      </c>
      <c r="S229" s="97" t="s">
        <v>248</v>
      </c>
      <c r="T229" s="97" t="s">
        <v>248</v>
      </c>
      <c r="U229" s="96" t="s">
        <v>247</v>
      </c>
      <c r="W229" s="139"/>
      <c r="X229" s="97" t="s">
        <v>247</v>
      </c>
      <c r="Y229" s="97" t="s">
        <v>247</v>
      </c>
      <c r="Z229" s="97" t="s">
        <v>248</v>
      </c>
      <c r="AA229" s="97" t="s">
        <v>248</v>
      </c>
      <c r="AB229" s="96" t="s">
        <v>247</v>
      </c>
      <c r="AD229" s="139"/>
      <c r="AE229" s="97" t="s">
        <v>247</v>
      </c>
      <c r="AF229" s="97" t="s">
        <v>247</v>
      </c>
      <c r="AG229" s="97" t="s">
        <v>248</v>
      </c>
      <c r="AH229" s="97" t="s">
        <v>248</v>
      </c>
      <c r="AI229" s="96" t="s">
        <v>247</v>
      </c>
      <c r="AK229" s="139"/>
      <c r="AL229" s="97" t="s">
        <v>247</v>
      </c>
      <c r="AM229" s="97" t="s">
        <v>247</v>
      </c>
      <c r="AN229" s="97" t="s">
        <v>248</v>
      </c>
      <c r="AO229" s="97" t="s">
        <v>248</v>
      </c>
      <c r="AP229" s="96" t="s">
        <v>247</v>
      </c>
      <c r="AR229" s="139"/>
      <c r="AS229" s="97" t="s">
        <v>247</v>
      </c>
      <c r="AT229" s="97" t="s">
        <v>247</v>
      </c>
      <c r="AU229" s="97" t="s">
        <v>248</v>
      </c>
      <c r="AV229" s="97" t="s">
        <v>248</v>
      </c>
      <c r="AW229" s="96" t="s">
        <v>247</v>
      </c>
      <c r="AY229" s="139"/>
      <c r="AZ229" s="97" t="s">
        <v>247</v>
      </c>
      <c r="BA229" s="97" t="s">
        <v>247</v>
      </c>
      <c r="BB229" s="97" t="s">
        <v>248</v>
      </c>
      <c r="BC229" s="97" t="s">
        <v>248</v>
      </c>
      <c r="BD229" s="96" t="s">
        <v>247</v>
      </c>
    </row>
    <row r="230" spans="1:56" ht="24">
      <c r="A230" s="138"/>
      <c r="B230" s="140" t="s">
        <v>250</v>
      </c>
      <c r="C230" s="141"/>
      <c r="D230" s="141"/>
      <c r="E230" s="142">
        <f>$B$214</f>
        <v>6.5939293394503301E-2</v>
      </c>
      <c r="F230" s="142">
        <f>$B$220</f>
        <v>5.7468786905158199E-2</v>
      </c>
      <c r="G230" s="143"/>
      <c r="I230" s="140" t="s">
        <v>250</v>
      </c>
      <c r="J230" s="141"/>
      <c r="K230" s="141"/>
      <c r="L230" s="142">
        <f>$B$214</f>
        <v>6.5939293394503301E-2</v>
      </c>
      <c r="M230" s="142">
        <f>$B$220</f>
        <v>5.7468786905158199E-2</v>
      </c>
      <c r="N230" s="143"/>
      <c r="P230" s="140" t="s">
        <v>250</v>
      </c>
      <c r="Q230" s="141"/>
      <c r="R230" s="141"/>
      <c r="S230" s="142">
        <f>$B$214</f>
        <v>6.5939293394503301E-2</v>
      </c>
      <c r="T230" s="142">
        <f>$B$220</f>
        <v>5.7468786905158199E-2</v>
      </c>
      <c r="U230" s="143"/>
      <c r="W230" s="140" t="s">
        <v>250</v>
      </c>
      <c r="X230" s="141"/>
      <c r="Y230" s="141"/>
      <c r="Z230" s="142">
        <f>$B$214</f>
        <v>6.5939293394503301E-2</v>
      </c>
      <c r="AA230" s="142">
        <f>$B$220</f>
        <v>5.7468786905158199E-2</v>
      </c>
      <c r="AB230" s="143"/>
      <c r="AD230" s="140" t="s">
        <v>250</v>
      </c>
      <c r="AE230" s="141"/>
      <c r="AF230" s="141"/>
      <c r="AG230" s="142">
        <f>$B$214</f>
        <v>6.5939293394503301E-2</v>
      </c>
      <c r="AH230" s="142">
        <f>$B$220</f>
        <v>5.7468786905158199E-2</v>
      </c>
      <c r="AI230" s="143"/>
      <c r="AK230" s="140" t="s">
        <v>250</v>
      </c>
      <c r="AL230" s="141"/>
      <c r="AM230" s="141"/>
      <c r="AN230" s="142">
        <f>$B$214</f>
        <v>6.5939293394503301E-2</v>
      </c>
      <c r="AO230" s="142">
        <f>$B$220</f>
        <v>5.7468786905158199E-2</v>
      </c>
      <c r="AP230" s="143"/>
      <c r="AR230" s="140" t="s">
        <v>250</v>
      </c>
      <c r="AS230" s="141"/>
      <c r="AT230" s="141"/>
      <c r="AU230" s="142">
        <f>$B$214</f>
        <v>6.5939293394503301E-2</v>
      </c>
      <c r="AV230" s="142">
        <f>$B$220</f>
        <v>5.7468786905158199E-2</v>
      </c>
      <c r="AW230" s="143"/>
      <c r="AY230" s="140" t="s">
        <v>250</v>
      </c>
      <c r="AZ230" s="141"/>
      <c r="BA230" s="141"/>
      <c r="BB230" s="142">
        <f>$B$214</f>
        <v>6.5939293394503301E-2</v>
      </c>
      <c r="BC230" s="142">
        <f>$B$220</f>
        <v>5.7468786905158199E-2</v>
      </c>
      <c r="BD230" s="143"/>
    </row>
    <row r="231" spans="1:56">
      <c r="B231" s="144">
        <f t="shared" ref="B231:B238" si="31">B232-1</f>
        <v>-10</v>
      </c>
      <c r="C231" s="145">
        <f>IF(ISERROR((D231-D241)/D241*100),"error",(D231-D241)/D241*100)</f>
        <v>-100</v>
      </c>
      <c r="D231" s="146">
        <v>0</v>
      </c>
      <c r="E231" s="147">
        <f t="dataTable" ref="E231:F251" dt2D="0" dtr="0" r1="B33" ca="1"/>
        <v>4.1493351152774714E-2</v>
      </c>
      <c r="F231" s="147">
        <v>3.616314996148394E-2</v>
      </c>
      <c r="G231" s="148">
        <f>(F231-F241)/F241*100</f>
        <v>-37.073406436846049</v>
      </c>
      <c r="I231" s="144">
        <f t="shared" ref="I231:I238" si="32">I232-1</f>
        <v>-10</v>
      </c>
      <c r="J231" s="145">
        <f>IF(ISERROR((K231-K$241)/K$241*100),"error",(K231-K$241)/K$241*100)</f>
        <v>-100</v>
      </c>
      <c r="K231" s="149">
        <v>0</v>
      </c>
      <c r="L231" s="147">
        <f t="dataTable" ref="L231:M251" dt2D="0" dtr="0" r1="B87"/>
        <v>4.0285788510028633E-2</v>
      </c>
      <c r="M231" s="147">
        <v>3.5110709806030455E-2</v>
      </c>
      <c r="N231" s="148">
        <f>(M231-M241)/M241*100</f>
        <v>-38.904731251810993</v>
      </c>
      <c r="P231" s="144">
        <f t="shared" ref="P231:P238" si="33">P232-1</f>
        <v>-10</v>
      </c>
      <c r="Q231" s="145">
        <f>IF(ISERROR((R231-R$241)/R$241*100),"error",(R231-R$241)/R$241*100)</f>
        <v>-100</v>
      </c>
      <c r="R231" s="150">
        <v>0</v>
      </c>
      <c r="S231" s="147">
        <f t="dataTable" ref="S231:T251" dt2D="0" dtr="0" r1="B80" ca="1"/>
        <v>8.3064929170782578E-2</v>
      </c>
      <c r="T231" s="147">
        <v>7.2394477830508466E-2</v>
      </c>
      <c r="U231" s="148">
        <f>(T231-T241)/T241*100</f>
        <v>25.971821799514249</v>
      </c>
      <c r="W231" s="144">
        <f t="shared" ref="W231:W238" si="34">W232-1</f>
        <v>-10</v>
      </c>
      <c r="X231" s="145">
        <f>IF(ISERROR((Y231-Y$241)/Y$241*100),"error",(Y231-Y$241)/Y$241*100)</f>
        <v>-100</v>
      </c>
      <c r="Y231" s="21">
        <v>0</v>
      </c>
      <c r="Z231" s="147">
        <f t="dataTable" ref="Z231:AA251" dt2D="0" dtr="0" r1="B123" ca="1"/>
        <v>9.6481329765959564E-2</v>
      </c>
      <c r="AA231" s="147">
        <v>8.408741882436413E-2</v>
      </c>
      <c r="AB231" s="148">
        <f>(AA231-AA241)/AA241*100</f>
        <v>46.318416226768719</v>
      </c>
      <c r="AD231" s="144">
        <f t="shared" ref="AD231:AD238" si="35">AD232-1</f>
        <v>-10</v>
      </c>
      <c r="AE231" s="145">
        <f>IF(ISERROR((AF231-AF$241)/AF$241*100),"error",(AF231-AF$241)/AF$241*100)</f>
        <v>-80</v>
      </c>
      <c r="AF231" s="151">
        <v>1</v>
      </c>
      <c r="AG231" s="147">
        <f t="dataTable" ref="AG231:AH251" dt2D="0" dtr="0" r1="B125" ca="1"/>
        <v>6.0725408370104095E-2</v>
      </c>
      <c r="AH231" s="147">
        <v>5.2924673191010164E-2</v>
      </c>
      <c r="AI231" s="148">
        <f>(AH231-AH241)/AH241*100</f>
        <v>-7.9070987206451209</v>
      </c>
      <c r="AK231" s="144">
        <f t="shared" ref="AK231:AK238" si="36">AK232-1</f>
        <v>-10</v>
      </c>
      <c r="AL231" s="145">
        <f>IF(ISERROR((AM231-AM$241)/AM$241*100),"error",(AM231-AM$241)/AM$241*100)</f>
        <v>-93.333333333333329</v>
      </c>
      <c r="AM231" s="151">
        <v>1</v>
      </c>
      <c r="AN231" s="147">
        <f t="dataTable" ref="AN231:AO251" dt2D="0" dtr="0" r1="B127" ca="1"/>
        <v>6.5131245786471073E-2</v>
      </c>
      <c r="AO231" s="147">
        <v>5.2346404942881383E-2</v>
      </c>
      <c r="AP231" s="148">
        <f>(AO231-AO241)/AO241*100</f>
        <v>-8.9133288488068807</v>
      </c>
      <c r="AR231" s="144">
        <f t="shared" ref="AR231:AR238" si="37">AR232-1</f>
        <v>-10</v>
      </c>
      <c r="AS231" s="145">
        <f>IF(ISERROR((AT231-AT$241)/AT$241*100),"error",(AT231-AT$241)/AT$241*100)</f>
        <v>-78.260869565217391</v>
      </c>
      <c r="AT231" s="151">
        <v>5</v>
      </c>
      <c r="AU231" s="147">
        <f t="dataTable" ref="AU231:AV251" dt2D="0" dtr="0" r1="B43" ca="1"/>
        <v>0.16858200747186969</v>
      </c>
      <c r="AV231" s="147">
        <v>0.14692610376459195</v>
      </c>
      <c r="AW231" s="148">
        <f>(AV231-AV241)/AV241*100</f>
        <v>155.66244160863673</v>
      </c>
      <c r="AY231" s="144">
        <f t="shared" ref="AY231:AY238" si="38">AY232-1</f>
        <v>-10</v>
      </c>
      <c r="AZ231" s="145">
        <f>IF(ISERROR((BA231-BA$241)/BA$241*100),"error",(BA231-BA$241)/BA$241*100)</f>
        <v>-52.941176470588239</v>
      </c>
      <c r="BA231" s="151">
        <v>40</v>
      </c>
      <c r="BB231" s="147">
        <f t="dataTable" ref="BB231:BC251" dt2D="0" dtr="0" r1="B39" ca="1"/>
        <v>0.1036284698833688</v>
      </c>
      <c r="BC231" s="147">
        <v>9.031644329891117E-2</v>
      </c>
      <c r="BD231" s="148">
        <f>(BC231-BC241)/BC241*100</f>
        <v>57.15738605716885</v>
      </c>
    </row>
    <row r="232" spans="1:56">
      <c r="B232" s="144">
        <f t="shared" si="31"/>
        <v>-9</v>
      </c>
      <c r="C232" s="145">
        <f>IF(ISERROR((D232-D241)/D241*100),"error",(D232-D241)/D241*100)</f>
        <v>-90</v>
      </c>
      <c r="D232" s="145">
        <f>D241+B232*(D241-D231)/10</f>
        <v>87500</v>
      </c>
      <c r="E232" s="147">
        <v>4.3937945376947563E-2</v>
      </c>
      <c r="F232" s="147">
        <v>3.8293713655851359E-2</v>
      </c>
      <c r="G232" s="148">
        <f>(F232-F241)/F241*100</f>
        <v>-33.366065793161454</v>
      </c>
      <c r="I232" s="144">
        <f t="shared" si="32"/>
        <v>-9</v>
      </c>
      <c r="J232" s="145">
        <f t="shared" ref="J232:J251" si="39">IF(ISERROR((K232-K$241)/K$241*100),"error",(K232-K$241)/K$241*100)</f>
        <v>-90.000000000000014</v>
      </c>
      <c r="K232" s="152">
        <f>K241+I232*(K241-K231)/10</f>
        <v>2.2049999999999983</v>
      </c>
      <c r="L232" s="147">
        <v>4.285113899847609E-2</v>
      </c>
      <c r="M232" s="147">
        <v>3.7346517515943214E-2</v>
      </c>
      <c r="N232" s="148">
        <f>(M232-M241)/M241*100</f>
        <v>-35.014258126629919</v>
      </c>
      <c r="P232" s="144">
        <f t="shared" si="33"/>
        <v>-9</v>
      </c>
      <c r="Q232" s="145">
        <f t="shared" ref="Q232:Q251" si="40">IF(ISERROR((R232-R$241)/R$241*100),"error",(R232-R$241)/R$241*100)</f>
        <v>-89.999999999999986</v>
      </c>
      <c r="R232" s="153">
        <f>R241+P232*(R241-R231)/10</f>
        <v>1.0000000000000009E-3</v>
      </c>
      <c r="S232" s="147">
        <v>8.135236559315466E-2</v>
      </c>
      <c r="T232" s="147">
        <v>7.0901908737973446E-2</v>
      </c>
      <c r="U232" s="148">
        <f>(T232-T241)/T241*100</f>
        <v>23.374639619562835</v>
      </c>
      <c r="W232" s="144">
        <f t="shared" si="34"/>
        <v>-9</v>
      </c>
      <c r="X232" s="145">
        <f t="shared" ref="X232:X251" si="41">IF(ISERROR((Y232-Y$241)/Y$241*100),"error",(Y232-Y$241)/Y$241*100)</f>
        <v>-90</v>
      </c>
      <c r="Y232" s="145">
        <f>Y241+W232*(Y241-Y231)/10</f>
        <v>9</v>
      </c>
      <c r="Z232" s="147">
        <v>9.3427126128813945E-2</v>
      </c>
      <c r="AA232" s="147">
        <v>8.1425555632443539E-2</v>
      </c>
      <c r="AB232" s="148">
        <f>(AA232-AA241)/AA241*100</f>
        <v>41.686574604091845</v>
      </c>
      <c r="AD232" s="144">
        <f t="shared" si="35"/>
        <v>-9</v>
      </c>
      <c r="AE232" s="145">
        <f t="shared" ref="AE232:AE251" si="42">IF(ISERROR((AF232-AF$241)/AF$241*100),"error",(AF232-AF$241)/AF$241*100)</f>
        <v>-72</v>
      </c>
      <c r="AF232" s="154">
        <f>AF241+AD232*(AF241-AF231)/10</f>
        <v>1.4</v>
      </c>
      <c r="AG232" s="147">
        <v>6.1182729401921841E-2</v>
      </c>
      <c r="AH232" s="147">
        <v>5.3323247145504064E-2</v>
      </c>
      <c r="AI232" s="148">
        <f>(AH232-AH241)/AH241*100</f>
        <v>-7.2135501424374855</v>
      </c>
      <c r="AK232" s="144">
        <f t="shared" si="36"/>
        <v>-9</v>
      </c>
      <c r="AL232" s="145">
        <f t="shared" ref="AL232:AL251" si="43">IF(ISERROR((AM232-AM$241)/AM$241*100),"error",(AM232-AM$241)/AM$241*100)</f>
        <v>-84</v>
      </c>
      <c r="AM232" s="154">
        <f>AM241+AK232*(AM241-AM231)/10</f>
        <v>2.4000000000000004</v>
      </c>
      <c r="AN232" s="147">
        <v>6.5037641297686022E-2</v>
      </c>
      <c r="AO232" s="147">
        <v>5.2769851826194515E-2</v>
      </c>
      <c r="AP232" s="148">
        <f>(AO232-AO241)/AO241*100</f>
        <v>-8.1764995087131798</v>
      </c>
      <c r="AR232" s="144">
        <f t="shared" si="37"/>
        <v>-9</v>
      </c>
      <c r="AS232" s="145">
        <f t="shared" ref="AS232:AS251" si="44">IF(ISERROR((AT232-AT$241)/AT$241*100),"error",(AT232-AT$241)/AT$241*100)</f>
        <v>-70.434782608695642</v>
      </c>
      <c r="AT232" s="155">
        <f>AT241+AR232*(AT241-AT231)/10</f>
        <v>6.8000000000000007</v>
      </c>
      <c r="AU232" s="147">
        <v>0.13386461888687812</v>
      </c>
      <c r="AV232" s="147">
        <v>0.11666848188566584</v>
      </c>
      <c r="AW232" s="148">
        <f>(AV232-AV241)/AV241*100</f>
        <v>103.01190988806843</v>
      </c>
      <c r="AY232" s="144">
        <f t="shared" si="38"/>
        <v>-9</v>
      </c>
      <c r="AZ232" s="145">
        <f t="shared" ref="AZ232:AZ251" si="45">IF(ISERROR((BA232-BA$241)/BA$241*100),"error",(BA232-BA$241)/BA$241*100)</f>
        <v>-47.647058823529406</v>
      </c>
      <c r="BA232" s="154">
        <f>BA241+AY232*(BA241-BA231)/10</f>
        <v>44.5</v>
      </c>
      <c r="BB232" s="147">
        <v>9.6429413700102315E-2</v>
      </c>
      <c r="BC232" s="147">
        <v>8.4042171852913364E-2</v>
      </c>
      <c r="BD232" s="148">
        <f>(BC232-BC241)/BC241*100</f>
        <v>46.23968310242865</v>
      </c>
    </row>
    <row r="233" spans="1:56">
      <c r="B233" s="144">
        <f t="shared" si="31"/>
        <v>-8</v>
      </c>
      <c r="C233" s="145">
        <f>IF(ISERROR((D233-D241)/D241*100),"error",(D233-D241)/D241*100)</f>
        <v>-80</v>
      </c>
      <c r="D233" s="145">
        <f>D241+B233*(D241-D231)/10</f>
        <v>175000</v>
      </c>
      <c r="E233" s="147">
        <v>4.6382539601120425E-2</v>
      </c>
      <c r="F233" s="147">
        <v>4.0424277350218786E-2</v>
      </c>
      <c r="G233" s="148">
        <f>(F233-F241)/F241*100</f>
        <v>-29.658725149476851</v>
      </c>
      <c r="I233" s="144">
        <f t="shared" si="32"/>
        <v>-8</v>
      </c>
      <c r="J233" s="145">
        <f t="shared" si="39"/>
        <v>-80</v>
      </c>
      <c r="K233" s="152">
        <f>K241+I233*(K241-K231)/10</f>
        <v>4.41</v>
      </c>
      <c r="L233" s="147">
        <v>4.5416489486923568E-2</v>
      </c>
      <c r="M233" s="147">
        <v>3.9582325225856002E-2</v>
      </c>
      <c r="N233" s="148">
        <f>(M233-M241)/M241*100</f>
        <v>-31.123785001448795</v>
      </c>
      <c r="P233" s="144">
        <f t="shared" si="33"/>
        <v>-8</v>
      </c>
      <c r="Q233" s="145">
        <f t="shared" si="40"/>
        <v>-80</v>
      </c>
      <c r="R233" s="153">
        <f>R241+P233*(R241-R231)/10</f>
        <v>2E-3</v>
      </c>
      <c r="S233" s="147">
        <v>7.9639802015526728E-2</v>
      </c>
      <c r="T233" s="147">
        <v>6.9409339645438425E-2</v>
      </c>
      <c r="U233" s="148">
        <f>(T233-T241)/T241*100</f>
        <v>20.777457439611421</v>
      </c>
      <c r="W233" s="144">
        <f t="shared" si="34"/>
        <v>-8</v>
      </c>
      <c r="X233" s="145">
        <f t="shared" si="41"/>
        <v>-80</v>
      </c>
      <c r="Y233" s="145">
        <f>Y241+W233*(Y241-Y231)/10</f>
        <v>18</v>
      </c>
      <c r="Z233" s="147">
        <v>9.0372922491668312E-2</v>
      </c>
      <c r="AA233" s="147">
        <v>7.8763692440522934E-2</v>
      </c>
      <c r="AB233" s="148">
        <f>(AA233-AA241)/AA241*100</f>
        <v>37.054732981414958</v>
      </c>
      <c r="AD233" s="144">
        <f t="shared" si="35"/>
        <v>-8</v>
      </c>
      <c r="AE233" s="145">
        <f t="shared" si="42"/>
        <v>-64</v>
      </c>
      <c r="AF233" s="154">
        <f>AF241+AD233*(AF241-AF231)/10</f>
        <v>1.7999999999999998</v>
      </c>
      <c r="AG233" s="147">
        <v>6.1654619249754149E-2</v>
      </c>
      <c r="AH233" s="147">
        <v>5.373451841809012E-2</v>
      </c>
      <c r="AI233" s="148">
        <f>(AH233-AH241)/AH241*100</f>
        <v>-6.4979072783123328</v>
      </c>
      <c r="AK233" s="144">
        <f t="shared" si="36"/>
        <v>-8</v>
      </c>
      <c r="AL233" s="145">
        <f t="shared" si="43"/>
        <v>-74.666666666666657</v>
      </c>
      <c r="AM233" s="154">
        <f>AM241+AK233*(AM241-AM231)/10</f>
        <v>3.8000000000000007</v>
      </c>
      <c r="AN233" s="147">
        <v>6.4978515590785643E-2</v>
      </c>
      <c r="AO233" s="147">
        <v>5.3214405595510224E-2</v>
      </c>
      <c r="AP233" s="148">
        <f>(AO233-AO241)/AO241*100</f>
        <v>-7.4029426037286283</v>
      </c>
      <c r="AR233" s="144">
        <f t="shared" si="37"/>
        <v>-8</v>
      </c>
      <c r="AS233" s="145">
        <f t="shared" si="44"/>
        <v>-62.608695652173921</v>
      </c>
      <c r="AT233" s="155">
        <f>AT241+AR233*(AT241-AT231)/10</f>
        <v>8.6</v>
      </c>
      <c r="AU233" s="147">
        <v>0.11368009063979</v>
      </c>
      <c r="AV233" s="147">
        <v>9.9076841258383216E-2</v>
      </c>
      <c r="AW233" s="148">
        <f>(AV233-AV241)/AV241*100</f>
        <v>72.401135631924092</v>
      </c>
      <c r="AY233" s="144">
        <f t="shared" si="38"/>
        <v>-8</v>
      </c>
      <c r="AZ233" s="145">
        <f t="shared" si="45"/>
        <v>-42.352941176470587</v>
      </c>
      <c r="BA233" s="154">
        <f>BA241+AY233*(BA241-BA231)/10</f>
        <v>49</v>
      </c>
      <c r="BB233" s="147">
        <v>9.0552633142333819E-2</v>
      </c>
      <c r="BC233" s="147">
        <v>7.892031761128257E-2</v>
      </c>
      <c r="BD233" s="148">
        <f>(BC233-BC241)/BC241*100</f>
        <v>37.327272527130646</v>
      </c>
    </row>
    <row r="234" spans="1:56">
      <c r="B234" s="144">
        <f t="shared" si="31"/>
        <v>-7</v>
      </c>
      <c r="C234" s="145">
        <f>IF(ISERROR((D234-D241)/D241*100),"error",(D234-D241)/D241*100)</f>
        <v>-70</v>
      </c>
      <c r="D234" s="145">
        <f>D241+B234*(D241-D231)/10</f>
        <v>262500</v>
      </c>
      <c r="E234" s="147">
        <v>4.8827133825293301E-2</v>
      </c>
      <c r="F234" s="147">
        <v>4.255484104458622E-2</v>
      </c>
      <c r="G234" s="148">
        <f>(F234-F241)/F241*100</f>
        <v>-25.95138450579223</v>
      </c>
      <c r="I234" s="144">
        <f t="shared" si="32"/>
        <v>-7</v>
      </c>
      <c r="J234" s="145">
        <f t="shared" si="39"/>
        <v>-70</v>
      </c>
      <c r="K234" s="152">
        <f>K241+I234*(K241-K231)/10</f>
        <v>6.615000000000002</v>
      </c>
      <c r="L234" s="147">
        <v>4.7981839975371053E-2</v>
      </c>
      <c r="M234" s="147">
        <v>4.181813293576879E-2</v>
      </c>
      <c r="N234" s="148">
        <f>(M234-M241)/M241*100</f>
        <v>-27.233311876267674</v>
      </c>
      <c r="P234" s="144">
        <f t="shared" si="33"/>
        <v>-7</v>
      </c>
      <c r="Q234" s="145">
        <f t="shared" si="40"/>
        <v>-70</v>
      </c>
      <c r="R234" s="153">
        <f>R241+P234*(R241-R231)/10</f>
        <v>2.9999999999999992E-3</v>
      </c>
      <c r="S234" s="147">
        <v>7.7927238437898796E-2</v>
      </c>
      <c r="T234" s="147">
        <v>6.7916770552903377E-2</v>
      </c>
      <c r="U234" s="148">
        <f>(T234-T241)/T241*100</f>
        <v>18.180275259659957</v>
      </c>
      <c r="W234" s="144">
        <f t="shared" si="34"/>
        <v>-7</v>
      </c>
      <c r="X234" s="145">
        <f t="shared" si="41"/>
        <v>-70</v>
      </c>
      <c r="Y234" s="145">
        <f>Y241+W234*(Y241-Y231)/10</f>
        <v>27</v>
      </c>
      <c r="Z234" s="147">
        <v>8.7318718854522706E-2</v>
      </c>
      <c r="AA234" s="147">
        <v>7.6101829248602371E-2</v>
      </c>
      <c r="AB234" s="148">
        <f>(AA234-AA241)/AA241*100</f>
        <v>32.422891358738134</v>
      </c>
      <c r="AD234" s="144">
        <f t="shared" si="35"/>
        <v>-7</v>
      </c>
      <c r="AE234" s="145">
        <f t="shared" si="42"/>
        <v>-55.999999999999993</v>
      </c>
      <c r="AF234" s="154">
        <f>AF241+AD234*(AF241-AF231)/10</f>
        <v>2.2000000000000002</v>
      </c>
      <c r="AG234" s="147">
        <v>6.2140981664582921E-2</v>
      </c>
      <c r="AH234" s="147">
        <v>5.4158403123818588E-2</v>
      </c>
      <c r="AI234" s="148">
        <f>(AH234-AH241)/AH241*100</f>
        <v>-5.7603160943744971</v>
      </c>
      <c r="AK234" s="144">
        <f t="shared" si="36"/>
        <v>-7</v>
      </c>
      <c r="AL234" s="145">
        <f t="shared" si="43"/>
        <v>-65.333333333333343</v>
      </c>
      <c r="AM234" s="154">
        <f>AM241+AK234*(AM241-AM231)/10</f>
        <v>5.1999999999999993</v>
      </c>
      <c r="AN234" s="147">
        <v>6.4956956859175949E-2</v>
      </c>
      <c r="AO234" s="147">
        <v>5.3680014092173968E-2</v>
      </c>
      <c r="AP234" s="148">
        <f>(AO234-AO241)/AO241*100</f>
        <v>-6.5927488938245959</v>
      </c>
      <c r="AR234" s="144">
        <f t="shared" si="37"/>
        <v>-7</v>
      </c>
      <c r="AS234" s="145">
        <f t="shared" si="44"/>
        <v>-54.782608695652172</v>
      </c>
      <c r="AT234" s="155">
        <f>AT241+AR234*(AT241-AT231)/10</f>
        <v>10.4</v>
      </c>
      <c r="AU234" s="147">
        <v>0.10048251447823238</v>
      </c>
      <c r="AV234" s="147">
        <v>8.7574614694390721E-2</v>
      </c>
      <c r="AW234" s="148">
        <f>(AV234-AV241)/AV241*100</f>
        <v>52.386398618291217</v>
      </c>
      <c r="AY234" s="144">
        <f t="shared" si="38"/>
        <v>-7</v>
      </c>
      <c r="AZ234" s="145">
        <f t="shared" si="45"/>
        <v>-37.058823529411768</v>
      </c>
      <c r="BA234" s="154">
        <f>BA241+AY234*(BA241-BA231)/10</f>
        <v>53.5</v>
      </c>
      <c r="BB234" s="147">
        <v>8.5664469874657229E-2</v>
      </c>
      <c r="BC234" s="147">
        <v>7.4660083709365374E-2</v>
      </c>
      <c r="BD234" s="148">
        <f>(BC234-BC241)/BC241*100</f>
        <v>29.9141459738454</v>
      </c>
    </row>
    <row r="235" spans="1:56">
      <c r="B235" s="144">
        <f t="shared" si="31"/>
        <v>-6</v>
      </c>
      <c r="C235" s="145">
        <f>IF(ISERROR((D235-D241)/D241*100),"error",(D235-D241)/D241*100)</f>
        <v>-60</v>
      </c>
      <c r="D235" s="145">
        <f>D241+B235*(D241-D231)/10</f>
        <v>350000</v>
      </c>
      <c r="E235" s="147">
        <v>5.1271728049466163E-2</v>
      </c>
      <c r="F235" s="147">
        <v>4.4685404738953653E-2</v>
      </c>
      <c r="G235" s="148">
        <f>(F235-F241)/F241*100</f>
        <v>-22.244043862107613</v>
      </c>
      <c r="I235" s="144">
        <f t="shared" si="32"/>
        <v>-6</v>
      </c>
      <c r="J235" s="145">
        <f t="shared" si="39"/>
        <v>-60</v>
      </c>
      <c r="K235" s="152">
        <f>K241+I235*(K241-K231)/10</f>
        <v>8.82</v>
      </c>
      <c r="L235" s="147">
        <v>5.0547190463818503E-2</v>
      </c>
      <c r="M235" s="147">
        <v>4.405394064568155E-2</v>
      </c>
      <c r="N235" s="148">
        <f>(M235-M241)/M241*100</f>
        <v>-23.3428387510866</v>
      </c>
      <c r="P235" s="144">
        <f t="shared" si="33"/>
        <v>-6</v>
      </c>
      <c r="Q235" s="145">
        <f t="shared" si="40"/>
        <v>-60</v>
      </c>
      <c r="R235" s="153">
        <f>R241+P235*(R241-R231)/10</f>
        <v>4.0000000000000001E-3</v>
      </c>
      <c r="S235" s="147">
        <v>7.6214674860270878E-2</v>
      </c>
      <c r="T235" s="147">
        <v>6.6424201460368384E-2</v>
      </c>
      <c r="U235" s="148">
        <f>(T235-T241)/T241*100</f>
        <v>15.583093079708593</v>
      </c>
      <c r="W235" s="144">
        <f t="shared" si="34"/>
        <v>-6</v>
      </c>
      <c r="X235" s="145">
        <f t="shared" si="41"/>
        <v>-60</v>
      </c>
      <c r="Y235" s="145">
        <f>Y241+W235*(Y241-Y231)/10</f>
        <v>36</v>
      </c>
      <c r="Z235" s="147">
        <v>8.4264515217377073E-2</v>
      </c>
      <c r="AA235" s="147">
        <v>7.343996605668178E-2</v>
      </c>
      <c r="AB235" s="148">
        <f>(AA235-AA241)/AA241*100</f>
        <v>27.791049736061268</v>
      </c>
      <c r="AD235" s="144">
        <f t="shared" si="35"/>
        <v>-6</v>
      </c>
      <c r="AE235" s="145">
        <f t="shared" si="42"/>
        <v>-48</v>
      </c>
      <c r="AF235" s="154">
        <f>AF241+AD235*(AF241-AF231)/10</f>
        <v>2.6</v>
      </c>
      <c r="AG235" s="147">
        <v>6.264170342603971E-2</v>
      </c>
      <c r="AH235" s="147">
        <v>5.4594802586514904E-2</v>
      </c>
      <c r="AI235" s="148">
        <f>(AH235-AH241)/AH241*100</f>
        <v>-5.0009482945695103</v>
      </c>
      <c r="AK235" s="144">
        <f t="shared" si="36"/>
        <v>-6</v>
      </c>
      <c r="AL235" s="145">
        <f t="shared" si="43"/>
        <v>-56.000000000000007</v>
      </c>
      <c r="AM235" s="154">
        <f>AM241+AK235*(AM241-AM231)/10</f>
        <v>6.6</v>
      </c>
      <c r="AN235" s="147">
        <v>6.4975139893464345E-2</v>
      </c>
      <c r="AO235" s="147">
        <v>5.4166312473620574E-2</v>
      </c>
      <c r="AP235" s="148">
        <f>(AO235-AO241)/AO241*100</f>
        <v>-5.7465532324316486</v>
      </c>
      <c r="AR235" s="144">
        <f t="shared" si="37"/>
        <v>-6</v>
      </c>
      <c r="AS235" s="145">
        <f t="shared" si="44"/>
        <v>-46.956521739130437</v>
      </c>
      <c r="AT235" s="155">
        <f>AT241+AR235*(AT241-AT231)/10</f>
        <v>12.2</v>
      </c>
      <c r="AU235" s="147">
        <v>9.1179305052872126E-2</v>
      </c>
      <c r="AV235" s="147">
        <v>7.94664877722321E-2</v>
      </c>
      <c r="AW235" s="148">
        <f>(AV235-AV241)/AV241*100</f>
        <v>38.277649575894323</v>
      </c>
      <c r="AY235" s="144">
        <f t="shared" si="38"/>
        <v>-6</v>
      </c>
      <c r="AZ235" s="145">
        <f t="shared" si="45"/>
        <v>-31.764705882352938</v>
      </c>
      <c r="BA235" s="154">
        <f>BA241+AY235*(BA241-BA231)/10</f>
        <v>58</v>
      </c>
      <c r="BB235" s="147">
        <v>8.1534814700240751E-2</v>
      </c>
      <c r="BC235" s="147">
        <v>7.1060920585331838E-2</v>
      </c>
      <c r="BD235" s="148">
        <f>(BC235-BC241)/BC241*100</f>
        <v>23.651332161587106</v>
      </c>
    </row>
    <row r="236" spans="1:56">
      <c r="B236" s="144">
        <f t="shared" si="31"/>
        <v>-5</v>
      </c>
      <c r="C236" s="145">
        <f>IF(ISERROR((D236-D241)/D241*100),"error",(D236-D241)/D241*100)</f>
        <v>-50</v>
      </c>
      <c r="D236" s="145">
        <f>D241+B236*(D241-D231)/10</f>
        <v>437500</v>
      </c>
      <c r="E236" s="147">
        <v>5.3716322273639004E-2</v>
      </c>
      <c r="F236" s="147">
        <v>4.6815968433321066E-2</v>
      </c>
      <c r="G236" s="148">
        <f>(F236-F241)/F241*100</f>
        <v>-18.536703218423032</v>
      </c>
      <c r="I236" s="144">
        <f t="shared" si="32"/>
        <v>-5</v>
      </c>
      <c r="J236" s="145">
        <f t="shared" si="39"/>
        <v>-50</v>
      </c>
      <c r="K236" s="152">
        <f>K241+I236*(K241-K231)/10</f>
        <v>11.025</v>
      </c>
      <c r="L236" s="147">
        <v>5.3112540952265974E-2</v>
      </c>
      <c r="M236" s="147">
        <v>4.628974835559433E-2</v>
      </c>
      <c r="N236" s="148">
        <f>(M236-M241)/M241*100</f>
        <v>-19.45236562590549</v>
      </c>
      <c r="P236" s="144">
        <f t="shared" si="33"/>
        <v>-5</v>
      </c>
      <c r="Q236" s="145">
        <f t="shared" si="40"/>
        <v>-50</v>
      </c>
      <c r="R236" s="153">
        <f>R241+P236*(R241-R231)/10</f>
        <v>5.0000000000000001E-3</v>
      </c>
      <c r="S236" s="147">
        <v>7.4502111282642947E-2</v>
      </c>
      <c r="T236" s="147">
        <v>6.4931632367833336E-2</v>
      </c>
      <c r="U236" s="148">
        <f>(T236-T241)/T241*100</f>
        <v>12.98591089975713</v>
      </c>
      <c r="W236" s="144">
        <f t="shared" si="34"/>
        <v>-5</v>
      </c>
      <c r="X236" s="145">
        <f t="shared" si="41"/>
        <v>-50</v>
      </c>
      <c r="Y236" s="145">
        <f>Y241+W236*(Y241-Y231)/10</f>
        <v>45</v>
      </c>
      <c r="Z236" s="147">
        <v>8.1210311580231453E-2</v>
      </c>
      <c r="AA236" s="147">
        <v>7.0778102864761203E-2</v>
      </c>
      <c r="AB236" s="148">
        <f>(AA236-AA241)/AA241*100</f>
        <v>23.159208113384423</v>
      </c>
      <c r="AD236" s="144">
        <f t="shared" si="35"/>
        <v>-5</v>
      </c>
      <c r="AE236" s="145">
        <f t="shared" si="42"/>
        <v>-40</v>
      </c>
      <c r="AF236" s="154">
        <f>AF241+AD236*(AF241-AF231)/10</f>
        <v>3</v>
      </c>
      <c r="AG236" s="147">
        <v>6.3156655066063286E-2</v>
      </c>
      <c r="AH236" s="147">
        <v>5.5043603969476704E-2</v>
      </c>
      <c r="AI236" s="148">
        <f>(AH236-AH241)/AH241*100</f>
        <v>-4.2200002232234679</v>
      </c>
      <c r="AK236" s="144">
        <f t="shared" si="36"/>
        <v>-5</v>
      </c>
      <c r="AL236" s="145">
        <f t="shared" si="43"/>
        <v>-46.666666666666664</v>
      </c>
      <c r="AM236" s="154">
        <f>AM241+AK236*(AM241-AM231)/10</f>
        <v>8</v>
      </c>
      <c r="AN236" s="147">
        <v>6.5034353026580186E-2</v>
      </c>
      <c r="AO236" s="147">
        <v>5.4672656816481119E-2</v>
      </c>
      <c r="AP236" s="148">
        <f>(AO236-AO241)/AO241*100</f>
        <v>-4.8654760945129842</v>
      </c>
      <c r="AR236" s="144">
        <f t="shared" si="37"/>
        <v>-5</v>
      </c>
      <c r="AS236" s="145">
        <f t="shared" si="44"/>
        <v>-39.130434782608695</v>
      </c>
      <c r="AT236" s="155">
        <f>AT241+AR236*(AT241-AT231)/10</f>
        <v>14</v>
      </c>
      <c r="AU236" s="147">
        <v>8.426834947974729E-2</v>
      </c>
      <c r="AV236" s="147">
        <v>7.3443307772914218E-2</v>
      </c>
      <c r="AW236" s="148">
        <f>(AV236-AV241)/AV241*100</f>
        <v>27.796864572970829</v>
      </c>
      <c r="AY236" s="144">
        <f t="shared" si="38"/>
        <v>-5</v>
      </c>
      <c r="AZ236" s="145">
        <f t="shared" si="45"/>
        <v>-26.47058823529412</v>
      </c>
      <c r="BA236" s="154">
        <f>BA241+AY236*(BA241-BA231)/10</f>
        <v>62.5</v>
      </c>
      <c r="BB236" s="147">
        <v>7.7999829870940257E-2</v>
      </c>
      <c r="BC236" s="147">
        <v>6.7980036951159145E-2</v>
      </c>
      <c r="BD236" s="148">
        <f>(BC236-BC241)/BC241*100</f>
        <v>18.290363538294024</v>
      </c>
    </row>
    <row r="237" spans="1:56">
      <c r="B237" s="144">
        <f t="shared" si="31"/>
        <v>-4</v>
      </c>
      <c r="C237" s="145">
        <f>IF(ISERROR((D237-D241)/D241*100),"error",(D237-D241)/D241*100)</f>
        <v>-40</v>
      </c>
      <c r="D237" s="145">
        <f>D241+B237*(D241-D231)/10</f>
        <v>525000</v>
      </c>
      <c r="E237" s="147">
        <v>5.6160916497811887E-2</v>
      </c>
      <c r="F237" s="147">
        <v>4.8946532127688513E-2</v>
      </c>
      <c r="G237" s="148">
        <f>(F237-F241)/F241*100</f>
        <v>-14.829362574738388</v>
      </c>
      <c r="I237" s="144">
        <f t="shared" si="32"/>
        <v>-4</v>
      </c>
      <c r="J237" s="145">
        <f t="shared" si="39"/>
        <v>-40</v>
      </c>
      <c r="K237" s="152">
        <f>K241+I237*(K241-K231)/10</f>
        <v>13.23</v>
      </c>
      <c r="L237" s="147">
        <v>5.5677891440713445E-2</v>
      </c>
      <c r="M237" s="147">
        <v>4.8525556065507104E-2</v>
      </c>
      <c r="N237" s="148">
        <f>(M237-M241)/M241*100</f>
        <v>-15.561892500724392</v>
      </c>
      <c r="P237" s="144">
        <f t="shared" si="33"/>
        <v>-4</v>
      </c>
      <c r="Q237" s="145">
        <f t="shared" si="40"/>
        <v>-40</v>
      </c>
      <c r="R237" s="153">
        <f>R241+P237*(R241-R231)/10</f>
        <v>6.0000000000000001E-3</v>
      </c>
      <c r="S237" s="147">
        <v>7.2789547705015015E-2</v>
      </c>
      <c r="T237" s="147">
        <v>6.3439063275298316E-2</v>
      </c>
      <c r="U237" s="148">
        <f>(T237-T241)/T241*100</f>
        <v>10.388728719805716</v>
      </c>
      <c r="W237" s="144">
        <f t="shared" si="34"/>
        <v>-4</v>
      </c>
      <c r="X237" s="145">
        <f t="shared" si="41"/>
        <v>-40</v>
      </c>
      <c r="Y237" s="145">
        <f>Y241+W237*(Y241-Y231)/10</f>
        <v>54</v>
      </c>
      <c r="Z237" s="147">
        <v>7.8156107943085834E-2</v>
      </c>
      <c r="AA237" s="147">
        <v>6.8116239672840598E-2</v>
      </c>
      <c r="AB237" s="148">
        <f>(AA237-AA241)/AA241*100</f>
        <v>18.527366490707532</v>
      </c>
      <c r="AD237" s="144">
        <f t="shared" si="35"/>
        <v>-4</v>
      </c>
      <c r="AE237" s="145">
        <f t="shared" si="42"/>
        <v>-32</v>
      </c>
      <c r="AF237" s="154">
        <f>AF241+AD237*(AF241-AF231)/10</f>
        <v>3.4</v>
      </c>
      <c r="AG237" s="147">
        <v>6.368569164164023E-2</v>
      </c>
      <c r="AH237" s="147">
        <v>5.5504680948948865E-2</v>
      </c>
      <c r="AI237" s="148">
        <f>(AH237-AH241)/AH241*100</f>
        <v>-3.417691693145942</v>
      </c>
      <c r="AK237" s="144">
        <f t="shared" si="36"/>
        <v>-4</v>
      </c>
      <c r="AL237" s="145">
        <f t="shared" si="43"/>
        <v>-37.333333333333329</v>
      </c>
      <c r="AM237" s="154">
        <f>AM241+AK237*(AM241-AM231)/10</f>
        <v>9.4</v>
      </c>
      <c r="AN237" s="147">
        <v>6.5135064833082651E-2</v>
      </c>
      <c r="AO237" s="147">
        <v>5.5198167519636611E-2</v>
      </c>
      <c r="AP237" s="148">
        <f>(AO237-AO241)/AO241*100</f>
        <v>-3.9510480519953095</v>
      </c>
      <c r="AR237" s="144">
        <f t="shared" si="37"/>
        <v>-4</v>
      </c>
      <c r="AS237" s="145">
        <f t="shared" si="44"/>
        <v>-31.304347826086953</v>
      </c>
      <c r="AT237" s="155">
        <f>AT241+AR237*(AT241-AT231)/10</f>
        <v>15.8</v>
      </c>
      <c r="AU237" s="147">
        <v>7.8932042011891468E-2</v>
      </c>
      <c r="AV237" s="147">
        <v>6.8792497900023244E-2</v>
      </c>
      <c r="AW237" s="148">
        <f>(AV237-AV241)/AV241*100</f>
        <v>19.704106532738848</v>
      </c>
      <c r="AY237" s="144">
        <f t="shared" si="38"/>
        <v>-4</v>
      </c>
      <c r="AZ237" s="145">
        <f t="shared" si="45"/>
        <v>-21.176470588235293</v>
      </c>
      <c r="BA237" s="154">
        <f>BA241+AY237*(BA241-BA231)/10</f>
        <v>67</v>
      </c>
      <c r="BB237" s="147">
        <v>7.4939693750053299E-2</v>
      </c>
      <c r="BC237" s="147">
        <v>6.5313003357397745E-2</v>
      </c>
      <c r="BD237" s="148">
        <f>(BC237-BC241)/BC241*100</f>
        <v>13.649525028577688</v>
      </c>
    </row>
    <row r="238" spans="1:56">
      <c r="B238" s="144">
        <f t="shared" si="31"/>
        <v>-3</v>
      </c>
      <c r="C238" s="145">
        <f>IF(ISERROR((D238-D241)/D241*100),"error",(D238-D241)/D241*100)</f>
        <v>-30</v>
      </c>
      <c r="D238" s="145">
        <f>D241+B238*(D241-D231)/10</f>
        <v>612500</v>
      </c>
      <c r="E238" s="147">
        <v>5.8605510721984756E-2</v>
      </c>
      <c r="F238" s="147">
        <v>5.1077095822055947E-2</v>
      </c>
      <c r="G238" s="148">
        <f>(F238-F241)/F241*100</f>
        <v>-11.122021931053769</v>
      </c>
      <c r="I238" s="144">
        <f t="shared" si="32"/>
        <v>-3</v>
      </c>
      <c r="J238" s="145">
        <f t="shared" si="39"/>
        <v>-30</v>
      </c>
      <c r="K238" s="152">
        <f>K241+I238*(K241-K231)/10</f>
        <v>15.435</v>
      </c>
      <c r="L238" s="147">
        <v>5.8243241929160923E-2</v>
      </c>
      <c r="M238" s="147">
        <v>5.0761363775419892E-2</v>
      </c>
      <c r="N238" s="148">
        <f>(M238-M241)/M241*100</f>
        <v>-11.67141937554327</v>
      </c>
      <c r="P238" s="144">
        <f t="shared" si="33"/>
        <v>-3</v>
      </c>
      <c r="Q238" s="145">
        <f t="shared" si="40"/>
        <v>-30</v>
      </c>
      <c r="R238" s="153">
        <f>R241+P238*(R241-R231)/10</f>
        <v>7.0000000000000001E-3</v>
      </c>
      <c r="S238" s="147">
        <v>7.1076984127387083E-2</v>
      </c>
      <c r="T238" s="147">
        <v>6.1946494182763288E-2</v>
      </c>
      <c r="U238" s="148">
        <f>(T238-T241)/T241*100</f>
        <v>7.7915465398542896</v>
      </c>
      <c r="W238" s="144">
        <f t="shared" si="34"/>
        <v>-3</v>
      </c>
      <c r="X238" s="145">
        <f t="shared" si="41"/>
        <v>-30</v>
      </c>
      <c r="Y238" s="145">
        <f>Y241+W238*(Y241-Y231)/10</f>
        <v>63</v>
      </c>
      <c r="Z238" s="147">
        <v>7.5101904305940201E-2</v>
      </c>
      <c r="AA238" s="147">
        <v>6.5454376480920007E-2</v>
      </c>
      <c r="AB238" s="148">
        <f>(AA238-AA241)/AA241*100</f>
        <v>13.895524868030664</v>
      </c>
      <c r="AD238" s="144">
        <f t="shared" si="35"/>
        <v>-3</v>
      </c>
      <c r="AE238" s="145">
        <f t="shared" si="42"/>
        <v>-24.000000000000004</v>
      </c>
      <c r="AF238" s="154">
        <f>AF241+AD238*(AF241-AF231)/10</f>
        <v>3.8</v>
      </c>
      <c r="AG238" s="147">
        <v>6.4228653549825737E-2</v>
      </c>
      <c r="AH238" s="147">
        <v>5.5977894424447408E-2</v>
      </c>
      <c r="AI238" s="148">
        <f>(AH238-AH241)/AH241*100</f>
        <v>-2.5942647496131048</v>
      </c>
      <c r="AK238" s="144">
        <f t="shared" si="36"/>
        <v>-3</v>
      </c>
      <c r="AL238" s="145">
        <f t="shared" si="43"/>
        <v>-27.999999999999996</v>
      </c>
      <c r="AM238" s="154">
        <f>AM241+AK238*(AM241-AM231)/10</f>
        <v>10.8</v>
      </c>
      <c r="AN238" s="147">
        <v>6.5277019202687386E-2</v>
      </c>
      <c r="AO238" s="147">
        <v>5.5741778217055046E-2</v>
      </c>
      <c r="AP238" s="148">
        <f>(AO238-AO241)/AO241*100</f>
        <v>-3.00512466176338</v>
      </c>
      <c r="AR238" s="144">
        <f t="shared" si="37"/>
        <v>-3</v>
      </c>
      <c r="AS238" s="145">
        <f t="shared" si="44"/>
        <v>-23.478260869565212</v>
      </c>
      <c r="AT238" s="155">
        <f>AT241+AR238*(AT241-AT231)/10</f>
        <v>17.600000000000001</v>
      </c>
      <c r="AU238" s="147">
        <v>7.4687251980642508E-2</v>
      </c>
      <c r="AV238" s="147">
        <v>6.5092990046587237E-2</v>
      </c>
      <c r="AW238" s="148">
        <f>(AV238-AV241)/AV241*100</f>
        <v>13.266685364372494</v>
      </c>
      <c r="AY238" s="144">
        <f t="shared" si="38"/>
        <v>-3</v>
      </c>
      <c r="AZ238" s="145">
        <f t="shared" si="45"/>
        <v>-15.882352941176469</v>
      </c>
      <c r="BA238" s="154">
        <f>BA241+AY238*(BA241-BA231)/10</f>
        <v>71.5</v>
      </c>
      <c r="BB238" s="147">
        <v>7.2264749588438773E-2</v>
      </c>
      <c r="BC238" s="147">
        <v>6.2981680285927932E-2</v>
      </c>
      <c r="BD238" s="148">
        <f>(BC238-BC241)/BC241*100</f>
        <v>9.5928480095947783</v>
      </c>
    </row>
    <row r="239" spans="1:56">
      <c r="B239" s="144">
        <f>B240-1</f>
        <v>-2</v>
      </c>
      <c r="C239" s="145">
        <f>IF(ISERROR((D239-D241)/D241*100),"error",(D239-D241)/D241*100)</f>
        <v>-20</v>
      </c>
      <c r="D239" s="145">
        <f>D241+B239*(D241-D231)/10</f>
        <v>700000</v>
      </c>
      <c r="E239" s="147">
        <v>6.1050104946157577E-2</v>
      </c>
      <c r="F239" s="147">
        <v>5.3207659516423339E-2</v>
      </c>
      <c r="G239" s="148">
        <f>(F239-F241)/F241*100</f>
        <v>-7.4146812873692252</v>
      </c>
      <c r="I239" s="144">
        <f>I240-1</f>
        <v>-2</v>
      </c>
      <c r="J239" s="145">
        <f t="shared" si="39"/>
        <v>-20</v>
      </c>
      <c r="K239" s="152">
        <f>K241+I239*(K241-K231)/10</f>
        <v>17.64</v>
      </c>
      <c r="L239" s="147">
        <v>6.0808592417608387E-2</v>
      </c>
      <c r="M239" s="147">
        <v>5.2997171485332659E-2</v>
      </c>
      <c r="N239" s="148">
        <f>(M239-M241)/M241*100</f>
        <v>-7.7809462503621836</v>
      </c>
      <c r="P239" s="144">
        <f>P240-1</f>
        <v>-2</v>
      </c>
      <c r="Q239" s="145">
        <f t="shared" si="40"/>
        <v>-20</v>
      </c>
      <c r="R239" s="153">
        <f>R241+P239*(R241-R231)/10</f>
        <v>8.0000000000000002E-3</v>
      </c>
      <c r="S239" s="147">
        <v>6.9364420549759193E-2</v>
      </c>
      <c r="T239" s="147">
        <v>6.0453925090228275E-2</v>
      </c>
      <c r="U239" s="148">
        <f>(T239-T241)/T241*100</f>
        <v>5.194364359902889</v>
      </c>
      <c r="W239" s="144">
        <f>W240-1</f>
        <v>-2</v>
      </c>
      <c r="X239" s="145">
        <f t="shared" si="41"/>
        <v>-20</v>
      </c>
      <c r="Y239" s="145">
        <f>Y241+W239*(Y241-Y231)/10</f>
        <v>72</v>
      </c>
      <c r="Z239" s="147">
        <v>7.2047700668794581E-2</v>
      </c>
      <c r="AA239" s="147">
        <v>6.2792513288999402E-2</v>
      </c>
      <c r="AB239" s="148">
        <f>(AA239-AA241)/AA241*100</f>
        <v>9.2636832453537732</v>
      </c>
      <c r="AD239" s="144">
        <f>AD240-1</f>
        <v>-2</v>
      </c>
      <c r="AE239" s="145">
        <f t="shared" si="42"/>
        <v>-15.999999999999998</v>
      </c>
      <c r="AF239" s="154">
        <f>AF241+AD239*(AF241-AF231)/10</f>
        <v>4.2</v>
      </c>
      <c r="AG239" s="147">
        <v>6.4785367378191863E-2</v>
      </c>
      <c r="AH239" s="147">
        <v>5.6463093259959865E-2</v>
      </c>
      <c r="AI239" s="148">
        <f>(AH239-AH241)/AH241*100</f>
        <v>-1.7499823806235011</v>
      </c>
      <c r="AK239" s="144">
        <f>AK240-1</f>
        <v>-2</v>
      </c>
      <c r="AL239" s="145">
        <f t="shared" si="43"/>
        <v>-18.666666666666671</v>
      </c>
      <c r="AM239" s="154">
        <f>AM241+AK239*(AM241-AM231)/10</f>
        <v>12.2</v>
      </c>
      <c r="AN239" s="147">
        <v>6.5459347261172113E-2</v>
      </c>
      <c r="AO239" s="147">
        <v>5.6302286153879701E-2</v>
      </c>
      <c r="AP239" s="148">
        <f>(AO239-AO241)/AO241*100</f>
        <v>-2.0297988074876128</v>
      </c>
      <c r="AR239" s="144">
        <f>AR240-1</f>
        <v>-2</v>
      </c>
      <c r="AS239" s="145">
        <f t="shared" si="44"/>
        <v>-15.652173913043486</v>
      </c>
      <c r="AT239" s="155">
        <f>AT241+AR239*(AT241-AT231)/10</f>
        <v>19.399999999999999</v>
      </c>
      <c r="AU239" s="147">
        <v>7.1230154944883051E-2</v>
      </c>
      <c r="AV239" s="147">
        <v>6.2079988805129049E-2</v>
      </c>
      <c r="AW239" s="148">
        <f>(AV239-AV241)/AV241*100</f>
        <v>8.023837196321546</v>
      </c>
      <c r="AY239" s="144">
        <f>AY240-1</f>
        <v>-2</v>
      </c>
      <c r="AZ239" s="145">
        <f t="shared" si="45"/>
        <v>-10.588235294117647</v>
      </c>
      <c r="BA239" s="154">
        <f>BA241+AY239*(BA241-BA231)/10</f>
        <v>76</v>
      </c>
      <c r="BB239" s="147">
        <v>6.9906575130173385E-2</v>
      </c>
      <c r="BC239" s="147">
        <v>6.0926434946605906E-2</v>
      </c>
      <c r="BD239" s="148">
        <f>(BC239-BC241)/BC241*100</f>
        <v>6.0165669533862394</v>
      </c>
    </row>
    <row r="240" spans="1:56">
      <c r="B240" s="144">
        <v>-1</v>
      </c>
      <c r="C240" s="145">
        <f>IF(ISERROR((D240-D241)/D241*100),"error",(D240-D241)/D241*100)</f>
        <v>-10</v>
      </c>
      <c r="D240" s="145">
        <f>D241+B240*(D241-D231)/10</f>
        <v>787500</v>
      </c>
      <c r="E240" s="147">
        <v>6.349469917033046E-2</v>
      </c>
      <c r="F240" s="147">
        <v>5.5338223210790786E-2</v>
      </c>
      <c r="G240" s="148">
        <f>(F240-F241)/F241*100</f>
        <v>-3.7073406436845819</v>
      </c>
      <c r="I240" s="144">
        <v>-1</v>
      </c>
      <c r="J240" s="145">
        <f t="shared" si="39"/>
        <v>-10.000000000000007</v>
      </c>
      <c r="K240" s="152">
        <f>K241+I240*(K241-K231)/10</f>
        <v>19.844999999999999</v>
      </c>
      <c r="L240" s="147">
        <v>6.337394290605583E-2</v>
      </c>
      <c r="M240" s="147">
        <v>5.5232979195245425E-2</v>
      </c>
      <c r="N240" s="148">
        <f>(M240-M241)/M241*100</f>
        <v>-3.890473125181098</v>
      </c>
      <c r="P240" s="144">
        <v>-1</v>
      </c>
      <c r="Q240" s="145">
        <f t="shared" si="40"/>
        <v>-9.9999999999999911</v>
      </c>
      <c r="R240" s="153">
        <f>R241+P240*(R241-R231)/10</f>
        <v>9.0000000000000011E-3</v>
      </c>
      <c r="S240" s="147">
        <v>6.7651856972131247E-2</v>
      </c>
      <c r="T240" s="147">
        <v>5.8961355997693241E-2</v>
      </c>
      <c r="U240" s="148">
        <f>(T240-T241)/T241*100</f>
        <v>2.5971821799514503</v>
      </c>
      <c r="W240" s="144">
        <v>-1</v>
      </c>
      <c r="X240" s="145">
        <f t="shared" si="41"/>
        <v>-10</v>
      </c>
      <c r="Y240" s="145">
        <f>Y241+W240*(Y241-Y231)/10</f>
        <v>81</v>
      </c>
      <c r="Z240" s="147">
        <v>6.8993497031648934E-2</v>
      </c>
      <c r="AA240" s="147">
        <v>6.0130650097078804E-2</v>
      </c>
      <c r="AB240" s="148">
        <f>(AA240-AA241)/AA241*100</f>
        <v>4.6318416226768928</v>
      </c>
      <c r="AD240" s="144">
        <v>-1</v>
      </c>
      <c r="AE240" s="145">
        <f t="shared" si="42"/>
        <v>-8.0000000000000071</v>
      </c>
      <c r="AF240" s="154">
        <f>AF241+AD240*(AF241-AF231)/10</f>
        <v>4.5999999999999996</v>
      </c>
      <c r="AG240" s="147">
        <v>6.5355646783876009E-2</v>
      </c>
      <c r="AH240" s="147">
        <v>5.6960115050071966E-2</v>
      </c>
      <c r="AI240" s="148">
        <f>(AH240-AH241)/AH241*100</f>
        <v>-0.885127183780134</v>
      </c>
      <c r="AK240" s="144">
        <v>-1</v>
      </c>
      <c r="AL240" s="145">
        <f t="shared" si="43"/>
        <v>-9.3333333333333357</v>
      </c>
      <c r="AM240" s="154">
        <f>AM241+AK240*(AM241-AM231)/10</f>
        <v>13.6</v>
      </c>
      <c r="AN240" s="147">
        <v>6.568068574858868E-2</v>
      </c>
      <c r="AO240" s="147">
        <v>5.6878400620948788E-2</v>
      </c>
      <c r="AP240" s="148">
        <f>(AO240-AO241)/AO241*100</f>
        <v>-1.0273164199267624</v>
      </c>
      <c r="AR240" s="144">
        <v>-1</v>
      </c>
      <c r="AS240" s="145">
        <f t="shared" si="44"/>
        <v>-7.8260869565217428</v>
      </c>
      <c r="AT240" s="155">
        <f>AT241+AR240*(AT241-AT231)/10</f>
        <v>21.2</v>
      </c>
      <c r="AU240" s="147">
        <v>6.8360112122743094E-2</v>
      </c>
      <c r="AV240" s="147">
        <v>5.9578629283918452E-2</v>
      </c>
      <c r="AW240" s="148">
        <f>(AV240-AV241)/AV241*100</f>
        <v>3.6712840002037366</v>
      </c>
      <c r="AY240" s="144">
        <v>-1</v>
      </c>
      <c r="AZ240" s="145">
        <f t="shared" si="45"/>
        <v>-5.2941176470588234</v>
      </c>
      <c r="BA240" s="154">
        <f>BA241+AY240*(BA241-BA231)/10</f>
        <v>80.5</v>
      </c>
      <c r="BB240" s="147">
        <v>6.7812047505751288E-2</v>
      </c>
      <c r="BC240" s="147">
        <v>5.9100968589319847E-2</v>
      </c>
      <c r="BD240" s="148">
        <f>(BC240-BC241)/BC241*100</f>
        <v>2.8401185618469151</v>
      </c>
    </row>
    <row r="241" spans="2:56">
      <c r="B241" s="144" t="s">
        <v>251</v>
      </c>
      <c r="C241" s="145">
        <f>IF(ISERROR((D241-D241)/D241*100),"error",(D241-D241)/D241*100)</f>
        <v>0</v>
      </c>
      <c r="D241" s="146">
        <v>875000</v>
      </c>
      <c r="E241" s="147">
        <v>6.5939293394503301E-2</v>
      </c>
      <c r="F241" s="147">
        <v>5.7468786905158199E-2</v>
      </c>
      <c r="G241" s="148">
        <f>(F241-F241)/F241*100</f>
        <v>0</v>
      </c>
      <c r="I241" s="144" t="s">
        <v>251</v>
      </c>
      <c r="J241" s="145">
        <f t="shared" si="39"/>
        <v>0</v>
      </c>
      <c r="K241" s="149">
        <v>22.05</v>
      </c>
      <c r="L241" s="147">
        <v>6.5939293394503301E-2</v>
      </c>
      <c r="M241" s="147">
        <v>5.7468786905158199E-2</v>
      </c>
      <c r="N241" s="148">
        <f>(M241-M241)/M241*100</f>
        <v>0</v>
      </c>
      <c r="P241" s="144" t="s">
        <v>251</v>
      </c>
      <c r="Q241" s="145">
        <f t="shared" si="40"/>
        <v>0</v>
      </c>
      <c r="R241" s="150">
        <v>0.01</v>
      </c>
      <c r="S241" s="147">
        <v>6.5939293394503301E-2</v>
      </c>
      <c r="T241" s="147">
        <v>5.7468786905158199E-2</v>
      </c>
      <c r="U241" s="148">
        <f>(T241-T241)/T241*100</f>
        <v>0</v>
      </c>
      <c r="W241" s="144" t="s">
        <v>251</v>
      </c>
      <c r="X241" s="145">
        <f t="shared" si="41"/>
        <v>0</v>
      </c>
      <c r="Y241" s="146">
        <v>90</v>
      </c>
      <c r="Z241" s="147">
        <v>6.5939293394503301E-2</v>
      </c>
      <c r="AA241" s="147">
        <v>5.7468786905158199E-2</v>
      </c>
      <c r="AB241" s="148">
        <f>(AA241-AA241)/AA241*100</f>
        <v>0</v>
      </c>
      <c r="AD241" s="144" t="s">
        <v>251</v>
      </c>
      <c r="AE241" s="145">
        <f t="shared" si="42"/>
        <v>0</v>
      </c>
      <c r="AF241" s="151">
        <v>5</v>
      </c>
      <c r="AG241" s="147">
        <v>6.5939293394503301E-2</v>
      </c>
      <c r="AH241" s="147">
        <v>5.7468786905158199E-2</v>
      </c>
      <c r="AI241" s="148">
        <f>(AH241-AH241)/AH241*100</f>
        <v>0</v>
      </c>
      <c r="AK241" s="144" t="s">
        <v>251</v>
      </c>
      <c r="AL241" s="145">
        <f t="shared" si="43"/>
        <v>0</v>
      </c>
      <c r="AM241" s="151">
        <v>15</v>
      </c>
      <c r="AN241" s="147">
        <v>6.5939293394503301E-2</v>
      </c>
      <c r="AO241" s="147">
        <v>5.7468786905158199E-2</v>
      </c>
      <c r="AP241" s="148">
        <f>(AO241-AO241)/AO241*100</f>
        <v>0</v>
      </c>
      <c r="AR241" s="144" t="s">
        <v>251</v>
      </c>
      <c r="AS241" s="145">
        <f t="shared" si="44"/>
        <v>0</v>
      </c>
      <c r="AT241" s="151">
        <v>23</v>
      </c>
      <c r="AU241" s="147">
        <v>6.5939293394503301E-2</v>
      </c>
      <c r="AV241" s="147">
        <v>5.7468786905158199E-2</v>
      </c>
      <c r="AW241" s="148">
        <f>(AV241-AV241)/AV241*100</f>
        <v>0</v>
      </c>
      <c r="AY241" s="144" t="s">
        <v>251</v>
      </c>
      <c r="AZ241" s="145">
        <f t="shared" si="45"/>
        <v>0</v>
      </c>
      <c r="BA241" s="151">
        <v>85</v>
      </c>
      <c r="BB241" s="147">
        <v>6.5939293394503301E-2</v>
      </c>
      <c r="BC241" s="147">
        <v>5.7468786905158199E-2</v>
      </c>
      <c r="BD241" s="148">
        <f>(BC241-BC241)/BC241*100</f>
        <v>0</v>
      </c>
    </row>
    <row r="242" spans="2:56">
      <c r="B242" s="144">
        <v>1</v>
      </c>
      <c r="C242" s="145">
        <f>IF(ISERROR((D242-D241)/D241*100),"error",(D242-D241)/D241*100)</f>
        <v>12.857142857142856</v>
      </c>
      <c r="D242" s="145">
        <f>D241+B242*(D251-D241)/10</f>
        <v>987500</v>
      </c>
      <c r="E242" s="147">
        <v>6.9082343111297018E-2</v>
      </c>
      <c r="F242" s="147">
        <v>6.020808308363064E-2</v>
      </c>
      <c r="G242" s="148">
        <f>(F242-F241)/F241*100</f>
        <v>4.766580827594554</v>
      </c>
      <c r="I242" s="144">
        <v>1</v>
      </c>
      <c r="J242" s="145">
        <f t="shared" si="39"/>
        <v>35.351473922902485</v>
      </c>
      <c r="K242" s="152">
        <f>K241+I242*(K251-K241)/10</f>
        <v>29.844999999999999</v>
      </c>
      <c r="L242" s="147">
        <v>7.5008185484048917E-2</v>
      </c>
      <c r="M242" s="147">
        <v>6.5372696700518818E-2</v>
      </c>
      <c r="N242" s="148">
        <f>(M242-M241)/M241*100</f>
        <v>13.75339592325933</v>
      </c>
      <c r="P242" s="144">
        <v>1</v>
      </c>
      <c r="Q242" s="145">
        <f t="shared" si="40"/>
        <v>40</v>
      </c>
      <c r="R242" s="153">
        <f>R241+P242*(R251-R241)/10</f>
        <v>1.4E-2</v>
      </c>
      <c r="S242" s="147">
        <v>5.9089039083991643E-2</v>
      </c>
      <c r="T242" s="147">
        <v>5.1498510535018131E-2</v>
      </c>
      <c r="U242" s="148">
        <f>(T242-T241)/T241*100</f>
        <v>-10.388728719805632</v>
      </c>
      <c r="W242" s="144">
        <v>1</v>
      </c>
      <c r="X242" s="145">
        <f t="shared" si="41"/>
        <v>1.1111111111111112</v>
      </c>
      <c r="Y242" s="145">
        <f>Y241+W242*(Y251-Y241)/10</f>
        <v>91</v>
      </c>
      <c r="Z242" s="147">
        <v>6.5599937434820468E-2</v>
      </c>
      <c r="AA242" s="147">
        <v>5.7173024328278144E-2</v>
      </c>
      <c r="AB242" s="148">
        <f>(AA242-AA241)/AA241*100</f>
        <v>-0.51464906918630127</v>
      </c>
      <c r="AD242" s="144">
        <v>1</v>
      </c>
      <c r="AE242" s="145">
        <f t="shared" si="42"/>
        <v>20</v>
      </c>
      <c r="AF242" s="154">
        <f>AF241+AD242*(AF251-AF241)/10</f>
        <v>6</v>
      </c>
      <c r="AG242" s="147">
        <v>6.7455491849385069E-2</v>
      </c>
      <c r="AH242" s="147">
        <v>5.8790215774409522E-2</v>
      </c>
      <c r="AI242" s="148">
        <f>(AH242-AH241)/AH241*100</f>
        <v>2.2993853540568061</v>
      </c>
      <c r="AK242" s="144">
        <v>1</v>
      </c>
      <c r="AL242" s="145">
        <f t="shared" si="43"/>
        <v>23.333333333333332</v>
      </c>
      <c r="AM242" s="154">
        <f>AM241+AK242*(AM251-AM241)/10</f>
        <v>18.5</v>
      </c>
      <c r="AN242" s="147">
        <v>6.6735259693327151E-2</v>
      </c>
      <c r="AO242" s="147">
        <v>5.8998459341663194E-2</v>
      </c>
      <c r="AP242" s="148">
        <f>(AO242-AO241)/AO241*100</f>
        <v>2.6617447816141331</v>
      </c>
      <c r="AR242" s="144">
        <v>1</v>
      </c>
      <c r="AS242" s="145">
        <f t="shared" si="44"/>
        <v>11.739130434782606</v>
      </c>
      <c r="AT242" s="155">
        <f>AT241+AR242*(AT251-AT241)/10</f>
        <v>25.7</v>
      </c>
      <c r="AU242" s="147">
        <v>6.294388345061129E-2</v>
      </c>
      <c r="AV242" s="147">
        <v>5.4858164817820639E-2</v>
      </c>
      <c r="AW242" s="148">
        <f>(AV242-AV241)/AV241*100</f>
        <v>-4.5426782570613824</v>
      </c>
      <c r="AY242" s="144">
        <v>1</v>
      </c>
      <c r="AZ242" s="145">
        <f t="shared" si="45"/>
        <v>1.7647058823529411</v>
      </c>
      <c r="BA242" s="154">
        <f>BA241+AY242*(BA251-BA241)/10</f>
        <v>86.5</v>
      </c>
      <c r="BB242" s="147">
        <v>6.5358342697179772E-2</v>
      </c>
      <c r="BC242" s="147">
        <v>5.6962464648607117E-2</v>
      </c>
      <c r="BD242" s="148">
        <f>(BC242-BC241)/BC241*100</f>
        <v>-0.88103870608348744</v>
      </c>
    </row>
    <row r="243" spans="2:56">
      <c r="B243" s="144">
        <f>B242+1</f>
        <v>2</v>
      </c>
      <c r="C243" s="145">
        <f>IF(ISERROR((D243-D241)/D241*100),"error",(D243-D241)/D241*100)</f>
        <v>25.714285714285712</v>
      </c>
      <c r="D243" s="145">
        <f>D241+B243*(D251-D241)/10</f>
        <v>1100000</v>
      </c>
      <c r="E243" s="147">
        <v>7.2225392828090679E-2</v>
      </c>
      <c r="F243" s="147">
        <v>6.2947379262103031E-2</v>
      </c>
      <c r="G243" s="148">
        <f>(F243-F241)/F241*100</f>
        <v>9.5331616551890228</v>
      </c>
      <c r="I243" s="144">
        <f>I242+1</f>
        <v>2</v>
      </c>
      <c r="J243" s="145">
        <f t="shared" si="39"/>
        <v>70.702947845804985</v>
      </c>
      <c r="K243" s="152">
        <f>K241+I243*(K251-K241)/10</f>
        <v>37.64</v>
      </c>
      <c r="L243" s="147">
        <v>8.4077077573594478E-2</v>
      </c>
      <c r="M243" s="147">
        <v>7.3276606495879387E-2</v>
      </c>
      <c r="N243" s="148">
        <f>(M243-M241)/M241*100</f>
        <v>27.506791846518571</v>
      </c>
      <c r="P243" s="144">
        <f>P242+1</f>
        <v>2</v>
      </c>
      <c r="Q243" s="145">
        <f t="shared" si="40"/>
        <v>80.000000000000014</v>
      </c>
      <c r="R243" s="153">
        <f>R241+P243*(R251-R241)/10</f>
        <v>1.8000000000000002E-2</v>
      </c>
      <c r="S243" s="147">
        <v>5.2238784773479922E-2</v>
      </c>
      <c r="T243" s="147">
        <v>4.5528234164878008E-2</v>
      </c>
      <c r="U243" s="148">
        <f>(T243-T241)/T241*100</f>
        <v>-20.777457439611361</v>
      </c>
      <c r="W243" s="144">
        <f>W242+1</f>
        <v>2</v>
      </c>
      <c r="X243" s="145">
        <f t="shared" si="41"/>
        <v>2.2222222222222223</v>
      </c>
      <c r="Y243" s="145">
        <f>Y241+W243*(Y251-Y241)/10</f>
        <v>92</v>
      </c>
      <c r="Z243" s="147">
        <v>6.5260581475137622E-2</v>
      </c>
      <c r="AA243" s="147">
        <v>5.6877261751398088E-2</v>
      </c>
      <c r="AB243" s="148">
        <f>(AA243-AA241)/AA241*100</f>
        <v>-1.0292981383726025</v>
      </c>
      <c r="AD243" s="144">
        <f>AD242+1</f>
        <v>2</v>
      </c>
      <c r="AE243" s="145">
        <f t="shared" si="42"/>
        <v>40</v>
      </c>
      <c r="AF243" s="154">
        <f>AF241+AD243*(AF251-AF241)/10</f>
        <v>7</v>
      </c>
      <c r="AG243" s="147">
        <v>6.9050365408048153E-2</v>
      </c>
      <c r="AH243" s="147">
        <v>6.0180213209400563E-2</v>
      </c>
      <c r="AI243" s="148">
        <f>(AH243-AH241)/AH241*100</f>
        <v>4.7180851558900665</v>
      </c>
      <c r="AK243" s="144">
        <f>AK242+1</f>
        <v>2</v>
      </c>
      <c r="AL243" s="145">
        <f t="shared" si="43"/>
        <v>46.666666666666664</v>
      </c>
      <c r="AM243" s="154">
        <f>AM241+AK243*(AM251-AM241)/10</f>
        <v>22</v>
      </c>
      <c r="AN243" s="147">
        <v>6.7716508154240532E-2</v>
      </c>
      <c r="AO243" s="147">
        <v>6.0589190417322407E-2</v>
      </c>
      <c r="AP243" s="148">
        <f>(AO243-AO241)/AO241*100</f>
        <v>5.429736175419654</v>
      </c>
      <c r="AR243" s="144">
        <f>AR242+1</f>
        <v>2</v>
      </c>
      <c r="AS243" s="145">
        <f t="shared" si="44"/>
        <v>23.478260869565212</v>
      </c>
      <c r="AT243" s="155">
        <f>AT241+AR243*(AT251-AT241)/10</f>
        <v>28.4</v>
      </c>
      <c r="AU243" s="147">
        <v>6.0518023284783271E-2</v>
      </c>
      <c r="AV243" s="147">
        <v>5.2743928620328971E-2</v>
      </c>
      <c r="AW243" s="148">
        <f>(AV243-AV241)/AV241*100</f>
        <v>-8.2216078314420482</v>
      </c>
      <c r="AY243" s="144">
        <f>AY242+1</f>
        <v>2</v>
      </c>
      <c r="AZ243" s="145">
        <f t="shared" si="45"/>
        <v>3.5294117647058822</v>
      </c>
      <c r="BA243" s="154">
        <f>BA241+AY243*(BA251-BA241)/10</f>
        <v>88</v>
      </c>
      <c r="BB243" s="147">
        <v>6.4797197137264992E-2</v>
      </c>
      <c r="BC243" s="147">
        <v>5.6473403378074806E-2</v>
      </c>
      <c r="BD243" s="148">
        <f>(BC243-BC241)/BC241*100</f>
        <v>-1.7320420017323372</v>
      </c>
    </row>
    <row r="244" spans="2:56">
      <c r="B244" s="144">
        <f t="shared" ref="B244:B251" si="46">B243+1</f>
        <v>3</v>
      </c>
      <c r="C244" s="145">
        <f>IF(ISERROR((D244-D241)/D241*100),"error",(D244-D241)/D241*100)</f>
        <v>38.571428571428577</v>
      </c>
      <c r="D244" s="145">
        <f>D241+B244*(D251-D241)/10</f>
        <v>1212500</v>
      </c>
      <c r="E244" s="147">
        <v>7.5368442544884368E-2</v>
      </c>
      <c r="F244" s="147">
        <v>6.5686675440575437E-2</v>
      </c>
      <c r="G244" s="148">
        <f>(F244-F241)/F241*100</f>
        <v>14.299742482783518</v>
      </c>
      <c r="I244" s="144">
        <f t="shared" ref="I244:I251" si="47">I243+1</f>
        <v>3</v>
      </c>
      <c r="J244" s="145">
        <f t="shared" si="39"/>
        <v>106.0544217687075</v>
      </c>
      <c r="K244" s="152">
        <f>K241+I244*(K251-K241)/10</f>
        <v>45.435000000000002</v>
      </c>
      <c r="L244" s="147">
        <v>9.3145969663140094E-2</v>
      </c>
      <c r="M244" s="147">
        <v>8.1180516291239985E-2</v>
      </c>
      <c r="N244" s="148">
        <f>(M244-M241)/M241*100</f>
        <v>41.260187769777865</v>
      </c>
      <c r="P244" s="144">
        <f t="shared" ref="P244:P251" si="48">P243+1</f>
        <v>3</v>
      </c>
      <c r="Q244" s="145">
        <f t="shared" si="40"/>
        <v>119.99999999999997</v>
      </c>
      <c r="R244" s="153">
        <f>R241+P244*(R251-R241)/10</f>
        <v>2.1999999999999999E-2</v>
      </c>
      <c r="S244" s="147">
        <v>4.5388530462968216E-2</v>
      </c>
      <c r="T244" s="147">
        <v>3.9557957794737905E-2</v>
      </c>
      <c r="U244" s="148">
        <f>(T244-T241)/T241*100</f>
        <v>-31.166186159417052</v>
      </c>
      <c r="W244" s="144">
        <f t="shared" ref="W244:W251" si="49">W243+1</f>
        <v>3</v>
      </c>
      <c r="X244" s="145">
        <f t="shared" si="41"/>
        <v>3.3333333333333335</v>
      </c>
      <c r="Y244" s="145">
        <f>Y241+W244*(Y251-Y241)/10</f>
        <v>93</v>
      </c>
      <c r="Z244" s="147">
        <v>6.4921225515454789E-2</v>
      </c>
      <c r="AA244" s="147">
        <v>5.6581499174518025E-2</v>
      </c>
      <c r="AB244" s="148">
        <f>(AA244-AA241)/AA241*100</f>
        <v>-1.5439472075589158</v>
      </c>
      <c r="AD244" s="144">
        <f t="shared" ref="AD244:AD251" si="50">AD243+1</f>
        <v>3</v>
      </c>
      <c r="AE244" s="145">
        <f t="shared" si="42"/>
        <v>60</v>
      </c>
      <c r="AF244" s="154">
        <f>AF241+AD244*(AF251-AF241)/10</f>
        <v>8</v>
      </c>
      <c r="AG244" s="147">
        <v>7.0720073321536014E-2</v>
      </c>
      <c r="AH244" s="147">
        <v>6.1635431840573941E-2</v>
      </c>
      <c r="AI244" s="148">
        <f>(AH244-AH241)/AH241*100</f>
        <v>7.2502747313807641</v>
      </c>
      <c r="AK244" s="144">
        <f t="shared" ref="AK244:AK251" si="51">AK243+1</f>
        <v>3</v>
      </c>
      <c r="AL244" s="145">
        <f t="shared" si="43"/>
        <v>70</v>
      </c>
      <c r="AM244" s="154">
        <f>AM241+AK244*(AM251-AM241)/10</f>
        <v>25.5</v>
      </c>
      <c r="AN244" s="147">
        <v>6.8848090033849216E-2</v>
      </c>
      <c r="AO244" s="147">
        <v>6.2223807321971483E-2</v>
      </c>
      <c r="AP244" s="148">
        <f>(AO244-AO241)/AO241*100</f>
        <v>8.2740922035827591</v>
      </c>
      <c r="AR244" s="144">
        <f t="shared" ref="AR244:AR251" si="52">AR243+1</f>
        <v>3</v>
      </c>
      <c r="AS244" s="145">
        <f t="shared" si="44"/>
        <v>35.217391304347835</v>
      </c>
      <c r="AT244" s="155">
        <f>AT241+AR244*(AT251-AT241)/10</f>
        <v>31.1</v>
      </c>
      <c r="AU244" s="147">
        <v>5.851337356575495E-2</v>
      </c>
      <c r="AV244" s="147">
        <v>5.099679452786799E-2</v>
      </c>
      <c r="AW244" s="148">
        <f>(AV244-AV241)/AV241*100</f>
        <v>-11.261752206412599</v>
      </c>
      <c r="AY244" s="144">
        <f t="shared" ref="AY244:AY251" si="53">AY243+1</f>
        <v>3</v>
      </c>
      <c r="AZ244" s="145">
        <f t="shared" si="45"/>
        <v>5.2941176470588234</v>
      </c>
      <c r="BA244" s="154">
        <f>BA241+AY244*(BA251-BA241)/10</f>
        <v>89.5</v>
      </c>
      <c r="BB244" s="147">
        <v>6.4254860925727228E-2</v>
      </c>
      <c r="BC244" s="147">
        <v>5.6000735222755865E-2</v>
      </c>
      <c r="BD244" s="148">
        <f>(BC244-BC241)/BC241*100</f>
        <v>-2.5545200472477116</v>
      </c>
    </row>
    <row r="245" spans="2:56">
      <c r="B245" s="144">
        <f t="shared" si="46"/>
        <v>4</v>
      </c>
      <c r="C245" s="145">
        <f>IF(ISERROR((D245-D241)/D241*100),"error",(D245-D241)/D241*100)</f>
        <v>51.428571428571423</v>
      </c>
      <c r="D245" s="145">
        <f>D241+B245*(D251-D241)/10</f>
        <v>1325000</v>
      </c>
      <c r="E245" s="147">
        <v>7.8511492261678015E-2</v>
      </c>
      <c r="F245" s="147">
        <v>6.8425971619047829E-2</v>
      </c>
      <c r="G245" s="148">
        <f>(F245-F241)/F241*100</f>
        <v>19.066323310377985</v>
      </c>
      <c r="I245" s="144">
        <f t="shared" si="47"/>
        <v>4</v>
      </c>
      <c r="J245" s="145">
        <f t="shared" si="39"/>
        <v>141.40589569161</v>
      </c>
      <c r="K245" s="152">
        <f>K241+I245*(K251-K241)/10</f>
        <v>53.230000000000004</v>
      </c>
      <c r="L245" s="147">
        <v>0.1022148617526857</v>
      </c>
      <c r="M245" s="147">
        <v>8.9084426086600568E-2</v>
      </c>
      <c r="N245" s="148">
        <f>(M245-M241)/M241*100</f>
        <v>55.013583693037127</v>
      </c>
      <c r="P245" s="144">
        <f t="shared" si="48"/>
        <v>4</v>
      </c>
      <c r="Q245" s="145">
        <f t="shared" si="40"/>
        <v>160</v>
      </c>
      <c r="R245" s="153">
        <f>R241+P245*(R251-R241)/10</f>
        <v>2.6000000000000002E-2</v>
      </c>
      <c r="S245" s="147">
        <v>3.8538276152456502E-2</v>
      </c>
      <c r="T245" s="147">
        <v>3.3587681424597796E-2</v>
      </c>
      <c r="U245" s="148">
        <f>(T245-T241)/T241*100</f>
        <v>-41.554914879222757</v>
      </c>
      <c r="W245" s="144">
        <f t="shared" si="49"/>
        <v>4</v>
      </c>
      <c r="X245" s="145">
        <f t="shared" si="41"/>
        <v>4.4444444444444446</v>
      </c>
      <c r="Y245" s="145">
        <f>Y241+W245*(Y251-Y241)/10</f>
        <v>94</v>
      </c>
      <c r="Z245" s="147">
        <v>6.4581869555771942E-2</v>
      </c>
      <c r="AA245" s="147">
        <v>5.6285736597637956E-2</v>
      </c>
      <c r="AB245" s="148">
        <f>(AA245-AA241)/AA241*100</f>
        <v>-2.058596276745241</v>
      </c>
      <c r="AD245" s="144">
        <f t="shared" si="50"/>
        <v>4</v>
      </c>
      <c r="AE245" s="145">
        <f t="shared" si="42"/>
        <v>80</v>
      </c>
      <c r="AF245" s="154">
        <f>AF241+AD245*(AF251-AF241)/10</f>
        <v>9</v>
      </c>
      <c r="AG245" s="147">
        <v>7.2460554297331073E-2</v>
      </c>
      <c r="AH245" s="147">
        <v>6.315233208565281E-2</v>
      </c>
      <c r="AI245" s="148">
        <f>(AH245-AH241)/AH241*100</f>
        <v>9.8897949418599538</v>
      </c>
      <c r="AK245" s="144">
        <f t="shared" si="51"/>
        <v>4</v>
      </c>
      <c r="AL245" s="145">
        <f t="shared" si="43"/>
        <v>93.333333333333329</v>
      </c>
      <c r="AM245" s="154">
        <f>AM241+AK245*(AM251-AM241)/10</f>
        <v>29</v>
      </c>
      <c r="AN245" s="147">
        <v>7.0098486489626521E-2</v>
      </c>
      <c r="AO245" s="147">
        <v>6.3888432175118692E-2</v>
      </c>
      <c r="AP245" s="148">
        <f>(AO245-AO241)/AO241*100</f>
        <v>11.170664313055628</v>
      </c>
      <c r="AR245" s="144">
        <f t="shared" si="52"/>
        <v>4</v>
      </c>
      <c r="AS245" s="145">
        <f t="shared" si="44"/>
        <v>46.956521739130423</v>
      </c>
      <c r="AT245" s="155">
        <f>AT241+AR245*(AT251-AT241)/10</f>
        <v>33.799999999999997</v>
      </c>
      <c r="AU245" s="147">
        <v>5.6828993328464882E-2</v>
      </c>
      <c r="AV245" s="147">
        <v>4.9528788367338643E-2</v>
      </c>
      <c r="AW245" s="148">
        <f>(AV245-AV241)/AV241*100</f>
        <v>-13.816193042186677</v>
      </c>
      <c r="AY245" s="144">
        <f t="shared" si="53"/>
        <v>4</v>
      </c>
      <c r="AZ245" s="145">
        <f t="shared" si="45"/>
        <v>7.0588235294117645</v>
      </c>
      <c r="BA245" s="154">
        <f>BA241+AY245*(BA251-BA241)/10</f>
        <v>91</v>
      </c>
      <c r="BB245" s="147">
        <v>6.3730403929954438E-2</v>
      </c>
      <c r="BC245" s="147">
        <v>5.5543649534095775E-2</v>
      </c>
      <c r="BD245" s="148">
        <f>(BC245-BC241)/BC241*100</f>
        <v>-3.3498834319219477</v>
      </c>
    </row>
    <row r="246" spans="2:56">
      <c r="B246" s="144">
        <f t="shared" si="46"/>
        <v>5</v>
      </c>
      <c r="C246" s="145">
        <f>IF(ISERROR((D246-D241)/D241*100),"error",(D246-D241)/D241*100)</f>
        <v>64.285714285714292</v>
      </c>
      <c r="D246" s="145">
        <f>D241+B246*(D251-D241)/10</f>
        <v>1437500</v>
      </c>
      <c r="E246" s="147">
        <v>8.1654541978471717E-2</v>
      </c>
      <c r="F246" s="147">
        <v>7.1165267797520249E-2</v>
      </c>
      <c r="G246" s="148">
        <f>(F246-F241)/F241*100</f>
        <v>23.832904137972506</v>
      </c>
      <c r="I246" s="144">
        <f t="shared" si="47"/>
        <v>5</v>
      </c>
      <c r="J246" s="145">
        <f t="shared" si="39"/>
        <v>176.7573696145125</v>
      </c>
      <c r="K246" s="152">
        <f>K241+I246*(K251-K241)/10</f>
        <v>61.025000000000006</v>
      </c>
      <c r="L246" s="147">
        <v>0.1112837538422313</v>
      </c>
      <c r="M246" s="147">
        <v>9.698833588196118E-2</v>
      </c>
      <c r="N246" s="148">
        <f>(M246-M241)/M241*100</f>
        <v>68.766979616296439</v>
      </c>
      <c r="P246" s="144">
        <f t="shared" si="48"/>
        <v>5</v>
      </c>
      <c r="Q246" s="145">
        <f t="shared" si="40"/>
        <v>199.99999999999994</v>
      </c>
      <c r="R246" s="153">
        <f>R241+P246*(R251-R241)/10</f>
        <v>0.03</v>
      </c>
      <c r="S246" s="147">
        <v>3.1688021841944823E-2</v>
      </c>
      <c r="T246" s="147">
        <v>2.7617405054457717E-2</v>
      </c>
      <c r="U246" s="148">
        <f>(T246-T241)/T241*100</f>
        <v>-51.943643599028412</v>
      </c>
      <c r="W246" s="144">
        <f t="shared" si="49"/>
        <v>5</v>
      </c>
      <c r="X246" s="145">
        <f t="shared" si="41"/>
        <v>5.5555555555555554</v>
      </c>
      <c r="Y246" s="145">
        <f>Y241+W246*(Y251-Y241)/10</f>
        <v>95</v>
      </c>
      <c r="Z246" s="147">
        <v>6.4242513596089096E-2</v>
      </c>
      <c r="AA246" s="147">
        <v>5.5989974020757886E-2</v>
      </c>
      <c r="AB246" s="148">
        <f>(AA246-AA241)/AA241*100</f>
        <v>-2.5732453459315665</v>
      </c>
      <c r="AD246" s="144">
        <f t="shared" si="50"/>
        <v>5</v>
      </c>
      <c r="AE246" s="145">
        <f t="shared" si="42"/>
        <v>100</v>
      </c>
      <c r="AF246" s="154">
        <f>AF241+AD246*(AF251-AF241)/10</f>
        <v>10</v>
      </c>
      <c r="AG246" s="147">
        <v>7.4267608740443233E-2</v>
      </c>
      <c r="AH246" s="147">
        <v>6.4727253826107611E-2</v>
      </c>
      <c r="AI246" s="148">
        <f>(AH246-AH241)/AH241*100</f>
        <v>12.630276906537446</v>
      </c>
      <c r="AK246" s="144">
        <f t="shared" si="51"/>
        <v>5</v>
      </c>
      <c r="AL246" s="145">
        <f t="shared" si="43"/>
        <v>116.66666666666667</v>
      </c>
      <c r="AM246" s="154">
        <f>AM241+AK246*(AM251-AM241)/10</f>
        <v>32.5</v>
      </c>
      <c r="AN246" s="147">
        <v>7.1441082029881336E-2</v>
      </c>
      <c r="AO246" s="147">
        <v>6.5572350036422422E-2</v>
      </c>
      <c r="AP246" s="148">
        <f>(AO246-AO241)/AO241*100</f>
        <v>14.100807703906614</v>
      </c>
      <c r="AR246" s="144">
        <f t="shared" si="52"/>
        <v>5</v>
      </c>
      <c r="AS246" s="145">
        <f t="shared" si="44"/>
        <v>58.695652173913047</v>
      </c>
      <c r="AT246" s="155">
        <f>AT241+AR246*(AT251-AT241)/10</f>
        <v>36.5</v>
      </c>
      <c r="AU246" s="147">
        <v>5.5393809071486222E-2</v>
      </c>
      <c r="AV246" s="147">
        <v>4.827796667987392E-2</v>
      </c>
      <c r="AW246" s="148">
        <f>(AV246-AV241)/AV241*100</f>
        <v>-15.992716603627045</v>
      </c>
      <c r="AY246" s="144">
        <f t="shared" si="53"/>
        <v>5</v>
      </c>
      <c r="AZ246" s="145">
        <f t="shared" si="45"/>
        <v>8.8235294117647065</v>
      </c>
      <c r="BA246" s="154">
        <f>BA241+AY246*(BA251-BA241)/10</f>
        <v>92.5</v>
      </c>
      <c r="BB246" s="147">
        <v>6.3222956350260762E-2</v>
      </c>
      <c r="BC246" s="147">
        <v>5.5101388246148998E-2</v>
      </c>
      <c r="BD246" s="148">
        <f>(BC246-BC241)/BC241*100</f>
        <v>-4.1194512473634823</v>
      </c>
    </row>
    <row r="247" spans="2:56">
      <c r="B247" s="144">
        <f t="shared" si="46"/>
        <v>6</v>
      </c>
      <c r="C247" s="145">
        <f>IF(ISERROR((D247-D241)/D241*100),"error",(D247-D241)/D241*100)</f>
        <v>77.142857142857153</v>
      </c>
      <c r="D247" s="145">
        <f>D241+B247*(D251-D241)/10</f>
        <v>1550000</v>
      </c>
      <c r="E247" s="147">
        <v>8.4797591695265406E-2</v>
      </c>
      <c r="F247" s="147">
        <v>7.3904563975992654E-2</v>
      </c>
      <c r="G247" s="148">
        <f>(F247-F241)/F241*100</f>
        <v>28.599484965566997</v>
      </c>
      <c r="I247" s="144">
        <f t="shared" si="47"/>
        <v>6</v>
      </c>
      <c r="J247" s="145">
        <f t="shared" si="39"/>
        <v>212.108843537415</v>
      </c>
      <c r="K247" s="152">
        <f>K241+I247*(K251-K241)/10</f>
        <v>68.820000000000007</v>
      </c>
      <c r="L247" s="147">
        <v>0.12035264593177691</v>
      </c>
      <c r="M247" s="147">
        <v>0.10489224567732178</v>
      </c>
      <c r="N247" s="148">
        <f>(M247-M241)/M241*100</f>
        <v>82.520375539555729</v>
      </c>
      <c r="P247" s="144">
        <f t="shared" si="48"/>
        <v>6</v>
      </c>
      <c r="Q247" s="145">
        <f t="shared" si="40"/>
        <v>240</v>
      </c>
      <c r="R247" s="153">
        <f>R241+P247*(R251-R241)/10</f>
        <v>3.4000000000000002E-2</v>
      </c>
      <c r="S247" s="147">
        <v>2.4837767531433113E-2</v>
      </c>
      <c r="T247" s="147">
        <v>2.1647128684317601E-2</v>
      </c>
      <c r="U247" s="148">
        <f>(T247-T241)/T241*100</f>
        <v>-62.332372318834132</v>
      </c>
      <c r="W247" s="144">
        <f t="shared" si="49"/>
        <v>6</v>
      </c>
      <c r="X247" s="145">
        <f t="shared" si="41"/>
        <v>6.666666666666667</v>
      </c>
      <c r="Y247" s="145">
        <f>Y241+W247*(Y251-Y241)/10</f>
        <v>96</v>
      </c>
      <c r="Z247" s="147">
        <v>6.3903157636406235E-2</v>
      </c>
      <c r="AA247" s="147">
        <v>5.569421144387781E-2</v>
      </c>
      <c r="AB247" s="148">
        <f>(AA247-AA241)/AA241*100</f>
        <v>-3.087894415117904</v>
      </c>
      <c r="AD247" s="144">
        <f t="shared" si="50"/>
        <v>6</v>
      </c>
      <c r="AE247" s="145">
        <f t="shared" si="42"/>
        <v>120</v>
      </c>
      <c r="AF247" s="154">
        <f>AF241+AD247*(AF251-AF241)/10</f>
        <v>11</v>
      </c>
      <c r="AG247" s="147">
        <v>7.6136973777146857E-2</v>
      </c>
      <c r="AH247" s="147">
        <v>6.6356481793406849E-2</v>
      </c>
      <c r="AI247" s="148">
        <f>(AH247-AH241)/AH241*100</f>
        <v>15.465255779482828</v>
      </c>
      <c r="AK247" s="144">
        <f t="shared" si="51"/>
        <v>6</v>
      </c>
      <c r="AL247" s="145">
        <f t="shared" si="43"/>
        <v>140</v>
      </c>
      <c r="AM247" s="154">
        <f>AM241+AK247*(AM251-AM241)/10</f>
        <v>36</v>
      </c>
      <c r="AN247" s="147">
        <v>7.2854284392198931E-2</v>
      </c>
      <c r="AO247" s="147">
        <v>6.7267531724184843E-2</v>
      </c>
      <c r="AP247" s="148">
        <f>(AO247-AO241)/AO241*100</f>
        <v>17.0505509977054</v>
      </c>
      <c r="AR247" s="144">
        <f t="shared" si="52"/>
        <v>6</v>
      </c>
      <c r="AS247" s="145">
        <f t="shared" si="44"/>
        <v>70.43478260869567</v>
      </c>
      <c r="AT247" s="155">
        <f>AT241+AR247*(AT251-AT241)/10</f>
        <v>39.200000000000003</v>
      </c>
      <c r="AU247" s="147">
        <v>5.4156328768275037E-2</v>
      </c>
      <c r="AV247" s="147">
        <v>4.7199452061600769E-2</v>
      </c>
      <c r="AW247" s="148">
        <f>(AV247-AV241)/AV241*100</f>
        <v>-17.869412939766942</v>
      </c>
      <c r="AY247" s="144">
        <f t="shared" si="53"/>
        <v>6</v>
      </c>
      <c r="AZ247" s="145">
        <f t="shared" si="45"/>
        <v>10.588235294117647</v>
      </c>
      <c r="BA247" s="154">
        <f>BA241+AY247*(BA251-BA241)/10</f>
        <v>94</v>
      </c>
      <c r="BB247" s="147">
        <v>6.2731703906089245E-2</v>
      </c>
      <c r="BC247" s="147">
        <v>5.4673241680157962E-2</v>
      </c>
      <c r="BD247" s="148">
        <f>(BC247-BC241)/BC241*100</f>
        <v>-4.8644583878441301</v>
      </c>
    </row>
    <row r="248" spans="2:56">
      <c r="B248" s="144">
        <f t="shared" si="46"/>
        <v>7</v>
      </c>
      <c r="C248" s="145">
        <f>IF(ISERROR((D248-D241)/D241*100),"error",(D248-D241)/D241*100)</f>
        <v>90</v>
      </c>
      <c r="D248" s="145">
        <f>D241+B248*(D251-D241)/10</f>
        <v>1662500</v>
      </c>
      <c r="E248" s="147">
        <v>8.7940641412059053E-2</v>
      </c>
      <c r="F248" s="147">
        <v>7.6643860154465046E-2</v>
      </c>
      <c r="G248" s="148">
        <f>(F248-F241)/F241*100</f>
        <v>33.366065793161468</v>
      </c>
      <c r="I248" s="144">
        <f t="shared" si="47"/>
        <v>7</v>
      </c>
      <c r="J248" s="145">
        <f t="shared" si="39"/>
        <v>247.46031746031741</v>
      </c>
      <c r="K248" s="152">
        <f>K241+I248*(K251-K241)/10</f>
        <v>76.614999999999995</v>
      </c>
      <c r="L248" s="147">
        <v>0.12942153802132247</v>
      </c>
      <c r="M248" s="147">
        <v>0.11279615547268235</v>
      </c>
      <c r="N248" s="148">
        <f>(M248-M241)/M241*100</f>
        <v>96.273771462814977</v>
      </c>
      <c r="P248" s="144">
        <f t="shared" si="48"/>
        <v>7</v>
      </c>
      <c r="Q248" s="145">
        <f t="shared" si="40"/>
        <v>280</v>
      </c>
      <c r="R248" s="153">
        <f>R241+P248*(R251-R241)/10</f>
        <v>3.8000000000000006E-2</v>
      </c>
      <c r="S248" s="147">
        <v>1.7987513220921396E-2</v>
      </c>
      <c r="T248" s="147">
        <v>1.5676852314177491E-2</v>
      </c>
      <c r="U248" s="148">
        <f>(T248-T241)/T241*100</f>
        <v>-72.72110103863983</v>
      </c>
      <c r="W248" s="144">
        <f t="shared" si="49"/>
        <v>7</v>
      </c>
      <c r="X248" s="145">
        <f t="shared" si="41"/>
        <v>7.7777777777777777</v>
      </c>
      <c r="Y248" s="145">
        <f>Y241+W248*(Y251-Y241)/10</f>
        <v>97</v>
      </c>
      <c r="Z248" s="147">
        <v>6.3563801676723389E-2</v>
      </c>
      <c r="AA248" s="147">
        <v>5.5398448866997754E-2</v>
      </c>
      <c r="AB248" s="148">
        <f>(AA248-AA241)/AA241*100</f>
        <v>-3.6025434843042055</v>
      </c>
      <c r="AD248" s="144">
        <f t="shared" si="50"/>
        <v>7</v>
      </c>
      <c r="AE248" s="145">
        <f t="shared" si="42"/>
        <v>140</v>
      </c>
      <c r="AF248" s="154">
        <f>AF241+AD248*(AF251-AF241)/10</f>
        <v>12</v>
      </c>
      <c r="AG248" s="147">
        <v>7.8064389683038554E-2</v>
      </c>
      <c r="AH248" s="147">
        <v>6.8036303463781853E-2</v>
      </c>
      <c r="AI248" s="148">
        <f>(AH248-AH241)/AH241*100</f>
        <v>18.388271490858894</v>
      </c>
      <c r="AK248" s="144">
        <f t="shared" si="51"/>
        <v>7</v>
      </c>
      <c r="AL248" s="145">
        <f t="shared" si="43"/>
        <v>163.33333333333334</v>
      </c>
      <c r="AM248" s="154">
        <f>AM241+AK248*(AM251-AM241)/10</f>
        <v>39.5</v>
      </c>
      <c r="AN248" s="147">
        <v>7.4320999213989519E-2</v>
      </c>
      <c r="AO248" s="147">
        <v>6.8968077011028542E-2</v>
      </c>
      <c r="AP248" s="148">
        <f>(AO248-AO241)/AO241*100</f>
        <v>20.00962735623397</v>
      </c>
      <c r="AR248" s="144">
        <f t="shared" si="52"/>
        <v>7</v>
      </c>
      <c r="AS248" s="145">
        <f t="shared" si="44"/>
        <v>82.173913043478251</v>
      </c>
      <c r="AT248" s="155">
        <f>AT241+AR248*(AT251-AT241)/10</f>
        <v>41.9</v>
      </c>
      <c r="AU248" s="147">
        <v>5.3078332800083929E-2</v>
      </c>
      <c r="AV248" s="147">
        <v>4.6259934554035861E-2</v>
      </c>
      <c r="AW248" s="148">
        <f>(AV248-AV241)/AV241*100</f>
        <v>-19.504243876977103</v>
      </c>
      <c r="AY248" s="144">
        <f t="shared" si="53"/>
        <v>7</v>
      </c>
      <c r="AZ248" s="145">
        <f t="shared" si="45"/>
        <v>12.352941176470589</v>
      </c>
      <c r="BA248" s="154">
        <f>BA241+AY248*(BA251-BA241)/10</f>
        <v>95.5</v>
      </c>
      <c r="BB248" s="147">
        <v>6.225588347587075E-2</v>
      </c>
      <c r="BC248" s="147">
        <v>5.4258544744512208E-2</v>
      </c>
      <c r="BD248" s="148">
        <f>(BC248-BC241)/BC241*100</f>
        <v>-5.5860621626552049</v>
      </c>
    </row>
    <row r="249" spans="2:56">
      <c r="B249" s="144">
        <f t="shared" si="46"/>
        <v>8</v>
      </c>
      <c r="C249" s="145">
        <f>IF(ISERROR((D249-D241)/D241*100),"error",(D249-D241)/D241*100)</f>
        <v>102.85714285714285</v>
      </c>
      <c r="D249" s="145">
        <f>D241+B249*(D251-D241)/10</f>
        <v>1775000</v>
      </c>
      <c r="E249" s="147">
        <v>9.1083691128852756E-2</v>
      </c>
      <c r="F249" s="147">
        <v>7.9383156332937466E-2</v>
      </c>
      <c r="G249" s="148">
        <f>(F249-F241)/F241*100</f>
        <v>38.132646620755985</v>
      </c>
      <c r="I249" s="144">
        <f t="shared" si="47"/>
        <v>8</v>
      </c>
      <c r="J249" s="145">
        <f t="shared" si="39"/>
        <v>282.81179138321994</v>
      </c>
      <c r="K249" s="152">
        <f>K241+I249*(K251-K241)/10</f>
        <v>84.41</v>
      </c>
      <c r="L249" s="147">
        <v>0.13849043011086803</v>
      </c>
      <c r="M249" s="147">
        <v>0.1207000652680429</v>
      </c>
      <c r="N249" s="148">
        <f>(M249-M241)/M241*100</f>
        <v>110.02716738607418</v>
      </c>
      <c r="P249" s="144">
        <f t="shared" si="48"/>
        <v>8</v>
      </c>
      <c r="Q249" s="145">
        <f t="shared" si="40"/>
        <v>320</v>
      </c>
      <c r="R249" s="153">
        <f>R241+P249*(R251-R241)/10</f>
        <v>4.2000000000000003E-2</v>
      </c>
      <c r="S249" s="147">
        <v>1.1137258910409705E-2</v>
      </c>
      <c r="T249" s="147">
        <v>9.7065759440373954E-3</v>
      </c>
      <c r="U249" s="148">
        <f>(T249-T241)/T241*100</f>
        <v>-83.109829758445514</v>
      </c>
      <c r="W249" s="144">
        <f t="shared" si="49"/>
        <v>8</v>
      </c>
      <c r="X249" s="145">
        <f t="shared" si="41"/>
        <v>8.8888888888888893</v>
      </c>
      <c r="Y249" s="145">
        <f>Y241+W249*(Y251-Y241)/10</f>
        <v>98</v>
      </c>
      <c r="Z249" s="147">
        <v>6.3224445717040556E-2</v>
      </c>
      <c r="AA249" s="147">
        <v>5.5102686290117692E-2</v>
      </c>
      <c r="AB249" s="148">
        <f>(AA249-AA241)/AA241*100</f>
        <v>-4.1171925534905185</v>
      </c>
      <c r="AD249" s="144">
        <f t="shared" si="50"/>
        <v>8</v>
      </c>
      <c r="AE249" s="145">
        <f t="shared" si="42"/>
        <v>160</v>
      </c>
      <c r="AF249" s="154">
        <f>AF241+AD249*(AF251-AF241)/10</f>
        <v>13</v>
      </c>
      <c r="AG249" s="147">
        <v>8.0045656949009822E-2</v>
      </c>
      <c r="AH249" s="147">
        <v>6.976305879355249E-2</v>
      </c>
      <c r="AI249" s="148">
        <f>(AH249-AH241)/AH241*100</f>
        <v>21.392955290119062</v>
      </c>
      <c r="AK249" s="144">
        <f t="shared" si="51"/>
        <v>8</v>
      </c>
      <c r="AL249" s="145">
        <f t="shared" si="43"/>
        <v>186.66666666666666</v>
      </c>
      <c r="AM249" s="154">
        <f>AM241+AK249*(AM251-AM241)/10</f>
        <v>43</v>
      </c>
      <c r="AN249" s="147">
        <v>7.5827886800005365E-2</v>
      </c>
      <c r="AO249" s="147">
        <v>7.0669706806223809E-2</v>
      </c>
      <c r="AP249" s="148">
        <f>(AO249-AO241)/AO241*100</f>
        <v>22.970590840644213</v>
      </c>
      <c r="AR249" s="144">
        <f t="shared" si="52"/>
        <v>8</v>
      </c>
      <c r="AS249" s="145">
        <f t="shared" si="44"/>
        <v>93.913043478260875</v>
      </c>
      <c r="AT249" s="155">
        <f>AT241+AR249*(AT251-AT241)/10</f>
        <v>44.6</v>
      </c>
      <c r="AU249" s="147">
        <v>5.2130856523108754E-2</v>
      </c>
      <c r="AV249" s="147">
        <v>4.5434170287297182E-2</v>
      </c>
      <c r="AW249" s="148">
        <f>(AV249-AV241)/AV241*100</f>
        <v>-20.941135642417454</v>
      </c>
      <c r="AY249" s="144">
        <f t="shared" si="53"/>
        <v>8</v>
      </c>
      <c r="AZ249" s="145">
        <f t="shared" si="45"/>
        <v>14.117647058823529</v>
      </c>
      <c r="BA249" s="154">
        <f>BA241+AY249*(BA251-BA241)/10</f>
        <v>97</v>
      </c>
      <c r="BB249" s="147">
        <v>6.1794779141432214E-2</v>
      </c>
      <c r="BC249" s="147">
        <v>5.3856673487288481E-2</v>
      </c>
      <c r="BD249" s="148">
        <f>(BC249-BC241)/BC241*100</f>
        <v>-6.2853482949463606</v>
      </c>
    </row>
    <row r="250" spans="2:56">
      <c r="B250" s="144">
        <f t="shared" si="46"/>
        <v>9</v>
      </c>
      <c r="C250" s="145">
        <f>IF(ISERROR((D250-D241)/D241*100),"error",(D250-D241)/D241*100)</f>
        <v>115.71428571428572</v>
      </c>
      <c r="D250" s="145">
        <f>D241+B250*(D251-D241)/10</f>
        <v>1887500</v>
      </c>
      <c r="E250" s="147">
        <v>9.4226740845646403E-2</v>
      </c>
      <c r="F250" s="147">
        <v>8.2122452511409857E-2</v>
      </c>
      <c r="G250" s="148">
        <f>(F250-F241)/F241*100</f>
        <v>42.899227448350459</v>
      </c>
      <c r="I250" s="144">
        <f t="shared" si="47"/>
        <v>9</v>
      </c>
      <c r="J250" s="145">
        <f t="shared" si="39"/>
        <v>318.16326530612241</v>
      </c>
      <c r="K250" s="152">
        <f>K241+I250*(K251-K241)/10</f>
        <v>92.204999999999998</v>
      </c>
      <c r="L250" s="147">
        <v>0.14755932220041357</v>
      </c>
      <c r="M250" s="147">
        <v>0.12860397506340346</v>
      </c>
      <c r="N250" s="148">
        <f>(M250-M241)/M241*100</f>
        <v>123.78056330933343</v>
      </c>
      <c r="P250" s="144">
        <f t="shared" si="48"/>
        <v>9</v>
      </c>
      <c r="Q250" s="145">
        <f t="shared" si="40"/>
        <v>359.99999999999994</v>
      </c>
      <c r="R250" s="153">
        <f>R241+P250*(R251-R241)/10</f>
        <v>4.5999999999999999E-2</v>
      </c>
      <c r="S250" s="147">
        <v>4.2870045998980068E-3</v>
      </c>
      <c r="T250" s="147">
        <v>3.7362995738972967E-3</v>
      </c>
      <c r="U250" s="148">
        <f>(T250-T241)/T241*100</f>
        <v>-93.498558478251198</v>
      </c>
      <c r="W250" s="144">
        <f t="shared" si="49"/>
        <v>9</v>
      </c>
      <c r="X250" s="145">
        <f t="shared" si="41"/>
        <v>10</v>
      </c>
      <c r="Y250" s="145">
        <f>Y241+W250*(Y251-Y241)/10</f>
        <v>99</v>
      </c>
      <c r="Z250" s="147">
        <v>6.2885089757357682E-2</v>
      </c>
      <c r="AA250" s="147">
        <v>5.4806923713237608E-2</v>
      </c>
      <c r="AB250" s="148">
        <f>(AA250-AA241)/AA241*100</f>
        <v>-4.6318416226768679</v>
      </c>
      <c r="AD250" s="144">
        <f t="shared" si="50"/>
        <v>9</v>
      </c>
      <c r="AE250" s="145">
        <f t="shared" si="42"/>
        <v>180</v>
      </c>
      <c r="AF250" s="154">
        <f>AF241+AD250*(AF251-AF241)/10</f>
        <v>14</v>
      </c>
      <c r="AG250" s="147">
        <v>8.2076683751611812E-2</v>
      </c>
      <c r="AH250" s="147">
        <v>7.1533181591488443E-2</v>
      </c>
      <c r="AI250" s="148">
        <f>(AH250-AH241)/AH241*100</f>
        <v>24.473101737019391</v>
      </c>
      <c r="AK250" s="144">
        <f t="shared" si="51"/>
        <v>9</v>
      </c>
      <c r="AL250" s="145">
        <f t="shared" si="43"/>
        <v>210</v>
      </c>
      <c r="AM250" s="154">
        <f>AM241+AK250*(AM251-AM241)/10</f>
        <v>46.5</v>
      </c>
      <c r="AN250" s="147">
        <v>7.7364619402924786E-2</v>
      </c>
      <c r="AO250" s="147">
        <v>7.2369348570966455E-2</v>
      </c>
      <c r="AP250" s="148">
        <f>(AO250-AO241)/AO241*100</f>
        <v>25.928095002942953</v>
      </c>
      <c r="AR250" s="144">
        <f t="shared" si="52"/>
        <v>9</v>
      </c>
      <c r="AS250" s="145">
        <f t="shared" si="44"/>
        <v>105.65217391304347</v>
      </c>
      <c r="AT250" s="155">
        <f>AT241+AR250*(AT251-AT241)/10</f>
        <v>47.3</v>
      </c>
      <c r="AU250" s="147">
        <v>5.1291548785154017E-2</v>
      </c>
      <c r="AV250" s="147">
        <v>4.4702679319509643E-2</v>
      </c>
      <c r="AW250" s="148">
        <f>(AV250-AV241)/AV241*100</f>
        <v>-22.213984796158474</v>
      </c>
      <c r="AY250" s="144">
        <f t="shared" si="53"/>
        <v>9</v>
      </c>
      <c r="AZ250" s="145">
        <f t="shared" si="45"/>
        <v>15.882352941176469</v>
      </c>
      <c r="BA250" s="154">
        <f>BA241+AY250*(BA251-BA241)/10</f>
        <v>98.5</v>
      </c>
      <c r="BB250" s="147">
        <v>6.1347718593829356E-2</v>
      </c>
      <c r="BC250" s="147">
        <v>5.34670419637873E-2</v>
      </c>
      <c r="BD250" s="148">
        <f>(BC250-BC241)/BC241*100</f>
        <v>-6.963336372446931</v>
      </c>
    </row>
    <row r="251" spans="2:56" ht="12.75" thickBot="1">
      <c r="B251" s="156">
        <f t="shared" si="46"/>
        <v>10</v>
      </c>
      <c r="C251" s="157">
        <f>IF(ISERROR((D251-D241)/D241*100),"error",(D251-D241)/D241*100)</f>
        <v>128.57142857142858</v>
      </c>
      <c r="D251" s="158">
        <v>2000000</v>
      </c>
      <c r="E251" s="159">
        <v>9.7369790562440134E-2</v>
      </c>
      <c r="F251" s="159">
        <v>8.4861748689882319E-2</v>
      </c>
      <c r="G251" s="160">
        <f>(F251-F241)/F241*100</f>
        <v>47.665808275945039</v>
      </c>
      <c r="I251" s="156">
        <f t="shared" si="47"/>
        <v>10</v>
      </c>
      <c r="J251" s="157">
        <f t="shared" si="39"/>
        <v>353.51473922902494</v>
      </c>
      <c r="K251" s="161">
        <v>100</v>
      </c>
      <c r="L251" s="159">
        <v>0.15662821428995924</v>
      </c>
      <c r="M251" s="159">
        <v>0.13650788485876411</v>
      </c>
      <c r="N251" s="160">
        <f>(M251-M241)/M241*100</f>
        <v>137.53395923259282</v>
      </c>
      <c r="P251" s="156">
        <f t="shared" si="48"/>
        <v>10</v>
      </c>
      <c r="Q251" s="157">
        <f t="shared" si="40"/>
        <v>400</v>
      </c>
      <c r="R251" s="162">
        <v>0.05</v>
      </c>
      <c r="S251" s="159">
        <v>-2.5632497106136964E-3</v>
      </c>
      <c r="T251" s="159">
        <v>-2.2339767962428069E-3</v>
      </c>
      <c r="U251" s="160">
        <f>(T251-T241)/T241*100</f>
        <v>-103.88728719805688</v>
      </c>
      <c r="W251" s="156">
        <f t="shared" si="49"/>
        <v>10</v>
      </c>
      <c r="X251" s="157">
        <f t="shared" si="41"/>
        <v>11.111111111111111</v>
      </c>
      <c r="Y251" s="158">
        <v>100</v>
      </c>
      <c r="Z251" s="159">
        <v>6.2545733797674877E-2</v>
      </c>
      <c r="AA251" s="159">
        <v>5.4511161136357573E-2</v>
      </c>
      <c r="AB251" s="160">
        <f>(AA251-AA241)/AA241*100</f>
        <v>-5.146490691863133</v>
      </c>
      <c r="AD251" s="156">
        <f t="shared" si="50"/>
        <v>10</v>
      </c>
      <c r="AE251" s="157">
        <f t="shared" si="42"/>
        <v>200</v>
      </c>
      <c r="AF251" s="163">
        <v>15</v>
      </c>
      <c r="AG251" s="159">
        <v>8.4153524030187915E-2</v>
      </c>
      <c r="AH251" s="159">
        <v>7.3343232704585273E-2</v>
      </c>
      <c r="AI251" s="160">
        <f>(AH251-AH241)/AH241*100</f>
        <v>27.622726447358225</v>
      </c>
      <c r="AK251" s="156">
        <f t="shared" si="51"/>
        <v>10</v>
      </c>
      <c r="AL251" s="157">
        <f t="shared" si="43"/>
        <v>233.33333333333334</v>
      </c>
      <c r="AM251" s="163">
        <v>50</v>
      </c>
      <c r="AN251" s="159">
        <v>7.8923230759338742E-2</v>
      </c>
      <c r="AO251" s="159">
        <v>7.4064817235076505E-2</v>
      </c>
      <c r="AP251" s="160">
        <f>(AO251-AO241)/AO241*100</f>
        <v>28.878337657112969</v>
      </c>
      <c r="AR251" s="156">
        <f t="shared" si="52"/>
        <v>10</v>
      </c>
      <c r="AS251" s="157">
        <f t="shared" si="44"/>
        <v>117.39130434782609</v>
      </c>
      <c r="AT251" s="163">
        <v>50</v>
      </c>
      <c r="AU251" s="159">
        <v>5.0542886282898353E-2</v>
      </c>
      <c r="AV251" s="159">
        <v>4.4050189376243137E-2</v>
      </c>
      <c r="AW251" s="160">
        <f>(AV251-AV241)/AV241*100</f>
        <v>-23.349366241295506</v>
      </c>
      <c r="AY251" s="156">
        <f t="shared" si="53"/>
        <v>10</v>
      </c>
      <c r="AZ251" s="157">
        <f t="shared" si="45"/>
        <v>17.647058823529413</v>
      </c>
      <c r="BA251" s="163">
        <v>100</v>
      </c>
      <c r="BB251" s="159">
        <v>6.0914069862654602E-2</v>
      </c>
      <c r="BC251" s="159">
        <v>5.3089099385991163E-2</v>
      </c>
      <c r="BD251" s="160">
        <f>(BC251-BC241)/BC241*100</f>
        <v>-7.6209848076224667</v>
      </c>
    </row>
    <row r="252" spans="2:56">
      <c r="B252" s="4"/>
      <c r="C252" s="4"/>
      <c r="D252" s="4"/>
      <c r="E252" s="4"/>
      <c r="I252" s="4"/>
      <c r="J252" s="4"/>
      <c r="K252" s="4"/>
      <c r="L252" s="4"/>
    </row>
    <row r="253" spans="2:56">
      <c r="B253" s="4"/>
      <c r="C253" s="4"/>
      <c r="D253" s="4"/>
      <c r="E253" s="4"/>
      <c r="I253" s="4"/>
      <c r="J253" s="4"/>
      <c r="K253" s="4"/>
      <c r="L253" s="4"/>
    </row>
    <row r="254" spans="2:56">
      <c r="B254" s="4"/>
      <c r="C254" s="4"/>
      <c r="D254" s="4"/>
      <c r="E254" s="4"/>
      <c r="I254" s="4"/>
      <c r="J254" s="4"/>
      <c r="K254" s="4"/>
      <c r="L254" s="4"/>
    </row>
    <row r="255" spans="2:56">
      <c r="B255" s="4"/>
      <c r="C255" s="4"/>
      <c r="D255" s="4"/>
      <c r="E255" s="4"/>
      <c r="I255" s="4"/>
      <c r="J255" s="4"/>
      <c r="K255" s="4"/>
      <c r="L255" s="4"/>
    </row>
    <row r="256" spans="2:56">
      <c r="B256" s="4"/>
      <c r="C256" s="4"/>
      <c r="D256" s="4"/>
      <c r="E256" s="4"/>
      <c r="I256" s="4"/>
      <c r="J256" s="4"/>
      <c r="K256" s="4"/>
      <c r="L256" s="4"/>
    </row>
    <row r="257" spans="2:12">
      <c r="B257" s="4"/>
      <c r="C257" s="4"/>
      <c r="D257" s="4"/>
      <c r="E257" s="4"/>
      <c r="I257" s="4"/>
      <c r="J257" s="4"/>
      <c r="K257" s="4"/>
      <c r="L257" s="4"/>
    </row>
    <row r="258" spans="2:12">
      <c r="B258" s="4"/>
      <c r="C258" s="4"/>
      <c r="D258" s="4"/>
      <c r="E258" s="4"/>
      <c r="I258" s="4"/>
      <c r="J258" s="4"/>
      <c r="K258" s="4"/>
      <c r="L258" s="4"/>
    </row>
    <row r="259" spans="2:12">
      <c r="B259" s="4"/>
      <c r="C259" s="4"/>
      <c r="D259" s="4"/>
      <c r="E259" s="4"/>
      <c r="I259" s="4"/>
      <c r="J259" s="4"/>
      <c r="K259" s="4"/>
      <c r="L259" s="4"/>
    </row>
    <row r="260" spans="2:12">
      <c r="B260" s="4"/>
      <c r="C260" s="4"/>
      <c r="D260" s="4"/>
      <c r="E260" s="4"/>
      <c r="I260" s="4"/>
      <c r="J260" s="4"/>
      <c r="K260" s="4"/>
      <c r="L260" s="4"/>
    </row>
    <row r="262" spans="2:12">
      <c r="B262" s="4"/>
    </row>
    <row r="263" spans="2:12">
      <c r="B263" s="8"/>
    </row>
    <row r="264" spans="2:12">
      <c r="B264" s="4"/>
    </row>
    <row r="265" spans="2:12">
      <c r="B265" s="8"/>
    </row>
    <row r="266" spans="2:12">
      <c r="B266" s="8"/>
    </row>
    <row r="267" spans="2:12">
      <c r="B267" s="8"/>
    </row>
    <row r="268" spans="2:12">
      <c r="B268" s="4"/>
    </row>
    <row r="269" spans="2:12">
      <c r="B269" s="8"/>
    </row>
    <row r="274" spans="2:4">
      <c r="B274" s="4"/>
      <c r="D274" s="4"/>
    </row>
    <row r="275" spans="2:4">
      <c r="B275" s="4"/>
      <c r="D275" s="4"/>
    </row>
    <row r="276" spans="2:4">
      <c r="B276" s="4"/>
      <c r="D276" s="4"/>
    </row>
    <row r="277" spans="2:4">
      <c r="B277" s="4"/>
      <c r="D277" s="4"/>
    </row>
    <row r="278" spans="2:4">
      <c r="B278" s="4"/>
      <c r="D278" s="4"/>
    </row>
    <row r="279" spans="2:4">
      <c r="B279" s="4"/>
      <c r="D279" s="4"/>
    </row>
    <row r="280" spans="2:4">
      <c r="B280" s="4"/>
      <c r="D280" s="4"/>
    </row>
    <row r="281" spans="2:4">
      <c r="B281" s="4"/>
      <c r="D281" s="4"/>
    </row>
    <row r="282" spans="2:4">
      <c r="B282" s="4"/>
      <c r="D282" s="4"/>
    </row>
    <row r="283" spans="2:4">
      <c r="B283" s="4"/>
      <c r="D283" s="4"/>
    </row>
    <row r="284" spans="2:4">
      <c r="B284" s="4"/>
      <c r="D284" s="4"/>
    </row>
    <row r="285" spans="2:4">
      <c r="B285" s="4"/>
      <c r="D285" s="4"/>
    </row>
    <row r="286" spans="2:4">
      <c r="B286" s="4"/>
      <c r="D286" s="4"/>
    </row>
    <row r="287" spans="2:4">
      <c r="B287" s="4"/>
      <c r="D287" s="4"/>
    </row>
    <row r="288" spans="2:4">
      <c r="B288" s="4"/>
      <c r="D288" s="4"/>
    </row>
    <row r="289" spans="2:4">
      <c r="B289" s="4"/>
      <c r="D289" s="4"/>
    </row>
    <row r="290" spans="2:4">
      <c r="B290" s="8"/>
      <c r="D290" s="4"/>
    </row>
    <row r="291" spans="2:4">
      <c r="B291" s="4"/>
      <c r="D291" s="4"/>
    </row>
  </sheetData>
  <sheetProtection selectLockedCells="1"/>
  <mergeCells count="7">
    <mergeCell ref="AD227:AI227"/>
    <mergeCell ref="AK227:AP227"/>
    <mergeCell ref="AY227:BD227"/>
    <mergeCell ref="B227:G227"/>
    <mergeCell ref="I227:N227"/>
    <mergeCell ref="P227:U227"/>
    <mergeCell ref="W227:AB227"/>
  </mergeCells>
  <phoneticPr fontId="0" type="noConversion"/>
  <printOptions horizontalCentered="1" verticalCentered="1"/>
  <pageMargins left="0.5" right="0.5" top="1" bottom="1" header="0.5" footer="0.5"/>
  <pageSetup orientation="portrait" r:id="rId1"/>
  <headerFooter alignWithMargins="0"/>
  <ignoredErrors>
    <ignoredError sqref="B160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193</vt:i4>
      </vt:variant>
    </vt:vector>
  </HeadingPairs>
  <TitlesOfParts>
    <vt:vector size="196" baseType="lpstr">
      <vt:lpstr>Gasifier_EconomicExample</vt:lpstr>
      <vt:lpstr>SensitivityDiagram_COE</vt:lpstr>
      <vt:lpstr>SensitivityDiagram_Relative</vt:lpstr>
      <vt:lpstr>AggregateFractionOfHeatRecovered</vt:lpstr>
      <vt:lpstr>AggregateSalesPriceForHeat</vt:lpstr>
      <vt:lpstr>AnnualBiomassConsumptionDryMass</vt:lpstr>
      <vt:lpstr>AnnualBiomassConsumptionWetMass</vt:lpstr>
      <vt:lpstr>AnnualCapacityPayment</vt:lpstr>
      <vt:lpstr>AnnualCharProduction</vt:lpstr>
      <vt:lpstr>AnnualCleanGasConsumption</vt:lpstr>
      <vt:lpstr>AnnualDebtPayment</vt:lpstr>
      <vt:lpstr>AnnualDebtReserveInterest</vt:lpstr>
      <vt:lpstr>AnnualDualFuelConsumption</vt:lpstr>
      <vt:lpstr>AnnualEquityRecovery</vt:lpstr>
      <vt:lpstr>AnnualHeatSales</vt:lpstr>
      <vt:lpstr>AnnualHours</vt:lpstr>
      <vt:lpstr>AnnualIncomeFromChar</vt:lpstr>
      <vt:lpstr>AnnualNetElectricityGeneration</vt:lpstr>
      <vt:lpstr>AshContent</vt:lpstr>
      <vt:lpstr>BiomassFeedRate</vt:lpstr>
      <vt:lpstr>BiomassFuelCost</vt:lpstr>
      <vt:lpstr>BiomassFuelCostCF</vt:lpstr>
      <vt:lpstr>BiomassFuelCostPerKwh</vt:lpstr>
      <vt:lpstr>BtuPerCubicFoot</vt:lpstr>
      <vt:lpstr>BtuPerPound</vt:lpstr>
      <vt:lpstr>CapacityFactor</vt:lpstr>
      <vt:lpstr>CapacityIncome</vt:lpstr>
      <vt:lpstr>CapitalRecoveryFactorDebt</vt:lpstr>
      <vt:lpstr>CapitalRecoveryFactorEquity</vt:lpstr>
      <vt:lpstr>CarbonConcentration</vt:lpstr>
      <vt:lpstr>CarbonDioxide</vt:lpstr>
      <vt:lpstr>CH4Density</vt:lpstr>
      <vt:lpstr>CH4HigherHeatingValueKjPerM</vt:lpstr>
      <vt:lpstr>CH4HigherHeatingValueMjPerKg</vt:lpstr>
      <vt:lpstr>CH4LowerHeatingValueKjPerM</vt:lpstr>
      <vt:lpstr>CH4LowerHeatingValueMjPerKg</vt:lpstr>
      <vt:lpstr>CharIncome</vt:lpstr>
      <vt:lpstr>CharProductionRate</vt:lpstr>
      <vt:lpstr>CleanGasComposition</vt:lpstr>
      <vt:lpstr>CleanGasDensity</vt:lpstr>
      <vt:lpstr>CleanGasFlowRateMass</vt:lpstr>
      <vt:lpstr>CleanGasFlowRateVolume</vt:lpstr>
      <vt:lpstr>CleanGasHigherHeatingValue</vt:lpstr>
      <vt:lpstr>CleanGasLowerHeatingValue</vt:lpstr>
      <vt:lpstr>CleanGasMolecularMass</vt:lpstr>
      <vt:lpstr>CleanGasPowerInput</vt:lpstr>
      <vt:lpstr>CO</vt:lpstr>
      <vt:lpstr>CODensity</vt:lpstr>
      <vt:lpstr>COHigherHeatingValueKjPerM</vt:lpstr>
      <vt:lpstr>COHigherHeatingValueMjPerKg</vt:lpstr>
      <vt:lpstr>COLowerHeatingValueKjPerM</vt:lpstr>
      <vt:lpstr>COLowerHeatingValueMjPerKg</vt:lpstr>
      <vt:lpstr>CombinedTaxRate</vt:lpstr>
      <vt:lpstr>ConstantCapitalRecoveryFactor</vt:lpstr>
      <vt:lpstr>ConstantLACPerKwh</vt:lpstr>
      <vt:lpstr>ConstantLevelAnnualRevenue</vt:lpstr>
      <vt:lpstr>CostOfEquity</vt:lpstr>
      <vt:lpstr>CostOfMoney</vt:lpstr>
      <vt:lpstr>CubicFootPerPonds</vt:lpstr>
      <vt:lpstr>CubicMeterPerKg</vt:lpstr>
      <vt:lpstr>CurrentAnnualRevenueRequirements</vt:lpstr>
      <vt:lpstr>CurrentCapitalRecoveryFactor</vt:lpstr>
      <vt:lpstr>CurrentLACPerKwh</vt:lpstr>
      <vt:lpstr>DebtInterest</vt:lpstr>
      <vt:lpstr>DebtPrincipalPaid</vt:lpstr>
      <vt:lpstr>DebtRatio</vt:lpstr>
      <vt:lpstr>DebtReserve</vt:lpstr>
      <vt:lpstr>DebtReserveCF</vt:lpstr>
      <vt:lpstr>DentPrincipalRemaining</vt:lpstr>
      <vt:lpstr>Depreciation</vt:lpstr>
      <vt:lpstr>DollarPerKwh</vt:lpstr>
      <vt:lpstr>DollarPerMetricTons</vt:lpstr>
      <vt:lpstr>DollarPerMillionBtu</vt:lpstr>
      <vt:lpstr>DollarPerUSTons</vt:lpstr>
      <vt:lpstr>DualFuelCost</vt:lpstr>
      <vt:lpstr>DualFuelCostCF</vt:lpstr>
      <vt:lpstr>DualFuelFlowRate</vt:lpstr>
      <vt:lpstr>DualFuelPerKwh</vt:lpstr>
      <vt:lpstr>DualFuelPowerInput</vt:lpstr>
      <vt:lpstr>EconomicLife</vt:lpstr>
      <vt:lpstr>ElectricityCapacityPayment</vt:lpstr>
      <vt:lpstr>EmissionControlSystemCapitalCost</vt:lpstr>
      <vt:lpstr>EmissionControlSystemCapitalCostPerKwe</vt:lpstr>
      <vt:lpstr>EnergyRevenueRequired</vt:lpstr>
      <vt:lpstr>EquityInterest</vt:lpstr>
      <vt:lpstr>EquityPrincipalPaid</vt:lpstr>
      <vt:lpstr>EquityPrincipalRemaining</vt:lpstr>
      <vt:lpstr>EquityRatio</vt:lpstr>
      <vt:lpstr>EquityRecovery</vt:lpstr>
      <vt:lpstr>EscalationBiomassFuel</vt:lpstr>
      <vt:lpstr>EscalationCharSales</vt:lpstr>
      <vt:lpstr>EscalationDualFuel</vt:lpstr>
      <vt:lpstr>EscalationHeatSales</vt:lpstr>
      <vt:lpstr>EscalationOther</vt:lpstr>
      <vt:lpstr>EscalationProductionTaxCredit</vt:lpstr>
      <vt:lpstr>FederalTaxRate</vt:lpstr>
      <vt:lpstr>FractionOfInputEnergy</vt:lpstr>
      <vt:lpstr>GasCleaningSystemCapitalCost</vt:lpstr>
      <vt:lpstr>GasCleaningSystemCapitalCostPerKwe</vt:lpstr>
      <vt:lpstr>GasifierSystemCapitalCost</vt:lpstr>
      <vt:lpstr>GasifierSystemCapitalCostPerKwe</vt:lpstr>
      <vt:lpstr>GasolineDensity</vt:lpstr>
      <vt:lpstr>GasolineHigherHeatingValueKjPerL</vt:lpstr>
      <vt:lpstr>GasolineHigherHeatingValueMjPerKg</vt:lpstr>
      <vt:lpstr>GasolineLowerHeatingValueKjPerL</vt:lpstr>
      <vt:lpstr>GasolineLowerHeatingValueMjPerKg</vt:lpstr>
      <vt:lpstr>GeneralInflation</vt:lpstr>
      <vt:lpstr>GrossCHPEfficiency</vt:lpstr>
      <vt:lpstr>GrossElectricalCapacity</vt:lpstr>
      <vt:lpstr>H2Density</vt:lpstr>
      <vt:lpstr>H2HigherHeatingValueKjPerM</vt:lpstr>
      <vt:lpstr>H2HigherHeatingValueMjPerKg</vt:lpstr>
      <vt:lpstr>H2LowerHeatingValueKjPerM</vt:lpstr>
      <vt:lpstr>H2LowerHeatingValueMjPerKg</vt:lpstr>
      <vt:lpstr>HeatIncome</vt:lpstr>
      <vt:lpstr>HeatIncomePerUnitElecEnergy</vt:lpstr>
      <vt:lpstr>HeatRecoverySystemCapitalCost</vt:lpstr>
      <vt:lpstr>HeatRecoverySystemCapitalCostPerKwe</vt:lpstr>
      <vt:lpstr>HeavyDieselDensity</vt:lpstr>
      <vt:lpstr>HeavyDieselHigherHeatingValueKjPerL</vt:lpstr>
      <vt:lpstr>HeavyDieselHigherHeatingValueMjPerKg</vt:lpstr>
      <vt:lpstr>HeavyDieselLowerHeatingValueKjPerL</vt:lpstr>
      <vt:lpstr>HeavyDieselLowerHeatingValueMjPerKg</vt:lpstr>
      <vt:lpstr>HHVEfficiencyOfGasificationSystem</vt:lpstr>
      <vt:lpstr>HigherHeatingValue</vt:lpstr>
      <vt:lpstr>Hydrocarbons</vt:lpstr>
      <vt:lpstr>HydrogenGas</vt:lpstr>
      <vt:lpstr>Insurance</vt:lpstr>
      <vt:lpstr>InsurancePerKwh</vt:lpstr>
      <vt:lpstr>InterestRateOnDebt</vt:lpstr>
      <vt:lpstr>InterestRateOnDebtReserve</vt:lpstr>
      <vt:lpstr>InterstOnDebtReserve</vt:lpstr>
      <vt:lpstr>KjPerCubicMeter</vt:lpstr>
      <vt:lpstr>KjPerKg</vt:lpstr>
      <vt:lpstr>LaborCost</vt:lpstr>
      <vt:lpstr>LaborCostPerKwh</vt:lpstr>
      <vt:lpstr>LAC</vt:lpstr>
      <vt:lpstr>LACCostOfMoney</vt:lpstr>
      <vt:lpstr>LightDieselDensity</vt:lpstr>
      <vt:lpstr>LightDieselHigherHeatingValueKjPerL</vt:lpstr>
      <vt:lpstr>LightDieselHigherHeatingValueMjPerKg</vt:lpstr>
      <vt:lpstr>LightDieselLowerHeatingValueKjPerL</vt:lpstr>
      <vt:lpstr>LightDieselLowerHeatingValueMjPerKg</vt:lpstr>
      <vt:lpstr>MaintenanceCost</vt:lpstr>
      <vt:lpstr>MaintenanceCostPerKwh</vt:lpstr>
      <vt:lpstr>Management</vt:lpstr>
      <vt:lpstr>ManagementPerKwh</vt:lpstr>
      <vt:lpstr>MetricTonsPerHour</vt:lpstr>
      <vt:lpstr>MoistureContent</vt:lpstr>
      <vt:lpstr>NaturalGasDensity</vt:lpstr>
      <vt:lpstr>NaturalGasHigherHeatingValueKjPerL</vt:lpstr>
      <vt:lpstr>NaturalGasHigherHeatingValueMjPerKg</vt:lpstr>
      <vt:lpstr>NaturalGasLowerHeatingValueKjPerL</vt:lpstr>
      <vt:lpstr>NaturalGasLowerHeatingValueMjPerKg</vt:lpstr>
      <vt:lpstr>NetCHPEfficiency</vt:lpstr>
      <vt:lpstr>NetElectricalCapacity</vt:lpstr>
      <vt:lpstr>NetHHVEfficiencyofPowerGeneration</vt:lpstr>
      <vt:lpstr>NitrogenGas</vt:lpstr>
      <vt:lpstr>NonFuelExpensesCF</vt:lpstr>
      <vt:lpstr>OtherOperatingExpenses</vt:lpstr>
      <vt:lpstr>OtherOperatingExpensesPerKwh</vt:lpstr>
      <vt:lpstr>OverallNetSystemEfficiency</vt:lpstr>
      <vt:lpstr>Oxygen</vt:lpstr>
      <vt:lpstr>ParasiticLoad</vt:lpstr>
      <vt:lpstr>PowerGenerationCapitalCost</vt:lpstr>
      <vt:lpstr>PowerGenerationCapitalCostPerKwe</vt:lpstr>
      <vt:lpstr>PresentWorth</vt:lpstr>
      <vt:lpstr>Gasifier_EconomicExample!Print_Area</vt:lpstr>
      <vt:lpstr>ProductionTaxCredit</vt:lpstr>
      <vt:lpstr>RealCostOfMoney</vt:lpstr>
      <vt:lpstr>RebtRecovery</vt:lpstr>
      <vt:lpstr>RecoveredHeat</vt:lpstr>
      <vt:lpstr>SalesPriceForChar</vt:lpstr>
      <vt:lpstr>StateTaxRate</vt:lpstr>
      <vt:lpstr>TaxCredit</vt:lpstr>
      <vt:lpstr>Taxes</vt:lpstr>
      <vt:lpstr>TaxWithoutCredit</vt:lpstr>
      <vt:lpstr>TotalCostOfPlant</vt:lpstr>
      <vt:lpstr>TotalDebtCost</vt:lpstr>
      <vt:lpstr>TotalEquityCost</vt:lpstr>
      <vt:lpstr>TotalExpensesIncludingFuel</vt:lpstr>
      <vt:lpstr>TotalExpensesIncludingFuelPerKwh</vt:lpstr>
      <vt:lpstr>TotalFacilityCapitalCost</vt:lpstr>
      <vt:lpstr>TotalFacilityCapitalCostPerKwe</vt:lpstr>
      <vt:lpstr>TotalFuelPowerInput</vt:lpstr>
      <vt:lpstr>TotalHearProductionRate</vt:lpstr>
      <vt:lpstr>TotalIncomeFromHeatSales</vt:lpstr>
      <vt:lpstr>TotalNonFuelExpenses</vt:lpstr>
      <vt:lpstr>TotalNonFuelExpensesPerKwh</vt:lpstr>
      <vt:lpstr>TotalPresentWorth</vt:lpstr>
      <vt:lpstr>USTonsPerHour</vt:lpstr>
      <vt:lpstr>Utilities</vt:lpstr>
      <vt:lpstr>UtilitiesPerKwh</vt:lpstr>
      <vt:lpstr>WasteTreatment</vt:lpstr>
      <vt:lpstr>WasteTreatmentPerKwh</vt:lpstr>
      <vt:lpstr>Year</vt:lpstr>
    </vt:vector>
  </TitlesOfParts>
  <Company>ucd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bmj</dc:creator>
  <cp:lastModifiedBy>kzl0049</cp:lastModifiedBy>
  <dcterms:created xsi:type="dcterms:W3CDTF">2003-01-23T02:19:24Z</dcterms:created>
  <dcterms:modified xsi:type="dcterms:W3CDTF">2019-08-02T03:55:06Z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-2132072609</vt:i4>
  </property>
  <property fmtid="{D5CDD505-2E9C-101B-9397-08002B2CF9AE}" pid="3" name="_EmailSubject">
    <vt:lpwstr>models</vt:lpwstr>
  </property>
  <property fmtid="{D5CDD505-2E9C-101B-9397-08002B2CF9AE}" pid="4" name="_AuthorEmail">
    <vt:lpwstr>Bryan.Jenkins@SEN.CA.GOV</vt:lpwstr>
  </property>
  <property fmtid="{D5CDD505-2E9C-101B-9397-08002B2CF9AE}" pid="5" name="_AuthorEmailDisplayName">
    <vt:lpwstr>Jenkins, Bryan</vt:lpwstr>
  </property>
  <property fmtid="{D5CDD505-2E9C-101B-9397-08002B2CF9AE}" pid="6" name="_ReviewingToolsShownOnce">
    <vt:lpwstr/>
  </property>
</Properties>
</file>