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FE7E14BA-6ED9-49A8-9D35-FDF188F8153A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1_LCOE" sheetId="1" r:id="rId1"/>
    <sheet name="2_SensitivityDiagram_Cost" sheetId="2" r:id="rId2"/>
    <sheet name="3_SensitivityDiagram_Relative" sheetId="3" r:id="rId3"/>
  </sheets>
  <definedNames>
    <definedName name="AmountOfCapitalFinancing">'1_LCOE'!$F$66</definedName>
    <definedName name="AnnualDebtRepayment">'1_LCOE'!$F$75</definedName>
    <definedName name="AnnualDebtReserveInterest">'1_LCOE'!$F$91</definedName>
    <definedName name="AnnualEquityRepayment">'1_LCOE'!$F$81</definedName>
    <definedName name="AnnualFeedstockCost">'1_LCOE'!$F$29</definedName>
    <definedName name="AnnualFeedstockEnergyInput">'1_LCOE'!$F$14</definedName>
    <definedName name="AnnualFeedstockSupply">'1_LCOE'!$F$13</definedName>
    <definedName name="AnnualHours">'1_LCOE'!$F$12</definedName>
    <definedName name="AnnualHydrogenEnergy">'1_LCOE'!$F$17</definedName>
    <definedName name="AnnualHydrogenProductionKg">'1_LCOE'!$F$16</definedName>
    <definedName name="AnnualHydrogenProductionMg">'1_LCOE'!$F$15</definedName>
    <definedName name="AnnualTotalCapitalRecovery">'1_LCOE'!$F$86</definedName>
    <definedName name="Capacity">'1_LCOE'!$F$37</definedName>
    <definedName name="CapacityFactor">'1_LCOE'!$F$11</definedName>
    <definedName name="CapitalCost">'1_LCOE'!$F$24</definedName>
    <definedName name="CapitalCostUnitDaily">'1_LCOE'!$F$25</definedName>
    <definedName name="CapitalCostUnitYear">'1_LCOE'!$I$24</definedName>
    <definedName name="CapitalRecoveryFactorDebt">'1_LCOE'!$F$74</definedName>
    <definedName name="CapitalRecoveryFactorEquity">'1_LCOE'!$F$80</definedName>
    <definedName name="CapitalRecoveryFactorEquityConstant">'1_LCOE'!$F$84</definedName>
    <definedName name="CombinedTaxRate">'1_LCOE'!$F$47</definedName>
    <definedName name="DebtInterest">'1_LCOE'!$G$117</definedName>
    <definedName name="DebtPrincipalPaid">'1_LCOE'!$G$118</definedName>
    <definedName name="DebtPrincipalRemaining">'1_LCOE'!$G$119</definedName>
    <definedName name="DebtRatio">'1_LCOE'!$F$61</definedName>
    <definedName name="DebtRecovery">'1_LCOE'!$G$116</definedName>
    <definedName name="DebtReserve">'1_LCOE'!$F$77</definedName>
    <definedName name="DebtReserve1">'1_LCOE'!$G$122</definedName>
    <definedName name="Depreciation">'1_LCOE'!$G$124</definedName>
    <definedName name="DesignHydrogenProductionRateMg">'1_LCOE'!$F$7</definedName>
    <definedName name="DesignHydrogenProductionRateMW">'1_LCOE'!$F$6</definedName>
    <definedName name="EconomicLife">'1_LCOE'!$F$65</definedName>
    <definedName name="ElectricalEnergy">'1_LCOE'!$F$35</definedName>
    <definedName name="EnergyRevenueRequired">'1_LCOE'!$G$134</definedName>
    <definedName name="EquityInterest">'1_LCOE'!$G$113</definedName>
    <definedName name="EquityPrincipalPaid">'1_LCOE'!$G$114</definedName>
    <definedName name="EquityPrincipalRemaining">'1_LCOE'!$G$115</definedName>
    <definedName name="EquityRatio">'1_LCOE'!$F$67</definedName>
    <definedName name="EquityRecovery">'1_LCOE'!$G$112</definedName>
    <definedName name="EscalationCapacityPayment">'1_LCOE'!$F$54</definedName>
    <definedName name="EscalationElectricalEnergy">'1_LCOE'!$F$52</definedName>
    <definedName name="EscalationFeedstock">'1_LCOE'!$F$51</definedName>
    <definedName name="EscalationHeatSales">'1_LCOE'!$F$56</definedName>
    <definedName name="EscalationIncentivePayments">'1_LCOE'!$F$53</definedName>
    <definedName name="EscalationOther">'1_LCOE'!$F$58</definedName>
    <definedName name="EscalationProductionTaxCredit">'1_LCOE'!$F$55</definedName>
    <definedName name="EscalationResidueSales">'1_LCOE'!$F$57</definedName>
    <definedName name="Expenses">'1_LCOE'!$G$123</definedName>
    <definedName name="FederalTaxRate">'1_LCOE'!$F$43</definedName>
    <definedName name="Feedstock">'1_LCOE'!$I$6</definedName>
    <definedName name="FeedstockCost">'1_LCOE'!$F$28</definedName>
    <definedName name="FeedstockInput">'1_LCOE'!$F$9</definedName>
    <definedName name="FeedstockSupply">'1_LCOE'!$F$10</definedName>
    <definedName name="FuelCost">'1_LCOE'!$G$120</definedName>
    <definedName name="GeneralInflation">'1_LCOE'!$F$50</definedName>
    <definedName name="GrossDesignHydrogenCapacity">'1_LCOE'!$F$4</definedName>
    <definedName name="Heat">'1_LCOE'!$F$38</definedName>
    <definedName name="HydrogenEnergy">'1_LCOE'!$F$5</definedName>
    <definedName name="HydrogenHHV">'1_LCOE'!$I$4</definedName>
    <definedName name="HydrogenLHV">'1_LCOE'!$I$5</definedName>
    <definedName name="IncentivePayments">'1_LCOE'!$F$36</definedName>
    <definedName name="IncomeCapacity">'1_LCOE'!$G$127</definedName>
    <definedName name="IncomeElectricalEnergy">'1_LCOE'!$G$125</definedName>
    <definedName name="IncomeHeat">'1_LCOE'!$G$128</definedName>
    <definedName name="IncomeIncentivePayments">'1_LCOE'!$G$126</definedName>
    <definedName name="IncomeResidue">'1_LCOE'!$G$129</definedName>
    <definedName name="InterestOnDebtReserve">'1_LCOE'!$G$130</definedName>
    <definedName name="InterestRateOnDebt">'1_LCOE'!$F$62</definedName>
    <definedName name="InterestRateOnDebtReserve">'1_LCOE'!$F$90</definedName>
    <definedName name="MARR">'1_LCOE'!$F$64</definedName>
    <definedName name="NegativeTaxesOffset">'1_LCOE'!$F$46</definedName>
    <definedName name="NonFuelExpenses">'1_LCOE'!$G$121</definedName>
    <definedName name="OneYearDebtReserveRequired">'1_LCOE'!$F$63</definedName>
    <definedName name="OperatingExpenses">'1_LCOE'!$F$31</definedName>
    <definedName name="OperatingExpensesRate">'1_LCOE'!$F$30</definedName>
    <definedName name="OverallProductionEfficiency">'1_LCOE'!$F$8</definedName>
    <definedName name="_xlnm.Print_Area" localSheetId="0">'1_LCOE'!$E$156:$O$183</definedName>
    <definedName name="ProductionTaxCredit">'1_LCOE'!$F$45</definedName>
    <definedName name="RealCostOfEquityConstant">'1_LCOE'!$F$83</definedName>
    <definedName name="RealCostOfMoney">'1_LCOE'!$F$70</definedName>
    <definedName name="Residues">'1_LCOE'!$F$39</definedName>
    <definedName name="StateTaxRate">'1_LCOE'!$F$44</definedName>
    <definedName name="TaxCredit">'1_LCOE'!$G$132</definedName>
    <definedName name="Taxes">'1_LCOE'!$G$133</definedName>
    <definedName name="TaxesWoCredit">'1_LCOE'!$G$131</definedName>
    <definedName name="TotalAnnualExpenses">'1_LCOE'!$F$32</definedName>
    <definedName name="TotalCapitalRecovery">'1_LCOE'!$F$87</definedName>
    <definedName name="TotalDebtPrincipal">'1_LCOE'!$F$73</definedName>
    <definedName name="TotalDebtRepayment">'1_LCOE'!$F$76</definedName>
    <definedName name="TotalEquityPrincipal">'1_LCOE'!$F$79</definedName>
    <definedName name="TotalEquityRepayment">'1_LCOE'!$F$82</definedName>
    <definedName name="WeightedCapitalRecoveryFactorConstant">'1_LCOE'!$F$71</definedName>
    <definedName name="WeightedCapitalRecoveryFactorCurrent">'1_LCOE'!$F$69</definedName>
    <definedName name="WeightedCostOfMoney">'1_LCOE'!$F$68</definedName>
    <definedName name="Year">'1_LCOE'!$G$111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6" i="1" l="1"/>
  <c r="G129" i="1"/>
  <c r="G128" i="1"/>
  <c r="G127" i="1"/>
  <c r="G125" i="1"/>
  <c r="H125" i="1" s="1"/>
  <c r="F40" i="1"/>
  <c r="G105" i="1"/>
  <c r="F47" i="1"/>
  <c r="F83" i="1"/>
  <c r="F84" i="1" s="1"/>
  <c r="F80" i="1"/>
  <c r="F74" i="1"/>
  <c r="F67" i="1"/>
  <c r="F68" i="1" s="1"/>
  <c r="F69" i="1" s="1"/>
  <c r="F31" i="1"/>
  <c r="G121" i="1" s="1"/>
  <c r="H121" i="1" s="1"/>
  <c r="F25" i="1"/>
  <c r="F79" i="1" l="1"/>
  <c r="F73" i="1"/>
  <c r="F70" i="1"/>
  <c r="F71" i="1" s="1"/>
  <c r="H94" i="1"/>
  <c r="F7" i="1"/>
  <c r="F12" i="1"/>
  <c r="F15" i="1" s="1"/>
  <c r="F16" i="1" s="1"/>
  <c r="I24" i="1" s="1"/>
  <c r="F9" i="1"/>
  <c r="F10" i="1" s="1"/>
  <c r="F5" i="1"/>
  <c r="F6" i="1" s="1"/>
  <c r="D102" i="1"/>
  <c r="G102" i="1" s="1"/>
  <c r="G36" i="1"/>
  <c r="G126" i="1" s="1"/>
  <c r="I122" i="1"/>
  <c r="G15" i="1"/>
  <c r="G254" i="1"/>
  <c r="F246" i="1"/>
  <c r="H245" i="1"/>
  <c r="G245" i="1"/>
  <c r="H243" i="1"/>
  <c r="G243" i="1" s="1"/>
  <c r="F242" i="1"/>
  <c r="F241" i="1" s="1"/>
  <c r="H242" i="1"/>
  <c r="G242" i="1"/>
  <c r="H241" i="1"/>
  <c r="G241" i="1" s="1"/>
  <c r="F240" i="1"/>
  <c r="H240" i="1" s="1"/>
  <c r="G240" i="1"/>
  <c r="F239" i="1"/>
  <c r="G234" i="1"/>
  <c r="G244" i="1"/>
  <c r="H111" i="1"/>
  <c r="I111" i="1"/>
  <c r="J111" i="1"/>
  <c r="J230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N254" i="1"/>
  <c r="M246" i="1"/>
  <c r="M247" i="1" s="1"/>
  <c r="M248" i="1"/>
  <c r="O248" i="1" s="1"/>
  <c r="N248" i="1" s="1"/>
  <c r="M249" i="1"/>
  <c r="O247" i="1"/>
  <c r="N247" i="1"/>
  <c r="O245" i="1"/>
  <c r="N245" i="1"/>
  <c r="O243" i="1"/>
  <c r="N243" i="1"/>
  <c r="M242" i="1"/>
  <c r="M241" i="1" s="1"/>
  <c r="O242" i="1"/>
  <c r="N242" i="1" s="1"/>
  <c r="N234" i="1"/>
  <c r="N244" i="1"/>
  <c r="Q230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N227" i="1"/>
  <c r="M219" i="1"/>
  <c r="O218" i="1"/>
  <c r="N218" i="1" s="1"/>
  <c r="O216" i="1"/>
  <c r="N216" i="1"/>
  <c r="M215" i="1"/>
  <c r="N207" i="1"/>
  <c r="N217" i="1"/>
  <c r="Q203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G227" i="1"/>
  <c r="F219" i="1"/>
  <c r="H219" i="1" s="1"/>
  <c r="G219" i="1" s="1"/>
  <c r="F220" i="1"/>
  <c r="H218" i="1"/>
  <c r="G218" i="1"/>
  <c r="H216" i="1"/>
  <c r="G216" i="1"/>
  <c r="F215" i="1"/>
  <c r="F214" i="1" s="1"/>
  <c r="H215" i="1"/>
  <c r="G215" i="1" s="1"/>
  <c r="G207" i="1"/>
  <c r="G217" i="1"/>
  <c r="J203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J176" i="1"/>
  <c r="G65" i="1"/>
  <c r="I28" i="1"/>
  <c r="AK103" i="1"/>
  <c r="F133" i="1"/>
  <c r="Q176" i="1"/>
  <c r="Q148" i="1"/>
  <c r="K143" i="1"/>
  <c r="AK108" i="1"/>
  <c r="F107" i="1" s="1"/>
  <c r="AK101" i="1"/>
  <c r="F101" i="1"/>
  <c r="AK100" i="1"/>
  <c r="F100" i="1"/>
  <c r="E96" i="1"/>
  <c r="E97" i="1"/>
  <c r="R200" i="1"/>
  <c r="N200" i="1"/>
  <c r="M192" i="1"/>
  <c r="M193" i="1"/>
  <c r="O193" i="1" s="1"/>
  <c r="N193" i="1" s="1"/>
  <c r="R172" i="1"/>
  <c r="N172" i="1"/>
  <c r="M164" i="1"/>
  <c r="M165" i="1" s="1"/>
  <c r="M166" i="1"/>
  <c r="M167" i="1" s="1"/>
  <c r="K200" i="1"/>
  <c r="G200" i="1"/>
  <c r="F192" i="1"/>
  <c r="F193" i="1" s="1"/>
  <c r="F194" i="1" s="1"/>
  <c r="F195" i="1"/>
  <c r="H195" i="1" s="1"/>
  <c r="G195" i="1" s="1"/>
  <c r="F196" i="1"/>
  <c r="F197" i="1" s="1"/>
  <c r="F198" i="1" s="1"/>
  <c r="F199" i="1" s="1"/>
  <c r="K172" i="1"/>
  <c r="G172" i="1"/>
  <c r="F164" i="1"/>
  <c r="H164" i="1" s="1"/>
  <c r="G164" i="1" s="1"/>
  <c r="R199" i="1"/>
  <c r="R171" i="1"/>
  <c r="K199" i="1"/>
  <c r="K171" i="1"/>
  <c r="R198" i="1"/>
  <c r="R170" i="1"/>
  <c r="K198" i="1"/>
  <c r="K170" i="1"/>
  <c r="R197" i="1"/>
  <c r="R169" i="1"/>
  <c r="K197" i="1"/>
  <c r="K169" i="1"/>
  <c r="R196" i="1"/>
  <c r="R168" i="1"/>
  <c r="K196" i="1"/>
  <c r="K168" i="1"/>
  <c r="R195" i="1"/>
  <c r="R167" i="1"/>
  <c r="K195" i="1"/>
  <c r="K167" i="1"/>
  <c r="R194" i="1"/>
  <c r="R166" i="1"/>
  <c r="O166" i="1"/>
  <c r="N166" i="1" s="1"/>
  <c r="K194" i="1"/>
  <c r="H194" i="1"/>
  <c r="G194" i="1"/>
  <c r="K166" i="1"/>
  <c r="R193" i="1"/>
  <c r="R165" i="1"/>
  <c r="O165" i="1"/>
  <c r="N165" i="1" s="1"/>
  <c r="K193" i="1"/>
  <c r="H193" i="1"/>
  <c r="G193" i="1"/>
  <c r="K165" i="1"/>
  <c r="R192" i="1"/>
  <c r="O192" i="1"/>
  <c r="N192" i="1"/>
  <c r="R164" i="1"/>
  <c r="O164" i="1"/>
  <c r="N164" i="1" s="1"/>
  <c r="K192" i="1"/>
  <c r="H192" i="1"/>
  <c r="G192" i="1" s="1"/>
  <c r="K164" i="1"/>
  <c r="R191" i="1"/>
  <c r="O191" i="1"/>
  <c r="N191" i="1"/>
  <c r="R163" i="1"/>
  <c r="O163" i="1"/>
  <c r="N163" i="1" s="1"/>
  <c r="K191" i="1"/>
  <c r="H191" i="1"/>
  <c r="G191" i="1"/>
  <c r="K163" i="1"/>
  <c r="H163" i="1"/>
  <c r="G163" i="1"/>
  <c r="R190" i="1"/>
  <c r="N190" i="1"/>
  <c r="R162" i="1"/>
  <c r="N162" i="1"/>
  <c r="K190" i="1"/>
  <c r="G190" i="1"/>
  <c r="K162" i="1"/>
  <c r="G162" i="1"/>
  <c r="R189" i="1"/>
  <c r="O189" i="1"/>
  <c r="N189" i="1"/>
  <c r="R161" i="1"/>
  <c r="O161" i="1"/>
  <c r="N161" i="1" s="1"/>
  <c r="K189" i="1"/>
  <c r="H189" i="1"/>
  <c r="G189" i="1" s="1"/>
  <c r="K161" i="1"/>
  <c r="H161" i="1"/>
  <c r="G161" i="1"/>
  <c r="R188" i="1"/>
  <c r="M188" i="1"/>
  <c r="O188" i="1"/>
  <c r="N188" i="1"/>
  <c r="R160" i="1"/>
  <c r="M160" i="1"/>
  <c r="O160" i="1"/>
  <c r="N160" i="1"/>
  <c r="K188" i="1"/>
  <c r="F188" i="1"/>
  <c r="H188" i="1"/>
  <c r="G188" i="1"/>
  <c r="K160" i="1"/>
  <c r="F160" i="1"/>
  <c r="H160" i="1"/>
  <c r="G160" i="1"/>
  <c r="R187" i="1"/>
  <c r="M187" i="1"/>
  <c r="O187" i="1"/>
  <c r="N187" i="1"/>
  <c r="R159" i="1"/>
  <c r="M159" i="1"/>
  <c r="O159" i="1"/>
  <c r="N159" i="1"/>
  <c r="K187" i="1"/>
  <c r="F187" i="1"/>
  <c r="H187" i="1"/>
  <c r="G187" i="1"/>
  <c r="K159" i="1"/>
  <c r="F159" i="1"/>
  <c r="H159" i="1"/>
  <c r="G159" i="1"/>
  <c r="R186" i="1"/>
  <c r="M186" i="1"/>
  <c r="O186" i="1"/>
  <c r="N186" i="1"/>
  <c r="R158" i="1"/>
  <c r="M158" i="1"/>
  <c r="O158" i="1"/>
  <c r="N158" i="1"/>
  <c r="K186" i="1"/>
  <c r="F186" i="1"/>
  <c r="H186" i="1"/>
  <c r="G186" i="1"/>
  <c r="K158" i="1"/>
  <c r="F158" i="1"/>
  <c r="H158" i="1"/>
  <c r="G158" i="1"/>
  <c r="R185" i="1"/>
  <c r="M185" i="1"/>
  <c r="O185" i="1"/>
  <c r="N185" i="1"/>
  <c r="R157" i="1"/>
  <c r="M157" i="1"/>
  <c r="O157" i="1"/>
  <c r="N157" i="1"/>
  <c r="K185" i="1"/>
  <c r="F185" i="1"/>
  <c r="H185" i="1"/>
  <c r="G185" i="1"/>
  <c r="K157" i="1"/>
  <c r="F157" i="1"/>
  <c r="H157" i="1"/>
  <c r="G157" i="1"/>
  <c r="R184" i="1"/>
  <c r="M184" i="1"/>
  <c r="O184" i="1"/>
  <c r="N184" i="1"/>
  <c r="R156" i="1"/>
  <c r="M156" i="1"/>
  <c r="O156" i="1"/>
  <c r="N156" i="1"/>
  <c r="K184" i="1"/>
  <c r="F184" i="1"/>
  <c r="H184" i="1"/>
  <c r="G184" i="1"/>
  <c r="K156" i="1"/>
  <c r="F156" i="1"/>
  <c r="H156" i="1"/>
  <c r="G156" i="1"/>
  <c r="R183" i="1"/>
  <c r="M183" i="1"/>
  <c r="O183" i="1"/>
  <c r="N183" i="1"/>
  <c r="R155" i="1"/>
  <c r="M155" i="1"/>
  <c r="O155" i="1"/>
  <c r="N155" i="1"/>
  <c r="K183" i="1"/>
  <c r="F183" i="1"/>
  <c r="H183" i="1"/>
  <c r="G183" i="1"/>
  <c r="K155" i="1"/>
  <c r="F155" i="1"/>
  <c r="H155" i="1"/>
  <c r="G155" i="1"/>
  <c r="R182" i="1"/>
  <c r="M182" i="1"/>
  <c r="O182" i="1"/>
  <c r="N182" i="1"/>
  <c r="R154" i="1"/>
  <c r="M154" i="1"/>
  <c r="O154" i="1"/>
  <c r="N154" i="1"/>
  <c r="K182" i="1"/>
  <c r="F182" i="1"/>
  <c r="H182" i="1"/>
  <c r="G182" i="1"/>
  <c r="K154" i="1"/>
  <c r="F154" i="1"/>
  <c r="H154" i="1"/>
  <c r="G154" i="1"/>
  <c r="R181" i="1"/>
  <c r="M181" i="1"/>
  <c r="O181" i="1"/>
  <c r="N181" i="1"/>
  <c r="R153" i="1"/>
  <c r="M153" i="1"/>
  <c r="O153" i="1"/>
  <c r="N153" i="1"/>
  <c r="K181" i="1"/>
  <c r="F181" i="1"/>
  <c r="H181" i="1"/>
  <c r="G181" i="1"/>
  <c r="K153" i="1"/>
  <c r="F153" i="1"/>
  <c r="H153" i="1"/>
  <c r="G153" i="1"/>
  <c r="R180" i="1"/>
  <c r="N180" i="1"/>
  <c r="M180" i="1"/>
  <c r="R152" i="1"/>
  <c r="N152" i="1"/>
  <c r="M152" i="1"/>
  <c r="K180" i="1"/>
  <c r="G180" i="1"/>
  <c r="F180" i="1"/>
  <c r="K152" i="1"/>
  <c r="G152" i="1"/>
  <c r="F152" i="1"/>
  <c r="H126" i="1" l="1"/>
  <c r="F75" i="1"/>
  <c r="G116" i="1" s="1"/>
  <c r="G117" i="1"/>
  <c r="F81" i="1"/>
  <c r="G113" i="1"/>
  <c r="F17" i="1"/>
  <c r="F13" i="1"/>
  <c r="AJ102" i="1"/>
  <c r="AJ104" i="1" s="1"/>
  <c r="H102" i="1"/>
  <c r="H104" i="1" s="1"/>
  <c r="H124" i="1" s="1"/>
  <c r="X102" i="1"/>
  <c r="X104" i="1" s="1"/>
  <c r="T102" i="1"/>
  <c r="T104" i="1" s="1"/>
  <c r="J148" i="1"/>
  <c r="AF102" i="1"/>
  <c r="AF104" i="1" s="1"/>
  <c r="P102" i="1"/>
  <c r="P104" i="1" s="1"/>
  <c r="AB102" i="1"/>
  <c r="AB104" i="1" s="1"/>
  <c r="L102" i="1"/>
  <c r="L104" i="1" s="1"/>
  <c r="AE102" i="1"/>
  <c r="AE104" i="1" s="1"/>
  <c r="W102" i="1"/>
  <c r="W104" i="1" s="1"/>
  <c r="AG102" i="1"/>
  <c r="AG104" i="1" s="1"/>
  <c r="AC102" i="1"/>
  <c r="AC104" i="1" s="1"/>
  <c r="Y102" i="1"/>
  <c r="Y104" i="1" s="1"/>
  <c r="U102" i="1"/>
  <c r="U104" i="1" s="1"/>
  <c r="Q102" i="1"/>
  <c r="Q104" i="1" s="1"/>
  <c r="M102" i="1"/>
  <c r="M104" i="1" s="1"/>
  <c r="AI102" i="1"/>
  <c r="AI104" i="1" s="1"/>
  <c r="AA102" i="1"/>
  <c r="AA104" i="1" s="1"/>
  <c r="S102" i="1"/>
  <c r="S104" i="1" s="1"/>
  <c r="O102" i="1"/>
  <c r="O104" i="1" s="1"/>
  <c r="K102" i="1"/>
  <c r="K104" i="1" s="1"/>
  <c r="AH102" i="1"/>
  <c r="AH104" i="1" s="1"/>
  <c r="AD102" i="1"/>
  <c r="AD104" i="1" s="1"/>
  <c r="Z102" i="1"/>
  <c r="Z104" i="1" s="1"/>
  <c r="V102" i="1"/>
  <c r="V104" i="1" s="1"/>
  <c r="R102" i="1"/>
  <c r="R104" i="1" s="1"/>
  <c r="N102" i="1"/>
  <c r="N104" i="1" s="1"/>
  <c r="J102" i="1"/>
  <c r="J104" i="1" s="1"/>
  <c r="J124" i="1" s="1"/>
  <c r="I102" i="1"/>
  <c r="I104" i="1" s="1"/>
  <c r="I124" i="1" s="1"/>
  <c r="G104" i="1"/>
  <c r="G124" i="1" s="1"/>
  <c r="F200" i="1"/>
  <c r="H199" i="1"/>
  <c r="G199" i="1" s="1"/>
  <c r="M168" i="1"/>
  <c r="O167" i="1"/>
  <c r="N167" i="1" s="1"/>
  <c r="F247" i="1"/>
  <c r="H246" i="1"/>
  <c r="G246" i="1" s="1"/>
  <c r="F221" i="1"/>
  <c r="H220" i="1"/>
  <c r="G220" i="1" s="1"/>
  <c r="M250" i="1"/>
  <c r="O249" i="1"/>
  <c r="N249" i="1" s="1"/>
  <c r="H196" i="1"/>
  <c r="G196" i="1" s="1"/>
  <c r="H197" i="1"/>
  <c r="G197" i="1" s="1"/>
  <c r="H198" i="1"/>
  <c r="G198" i="1" s="1"/>
  <c r="F165" i="1"/>
  <c r="M194" i="1"/>
  <c r="O215" i="1"/>
  <c r="N215" i="1" s="1"/>
  <c r="M214" i="1"/>
  <c r="J126" i="1"/>
  <c r="J127" i="1"/>
  <c r="J121" i="1"/>
  <c r="K111" i="1"/>
  <c r="J122" i="1"/>
  <c r="J125" i="1"/>
  <c r="J128" i="1"/>
  <c r="J129" i="1"/>
  <c r="H239" i="1"/>
  <c r="G239" i="1" s="1"/>
  <c r="F238" i="1"/>
  <c r="F213" i="1"/>
  <c r="H214" i="1"/>
  <c r="G214" i="1" s="1"/>
  <c r="M220" i="1"/>
  <c r="O219" i="1"/>
  <c r="N219" i="1" s="1"/>
  <c r="M240" i="1"/>
  <c r="O241" i="1"/>
  <c r="N241" i="1" s="1"/>
  <c r="I127" i="1"/>
  <c r="I121" i="1"/>
  <c r="I128" i="1"/>
  <c r="I125" i="1"/>
  <c r="I126" i="1"/>
  <c r="I129" i="1"/>
  <c r="H128" i="1"/>
  <c r="H122" i="1"/>
  <c r="H129" i="1"/>
  <c r="H127" i="1"/>
  <c r="O246" i="1"/>
  <c r="N246" i="1" s="1"/>
  <c r="G132" i="1" l="1"/>
  <c r="H132" i="1"/>
  <c r="F77" i="1"/>
  <c r="F91" i="1" s="1"/>
  <c r="G130" i="1" s="1"/>
  <c r="G118" i="1"/>
  <c r="F76" i="1"/>
  <c r="F82" i="1"/>
  <c r="G112" i="1"/>
  <c r="F86" i="1"/>
  <c r="F14" i="1"/>
  <c r="F29" i="1"/>
  <c r="G120" i="1" s="1"/>
  <c r="I116" i="1"/>
  <c r="G73" i="1"/>
  <c r="I16" i="1"/>
  <c r="G13" i="1"/>
  <c r="AK102" i="1"/>
  <c r="F102" i="1" s="1"/>
  <c r="AK104" i="1"/>
  <c r="F104" i="1" s="1"/>
  <c r="I132" i="1"/>
  <c r="J112" i="1"/>
  <c r="H221" i="1"/>
  <c r="G221" i="1" s="1"/>
  <c r="F222" i="1"/>
  <c r="M195" i="1"/>
  <c r="O194" i="1"/>
  <c r="N194" i="1" s="1"/>
  <c r="I112" i="1"/>
  <c r="F237" i="1"/>
  <c r="H238" i="1"/>
  <c r="G238" i="1" s="1"/>
  <c r="M213" i="1"/>
  <c r="O214" i="1"/>
  <c r="N214" i="1" s="1"/>
  <c r="M221" i="1"/>
  <c r="O220" i="1"/>
  <c r="N220" i="1" s="1"/>
  <c r="M169" i="1"/>
  <c r="O168" i="1"/>
  <c r="N168" i="1" s="1"/>
  <c r="H112" i="1"/>
  <c r="O240" i="1"/>
  <c r="N240" i="1" s="1"/>
  <c r="M239" i="1"/>
  <c r="H213" i="1"/>
  <c r="G213" i="1" s="1"/>
  <c r="F212" i="1"/>
  <c r="J132" i="1"/>
  <c r="K122" i="1"/>
  <c r="K125" i="1"/>
  <c r="K129" i="1"/>
  <c r="K124" i="1"/>
  <c r="K126" i="1"/>
  <c r="K112" i="1"/>
  <c r="K121" i="1"/>
  <c r="K127" i="1"/>
  <c r="K128" i="1"/>
  <c r="K132" i="1"/>
  <c r="L111" i="1"/>
  <c r="F166" i="1"/>
  <c r="H165" i="1"/>
  <c r="G165" i="1" s="1"/>
  <c r="M251" i="1"/>
  <c r="O250" i="1"/>
  <c r="N250" i="1" s="1"/>
  <c r="F248" i="1"/>
  <c r="H247" i="1"/>
  <c r="G247" i="1" s="1"/>
  <c r="G119" i="1" l="1"/>
  <c r="G123" i="1"/>
  <c r="H120" i="1"/>
  <c r="G114" i="1"/>
  <c r="G122" i="1"/>
  <c r="F87" i="1"/>
  <c r="K120" i="1"/>
  <c r="K123" i="1" s="1"/>
  <c r="F32" i="1"/>
  <c r="H116" i="1"/>
  <c r="K116" i="1"/>
  <c r="J116" i="1"/>
  <c r="O221" i="1"/>
  <c r="N221" i="1" s="1"/>
  <c r="M222" i="1"/>
  <c r="F249" i="1"/>
  <c r="H248" i="1"/>
  <c r="G248" i="1" s="1"/>
  <c r="F167" i="1"/>
  <c r="H166" i="1"/>
  <c r="G166" i="1" s="1"/>
  <c r="L116" i="1"/>
  <c r="L132" i="1"/>
  <c r="L121" i="1"/>
  <c r="L128" i="1"/>
  <c r="L122" i="1"/>
  <c r="L125" i="1"/>
  <c r="L129" i="1"/>
  <c r="L124" i="1"/>
  <c r="L126" i="1"/>
  <c r="L112" i="1"/>
  <c r="L127" i="1"/>
  <c r="M111" i="1"/>
  <c r="H212" i="1"/>
  <c r="G212" i="1" s="1"/>
  <c r="F211" i="1"/>
  <c r="M170" i="1"/>
  <c r="O169" i="1"/>
  <c r="N169" i="1" s="1"/>
  <c r="H237" i="1"/>
  <c r="G237" i="1" s="1"/>
  <c r="F236" i="1"/>
  <c r="F223" i="1"/>
  <c r="H222" i="1"/>
  <c r="G222" i="1" s="1"/>
  <c r="O195" i="1"/>
  <c r="N195" i="1" s="1"/>
  <c r="M196" i="1"/>
  <c r="M252" i="1"/>
  <c r="O251" i="1"/>
  <c r="N251" i="1" s="1"/>
  <c r="O239" i="1"/>
  <c r="N239" i="1" s="1"/>
  <c r="M238" i="1"/>
  <c r="M212" i="1"/>
  <c r="O213" i="1"/>
  <c r="N213" i="1" s="1"/>
  <c r="G115" i="1" l="1"/>
  <c r="H113" i="1" s="1"/>
  <c r="G131" i="1"/>
  <c r="G133" i="1" s="1"/>
  <c r="G134" i="1" s="1"/>
  <c r="J120" i="1"/>
  <c r="J123" i="1" s="1"/>
  <c r="I120" i="1"/>
  <c r="I123" i="1" s="1"/>
  <c r="L120" i="1"/>
  <c r="L123" i="1" s="1"/>
  <c r="H123" i="1"/>
  <c r="L130" i="1"/>
  <c r="F250" i="1"/>
  <c r="H249" i="1"/>
  <c r="G249" i="1" s="1"/>
  <c r="H236" i="1"/>
  <c r="G236" i="1" s="1"/>
  <c r="F235" i="1"/>
  <c r="F210" i="1"/>
  <c r="H211" i="1"/>
  <c r="G211" i="1" s="1"/>
  <c r="M237" i="1"/>
  <c r="O238" i="1"/>
  <c r="N238" i="1" s="1"/>
  <c r="H223" i="1"/>
  <c r="G223" i="1" s="1"/>
  <c r="F224" i="1"/>
  <c r="O222" i="1"/>
  <c r="N222" i="1" s="1"/>
  <c r="M223" i="1"/>
  <c r="H167" i="1"/>
  <c r="G167" i="1" s="1"/>
  <c r="F168" i="1"/>
  <c r="O212" i="1"/>
  <c r="N212" i="1" s="1"/>
  <c r="M211" i="1"/>
  <c r="O252" i="1"/>
  <c r="N252" i="1" s="1"/>
  <c r="M253" i="1"/>
  <c r="O196" i="1"/>
  <c r="N196" i="1" s="1"/>
  <c r="M197" i="1"/>
  <c r="M171" i="1"/>
  <c r="O170" i="1"/>
  <c r="N170" i="1" s="1"/>
  <c r="M112" i="1"/>
  <c r="M120" i="1"/>
  <c r="M127" i="1"/>
  <c r="M116" i="1"/>
  <c r="M132" i="1"/>
  <c r="M121" i="1"/>
  <c r="M128" i="1"/>
  <c r="M122" i="1"/>
  <c r="M125" i="1"/>
  <c r="M126" i="1"/>
  <c r="M129" i="1"/>
  <c r="N111" i="1"/>
  <c r="M124" i="1"/>
  <c r="M130" i="1" l="1"/>
  <c r="I130" i="1"/>
  <c r="K130" i="1"/>
  <c r="H130" i="1"/>
  <c r="J130" i="1"/>
  <c r="N124" i="1"/>
  <c r="N130" i="1"/>
  <c r="N126" i="1"/>
  <c r="N112" i="1"/>
  <c r="N120" i="1"/>
  <c r="N127" i="1"/>
  <c r="N129" i="1"/>
  <c r="O111" i="1"/>
  <c r="N116" i="1"/>
  <c r="N121" i="1"/>
  <c r="N128" i="1"/>
  <c r="N122" i="1"/>
  <c r="N132" i="1"/>
  <c r="N125" i="1"/>
  <c r="F225" i="1"/>
  <c r="H224" i="1"/>
  <c r="G224" i="1" s="1"/>
  <c r="H235" i="1"/>
  <c r="G235" i="1" s="1"/>
  <c r="F234" i="1"/>
  <c r="M123" i="1"/>
  <c r="M236" i="1"/>
  <c r="O237" i="1"/>
  <c r="N237" i="1" s="1"/>
  <c r="H168" i="1"/>
  <c r="G168" i="1" s="1"/>
  <c r="F169" i="1"/>
  <c r="H250" i="1"/>
  <c r="G250" i="1" s="1"/>
  <c r="F251" i="1"/>
  <c r="M172" i="1"/>
  <c r="O171" i="1"/>
  <c r="N171" i="1" s="1"/>
  <c r="M254" i="1"/>
  <c r="O253" i="1"/>
  <c r="N253" i="1" s="1"/>
  <c r="M224" i="1"/>
  <c r="O223" i="1"/>
  <c r="N223" i="1" s="1"/>
  <c r="O197" i="1"/>
  <c r="N197" i="1" s="1"/>
  <c r="M198" i="1"/>
  <c r="O211" i="1"/>
  <c r="N211" i="1" s="1"/>
  <c r="M210" i="1"/>
  <c r="F209" i="1"/>
  <c r="H210" i="1"/>
  <c r="G210" i="1" s="1"/>
  <c r="H117" i="1"/>
  <c r="N123" i="1" l="1"/>
  <c r="O122" i="1"/>
  <c r="O125" i="1"/>
  <c r="O129" i="1"/>
  <c r="O124" i="1"/>
  <c r="O130" i="1"/>
  <c r="O126" i="1"/>
  <c r="O132" i="1"/>
  <c r="O128" i="1"/>
  <c r="O112" i="1"/>
  <c r="O120" i="1"/>
  <c r="O116" i="1"/>
  <c r="O121" i="1"/>
  <c r="O127" i="1"/>
  <c r="P111" i="1"/>
  <c r="M199" i="1"/>
  <c r="O198" i="1"/>
  <c r="N198" i="1" s="1"/>
  <c r="H118" i="1"/>
  <c r="M225" i="1"/>
  <c r="O224" i="1"/>
  <c r="N224" i="1" s="1"/>
  <c r="O236" i="1"/>
  <c r="N236" i="1" s="1"/>
  <c r="M235" i="1"/>
  <c r="H114" i="1"/>
  <c r="H209" i="1"/>
  <c r="G209" i="1" s="1"/>
  <c r="F208" i="1"/>
  <c r="M209" i="1"/>
  <c r="O210" i="1"/>
  <c r="N210" i="1" s="1"/>
  <c r="F252" i="1"/>
  <c r="H251" i="1"/>
  <c r="G251" i="1" s="1"/>
  <c r="F170" i="1"/>
  <c r="H169" i="1"/>
  <c r="G169" i="1" s="1"/>
  <c r="H225" i="1"/>
  <c r="G225" i="1" s="1"/>
  <c r="F226" i="1"/>
  <c r="O123" i="1" l="1"/>
  <c r="H131" i="1"/>
  <c r="H115" i="1"/>
  <c r="O225" i="1"/>
  <c r="N225" i="1" s="1"/>
  <c r="M226" i="1"/>
  <c r="F227" i="1"/>
  <c r="H226" i="1"/>
  <c r="G226" i="1" s="1"/>
  <c r="F171" i="1"/>
  <c r="H170" i="1"/>
  <c r="G170" i="1" s="1"/>
  <c r="M208" i="1"/>
  <c r="O209" i="1"/>
  <c r="N209" i="1" s="1"/>
  <c r="G135" i="1"/>
  <c r="H119" i="1"/>
  <c r="O199" i="1"/>
  <c r="N199" i="1" s="1"/>
  <c r="M200" i="1"/>
  <c r="H208" i="1"/>
  <c r="G208" i="1" s="1"/>
  <c r="F207" i="1"/>
  <c r="P116" i="1"/>
  <c r="P132" i="1"/>
  <c r="P121" i="1"/>
  <c r="P128" i="1"/>
  <c r="P122" i="1"/>
  <c r="P125" i="1"/>
  <c r="P129" i="1"/>
  <c r="P120" i="1"/>
  <c r="P124" i="1"/>
  <c r="P126" i="1"/>
  <c r="P130" i="1"/>
  <c r="Q111" i="1"/>
  <c r="P127" i="1"/>
  <c r="P112" i="1"/>
  <c r="F253" i="1"/>
  <c r="H252" i="1"/>
  <c r="G252" i="1" s="1"/>
  <c r="O235" i="1"/>
  <c r="N235" i="1" s="1"/>
  <c r="M234" i="1"/>
  <c r="P123" i="1" l="1"/>
  <c r="Q112" i="1"/>
  <c r="Q120" i="1"/>
  <c r="Q127" i="1"/>
  <c r="Q116" i="1"/>
  <c r="Q132" i="1"/>
  <c r="Q121" i="1"/>
  <c r="Q128" i="1"/>
  <c r="Q129" i="1"/>
  <c r="Q122" i="1"/>
  <c r="Q130" i="1"/>
  <c r="Q124" i="1"/>
  <c r="Q125" i="1"/>
  <c r="Q126" i="1"/>
  <c r="R111" i="1"/>
  <c r="M207" i="1"/>
  <c r="O208" i="1"/>
  <c r="N208" i="1" s="1"/>
  <c r="I113" i="1"/>
  <c r="H171" i="1"/>
  <c r="G171" i="1" s="1"/>
  <c r="F172" i="1"/>
  <c r="M227" i="1"/>
  <c r="O226" i="1"/>
  <c r="N226" i="1" s="1"/>
  <c r="H133" i="1"/>
  <c r="F254" i="1"/>
  <c r="H253" i="1"/>
  <c r="G253" i="1" s="1"/>
  <c r="I117" i="1"/>
  <c r="Q123" i="1" l="1"/>
  <c r="I118" i="1"/>
  <c r="R124" i="1"/>
  <c r="R130" i="1"/>
  <c r="R126" i="1"/>
  <c r="R112" i="1"/>
  <c r="R120" i="1"/>
  <c r="R127" i="1"/>
  <c r="R132" i="1"/>
  <c r="R128" i="1"/>
  <c r="S111" i="1"/>
  <c r="R129" i="1"/>
  <c r="R122" i="1"/>
  <c r="R125" i="1"/>
  <c r="R121" i="1"/>
  <c r="R116" i="1"/>
  <c r="H134" i="1"/>
  <c r="I114" i="1"/>
  <c r="R123" i="1" l="1"/>
  <c r="I119" i="1"/>
  <c r="H135" i="1"/>
  <c r="S122" i="1"/>
  <c r="S125" i="1"/>
  <c r="S129" i="1"/>
  <c r="S124" i="1"/>
  <c r="S130" i="1"/>
  <c r="S126" i="1"/>
  <c r="S127" i="1"/>
  <c r="S132" i="1"/>
  <c r="S128" i="1"/>
  <c r="S112" i="1"/>
  <c r="S120" i="1"/>
  <c r="S121" i="1"/>
  <c r="T111" i="1"/>
  <c r="S116" i="1"/>
  <c r="I131" i="1"/>
  <c r="I115" i="1"/>
  <c r="S123" i="1" l="1"/>
  <c r="I133" i="1"/>
  <c r="T116" i="1"/>
  <c r="T132" i="1"/>
  <c r="T121" i="1"/>
  <c r="T128" i="1"/>
  <c r="T122" i="1"/>
  <c r="T125" i="1"/>
  <c r="T129" i="1"/>
  <c r="T130" i="1"/>
  <c r="T120" i="1"/>
  <c r="T112" i="1"/>
  <c r="T127" i="1"/>
  <c r="T124" i="1"/>
  <c r="T126" i="1"/>
  <c r="U111" i="1"/>
  <c r="J117" i="1"/>
  <c r="J113" i="1"/>
  <c r="T123" i="1" l="1"/>
  <c r="I134" i="1"/>
  <c r="J118" i="1"/>
  <c r="J114" i="1"/>
  <c r="U112" i="1"/>
  <c r="U116" i="1"/>
  <c r="U132" i="1"/>
  <c r="U121" i="1"/>
  <c r="U128" i="1"/>
  <c r="U125" i="1"/>
  <c r="U129" i="1"/>
  <c r="U127" i="1"/>
  <c r="U122" i="1"/>
  <c r="U130" i="1"/>
  <c r="U124" i="1"/>
  <c r="V111" i="1"/>
  <c r="U120" i="1"/>
  <c r="U126" i="1"/>
  <c r="U123" i="1" l="1"/>
  <c r="J119" i="1"/>
  <c r="V112" i="1"/>
  <c r="V122" i="1"/>
  <c r="V128" i="1"/>
  <c r="W111" i="1"/>
  <c r="V116" i="1"/>
  <c r="V124" i="1"/>
  <c r="V125" i="1"/>
  <c r="V129" i="1"/>
  <c r="V121" i="1"/>
  <c r="V127" i="1"/>
  <c r="V130" i="1"/>
  <c r="V120" i="1"/>
  <c r="V132" i="1"/>
  <c r="V126" i="1"/>
  <c r="J131" i="1"/>
  <c r="J115" i="1"/>
  <c r="I135" i="1"/>
  <c r="V123" i="1" l="1"/>
  <c r="K113" i="1"/>
  <c r="K114" i="1" s="1"/>
  <c r="K117" i="1"/>
  <c r="J133" i="1"/>
  <c r="W121" i="1"/>
  <c r="W132" i="1"/>
  <c r="W127" i="1"/>
  <c r="W112" i="1"/>
  <c r="W122" i="1"/>
  <c r="W128" i="1"/>
  <c r="W120" i="1"/>
  <c r="W125" i="1"/>
  <c r="W126" i="1"/>
  <c r="W129" i="1"/>
  <c r="X111" i="1"/>
  <c r="W130" i="1"/>
  <c r="W124" i="1"/>
  <c r="W116" i="1"/>
  <c r="W123" i="1" l="1"/>
  <c r="X120" i="1"/>
  <c r="X126" i="1"/>
  <c r="X130" i="1"/>
  <c r="X121" i="1"/>
  <c r="X132" i="1"/>
  <c r="X127" i="1"/>
  <c r="X112" i="1"/>
  <c r="X124" i="1"/>
  <c r="X129" i="1"/>
  <c r="X116" i="1"/>
  <c r="X128" i="1"/>
  <c r="Y111" i="1"/>
  <c r="X125" i="1"/>
  <c r="X122" i="1"/>
  <c r="K118" i="1"/>
  <c r="K131" i="1" s="1"/>
  <c r="J134" i="1"/>
  <c r="K115" i="1"/>
  <c r="X123" i="1" l="1"/>
  <c r="J135" i="1"/>
  <c r="K119" i="1"/>
  <c r="Y116" i="1"/>
  <c r="Y124" i="1"/>
  <c r="Y125" i="1"/>
  <c r="Y129" i="1"/>
  <c r="Y120" i="1"/>
  <c r="Y123" i="1" s="1"/>
  <c r="Y122" i="1"/>
  <c r="Y127" i="1"/>
  <c r="Y132" i="1"/>
  <c r="Y128" i="1"/>
  <c r="Y112" i="1"/>
  <c r="Y121" i="1"/>
  <c r="Y126" i="1"/>
  <c r="Y130" i="1"/>
  <c r="Z111" i="1"/>
  <c r="L113" i="1"/>
  <c r="L114" i="1" s="1"/>
  <c r="K133" i="1"/>
  <c r="K134" i="1" l="1"/>
  <c r="L117" i="1"/>
  <c r="L115" i="1"/>
  <c r="Z112" i="1"/>
  <c r="Z122" i="1"/>
  <c r="Z128" i="1"/>
  <c r="AA111" i="1"/>
  <c r="Z132" i="1"/>
  <c r="Z129" i="1"/>
  <c r="Z116" i="1"/>
  <c r="Z125" i="1"/>
  <c r="Z130" i="1"/>
  <c r="Z126" i="1"/>
  <c r="Z120" i="1"/>
  <c r="Z127" i="1"/>
  <c r="Z121" i="1"/>
  <c r="Z124" i="1"/>
  <c r="Z123" i="1" l="1"/>
  <c r="AA121" i="1"/>
  <c r="AA132" i="1"/>
  <c r="AA127" i="1"/>
  <c r="AA116" i="1"/>
  <c r="AA129" i="1"/>
  <c r="AA120" i="1"/>
  <c r="AA123" i="1" s="1"/>
  <c r="AA125" i="1"/>
  <c r="AA130" i="1"/>
  <c r="AA122" i="1"/>
  <c r="AA126" i="1"/>
  <c r="AB111" i="1"/>
  <c r="AA128" i="1"/>
  <c r="AA124" i="1"/>
  <c r="AA112" i="1"/>
  <c r="L118" i="1"/>
  <c r="M113" i="1"/>
  <c r="M114" i="1" s="1"/>
  <c r="K135" i="1"/>
  <c r="L131" i="1" l="1"/>
  <c r="L133" i="1" s="1"/>
  <c r="L134" i="1" s="1"/>
  <c r="L135" i="1" s="1"/>
  <c r="L119" i="1"/>
  <c r="M115" i="1"/>
  <c r="AB120" i="1"/>
  <c r="AB126" i="1"/>
  <c r="AB130" i="1"/>
  <c r="AB116" i="1"/>
  <c r="AB125" i="1"/>
  <c r="AB121" i="1"/>
  <c r="AB124" i="1"/>
  <c r="AB127" i="1"/>
  <c r="AB122" i="1"/>
  <c r="AB132" i="1"/>
  <c r="AC111" i="1"/>
  <c r="AB128" i="1"/>
  <c r="AB112" i="1"/>
  <c r="AB129" i="1"/>
  <c r="AB123" i="1" l="1"/>
  <c r="M117" i="1"/>
  <c r="M118" i="1" s="1"/>
  <c r="M131" i="1" s="1"/>
  <c r="M133" i="1" s="1"/>
  <c r="M134" i="1" s="1"/>
  <c r="M135" i="1" s="1"/>
  <c r="AC116" i="1"/>
  <c r="AC124" i="1"/>
  <c r="AC125" i="1"/>
  <c r="AC129" i="1"/>
  <c r="AC121" i="1"/>
  <c r="AC127" i="1"/>
  <c r="AC122" i="1"/>
  <c r="AC132" i="1"/>
  <c r="AC128" i="1"/>
  <c r="AC112" i="1"/>
  <c r="AC130" i="1"/>
  <c r="AC120" i="1"/>
  <c r="AD111" i="1"/>
  <c r="AC126" i="1"/>
  <c r="N113" i="1"/>
  <c r="N114" i="1" s="1"/>
  <c r="N115" i="1" s="1"/>
  <c r="AC123" i="1" l="1"/>
  <c r="O113" i="1"/>
  <c r="O114" i="1" s="1"/>
  <c r="AD112" i="1"/>
  <c r="AD122" i="1"/>
  <c r="AD128" i="1"/>
  <c r="AE111" i="1"/>
  <c r="AD132" i="1"/>
  <c r="AD129" i="1"/>
  <c r="AD116" i="1"/>
  <c r="AD125" i="1"/>
  <c r="AD130" i="1"/>
  <c r="AD126" i="1"/>
  <c r="AD120" i="1"/>
  <c r="AD127" i="1"/>
  <c r="AD121" i="1"/>
  <c r="AD124" i="1"/>
  <c r="M119" i="1"/>
  <c r="AD123" i="1" l="1"/>
  <c r="AE121" i="1"/>
  <c r="AE132" i="1"/>
  <c r="AE127" i="1"/>
  <c r="AE116" i="1"/>
  <c r="AE120" i="1"/>
  <c r="AE125" i="1"/>
  <c r="AE130" i="1"/>
  <c r="AE112" i="1"/>
  <c r="AE129" i="1"/>
  <c r="AE122" i="1"/>
  <c r="AE126" i="1"/>
  <c r="AE128" i="1"/>
  <c r="AF111" i="1"/>
  <c r="AE124" i="1"/>
  <c r="N117" i="1"/>
  <c r="N118" i="1" s="1"/>
  <c r="N131" i="1" s="1"/>
  <c r="N133" i="1" s="1"/>
  <c r="N134" i="1" s="1"/>
  <c r="N135" i="1" s="1"/>
  <c r="O115" i="1"/>
  <c r="AE123" i="1" l="1"/>
  <c r="P113" i="1"/>
  <c r="P114" i="1" s="1"/>
  <c r="P115" i="1" s="1"/>
  <c r="AF120" i="1"/>
  <c r="AF123" i="1" s="1"/>
  <c r="AF126" i="1"/>
  <c r="AF130" i="1"/>
  <c r="AF121" i="1"/>
  <c r="AF124" i="1"/>
  <c r="AF127" i="1"/>
  <c r="AF122" i="1"/>
  <c r="AF125" i="1"/>
  <c r="AG111" i="1"/>
  <c r="AF128" i="1"/>
  <c r="AF112" i="1"/>
  <c r="AF132" i="1"/>
  <c r="AF129" i="1"/>
  <c r="AF116" i="1"/>
  <c r="N119" i="1"/>
  <c r="Q113" i="1" l="1"/>
  <c r="Q114" i="1" s="1"/>
  <c r="AG116" i="1"/>
  <c r="AG124" i="1"/>
  <c r="AG125" i="1"/>
  <c r="AG129" i="1"/>
  <c r="AG122" i="1"/>
  <c r="AG132" i="1"/>
  <c r="AG128" i="1"/>
  <c r="AG112" i="1"/>
  <c r="AG130" i="1"/>
  <c r="AG120" i="1"/>
  <c r="AG123" i="1" s="1"/>
  <c r="AH111" i="1"/>
  <c r="AG121" i="1"/>
  <c r="AG126" i="1"/>
  <c r="AG127" i="1"/>
  <c r="O117" i="1"/>
  <c r="O118" i="1" s="1"/>
  <c r="O131" i="1" s="1"/>
  <c r="O133" i="1" s="1"/>
  <c r="O134" i="1" s="1"/>
  <c r="O135" i="1" s="1"/>
  <c r="AH112" i="1" l="1"/>
  <c r="AH122" i="1"/>
  <c r="AH128" i="1"/>
  <c r="AI111" i="1"/>
  <c r="AH116" i="1"/>
  <c r="AH125" i="1"/>
  <c r="AH130" i="1"/>
  <c r="AH121" i="1"/>
  <c r="AH123" i="1" s="1"/>
  <c r="AH132" i="1"/>
  <c r="AH126" i="1"/>
  <c r="AH124" i="1"/>
  <c r="AH127" i="1"/>
  <c r="AH120" i="1"/>
  <c r="AH129" i="1"/>
  <c r="O119" i="1"/>
  <c r="Q115" i="1"/>
  <c r="R113" i="1" l="1"/>
  <c r="R114" i="1" s="1"/>
  <c r="R115" i="1" s="1"/>
  <c r="P117" i="1"/>
  <c r="P118" i="1" s="1"/>
  <c r="P131" i="1" s="1"/>
  <c r="P133" i="1" s="1"/>
  <c r="P134" i="1" s="1"/>
  <c r="P135" i="1" s="1"/>
  <c r="AI121" i="1"/>
  <c r="AI132" i="1"/>
  <c r="AI127" i="1"/>
  <c r="AI120" i="1"/>
  <c r="AI123" i="1" s="1"/>
  <c r="AI125" i="1"/>
  <c r="AI130" i="1"/>
  <c r="AI112" i="1"/>
  <c r="AI126" i="1"/>
  <c r="AJ111" i="1"/>
  <c r="AI116" i="1"/>
  <c r="AI124" i="1"/>
  <c r="AI128" i="1"/>
  <c r="AI122" i="1"/>
  <c r="AI129" i="1"/>
  <c r="P119" i="1" l="1"/>
  <c r="S113" i="1"/>
  <c r="S114" i="1" s="1"/>
  <c r="S115" i="1" s="1"/>
  <c r="AJ120" i="1"/>
  <c r="AK120" i="1" s="1"/>
  <c r="AJ126" i="1"/>
  <c r="AK126" i="1" s="1"/>
  <c r="AJ130" i="1"/>
  <c r="AK130" i="1" s="1"/>
  <c r="AJ121" i="1"/>
  <c r="AK121" i="1" s="1"/>
  <c r="AJ124" i="1"/>
  <c r="AK124" i="1" s="1"/>
  <c r="AJ127" i="1"/>
  <c r="AK127" i="1" s="1"/>
  <c r="AJ128" i="1"/>
  <c r="AK128" i="1" s="1"/>
  <c r="AJ112" i="1"/>
  <c r="AK112" i="1" s="1"/>
  <c r="AJ132" i="1"/>
  <c r="AK132" i="1" s="1"/>
  <c r="AJ129" i="1"/>
  <c r="AK129" i="1" s="1"/>
  <c r="AJ116" i="1"/>
  <c r="AK116" i="1" s="1"/>
  <c r="AJ125" i="1"/>
  <c r="AK125" i="1" s="1"/>
  <c r="AJ122" i="1"/>
  <c r="AK122" i="1" s="1"/>
  <c r="AJ123" i="1" l="1"/>
  <c r="AK123" i="1" s="1"/>
  <c r="T113" i="1"/>
  <c r="T114" i="1" s="1"/>
  <c r="T115" i="1" s="1"/>
  <c r="Q117" i="1"/>
  <c r="Q118" i="1" s="1"/>
  <c r="Q131" i="1" s="1"/>
  <c r="Q133" i="1" s="1"/>
  <c r="Q134" i="1" s="1"/>
  <c r="Q135" i="1" s="1"/>
  <c r="U113" i="1" l="1"/>
  <c r="Q119" i="1"/>
  <c r="R117" i="1" l="1"/>
  <c r="U114" i="1"/>
  <c r="U115" i="1" l="1"/>
  <c r="R118" i="1"/>
  <c r="V113" i="1" l="1"/>
  <c r="R131" i="1"/>
  <c r="R119" i="1"/>
  <c r="V114" i="1" l="1"/>
  <c r="S117" i="1"/>
  <c r="R133" i="1"/>
  <c r="V115" i="1" l="1"/>
  <c r="R134" i="1"/>
  <c r="S118" i="1"/>
  <c r="W113" i="1" l="1"/>
  <c r="S131" i="1"/>
  <c r="S119" i="1"/>
  <c r="R135" i="1"/>
  <c r="W114" i="1" l="1"/>
  <c r="T117" i="1"/>
  <c r="T118" i="1" s="1"/>
  <c r="T119" i="1" s="1"/>
  <c r="S133" i="1"/>
  <c r="W115" i="1" l="1"/>
  <c r="U117" i="1"/>
  <c r="T131" i="1"/>
  <c r="T133" i="1" s="1"/>
  <c r="T134" i="1" s="1"/>
  <c r="T135" i="1" s="1"/>
  <c r="S134" i="1"/>
  <c r="X113" i="1" l="1"/>
  <c r="U118" i="1"/>
  <c r="S135" i="1"/>
  <c r="X114" i="1" l="1"/>
  <c r="U131" i="1"/>
  <c r="U119" i="1"/>
  <c r="V117" i="1" l="1"/>
  <c r="X115" i="1"/>
  <c r="U133" i="1"/>
  <c r="Y113" i="1" l="1"/>
  <c r="V118" i="1"/>
  <c r="U134" i="1"/>
  <c r="V131" i="1" l="1"/>
  <c r="V119" i="1"/>
  <c r="Y114" i="1"/>
  <c r="U135" i="1"/>
  <c r="Y115" i="1" l="1"/>
  <c r="W117" i="1"/>
  <c r="V133" i="1"/>
  <c r="V134" i="1" l="1"/>
  <c r="Z113" i="1"/>
  <c r="W118" i="1"/>
  <c r="Z114" i="1" l="1"/>
  <c r="W131" i="1"/>
  <c r="W119" i="1"/>
  <c r="V135" i="1"/>
  <c r="W133" i="1" l="1"/>
  <c r="X117" i="1"/>
  <c r="Z115" i="1"/>
  <c r="AA113" i="1" l="1"/>
  <c r="AA114" i="1" s="1"/>
  <c r="X118" i="1"/>
  <c r="W134" i="1"/>
  <c r="W135" i="1" l="1"/>
  <c r="AA115" i="1"/>
  <c r="X131" i="1"/>
  <c r="X119" i="1"/>
  <c r="X133" i="1" l="1"/>
  <c r="AB113" i="1"/>
  <c r="AB114" i="1" s="1"/>
  <c r="AB115" i="1" s="1"/>
  <c r="Y117" i="1"/>
  <c r="AC113" i="1" l="1"/>
  <c r="AC114" i="1" s="1"/>
  <c r="Y118" i="1"/>
  <c r="X134" i="1"/>
  <c r="X135" i="1" l="1"/>
  <c r="AC115" i="1"/>
  <c r="Y131" i="1"/>
  <c r="Y119" i="1"/>
  <c r="Y133" i="1" l="1"/>
  <c r="AD113" i="1"/>
  <c r="AD114" i="1" s="1"/>
  <c r="Z117" i="1"/>
  <c r="AD115" i="1" l="1"/>
  <c r="Y134" i="1"/>
  <c r="Z118" i="1"/>
  <c r="AE113" i="1" l="1"/>
  <c r="AE114" i="1" s="1"/>
  <c r="AE115" i="1" s="1"/>
  <c r="Z131" i="1"/>
  <c r="Z119" i="1"/>
  <c r="Y135" i="1"/>
  <c r="AF113" i="1" l="1"/>
  <c r="AF114" i="1" s="1"/>
  <c r="AF115" i="1"/>
  <c r="AA117" i="1"/>
  <c r="AA118" i="1" s="1"/>
  <c r="AA131" i="1" s="1"/>
  <c r="AA133" i="1" s="1"/>
  <c r="AA134" i="1" s="1"/>
  <c r="AA135" i="1" s="1"/>
  <c r="Z133" i="1"/>
  <c r="AA119" i="1" l="1"/>
  <c r="Z134" i="1"/>
  <c r="AG113" i="1"/>
  <c r="AG114" i="1" s="1"/>
  <c r="Z135" i="1" l="1"/>
  <c r="AB117" i="1"/>
  <c r="AB118" i="1" s="1"/>
  <c r="AB131" i="1" s="1"/>
  <c r="AB133" i="1" s="1"/>
  <c r="AB134" i="1" s="1"/>
  <c r="AB135" i="1" s="1"/>
  <c r="AG115" i="1"/>
  <c r="AH113" i="1" l="1"/>
  <c r="AH114" i="1" s="1"/>
  <c r="AH115" i="1" s="1"/>
  <c r="AB119" i="1"/>
  <c r="AI113" i="1" l="1"/>
  <c r="AI114" i="1" s="1"/>
  <c r="AI115" i="1" s="1"/>
  <c r="AC117" i="1"/>
  <c r="AC118" i="1" s="1"/>
  <c r="AC131" i="1" s="1"/>
  <c r="AC133" i="1" s="1"/>
  <c r="AC134" i="1" s="1"/>
  <c r="AC135" i="1" s="1"/>
  <c r="AC119" i="1" l="1"/>
  <c r="AD117" i="1" s="1"/>
  <c r="AD118" i="1" s="1"/>
  <c r="AD131" i="1" s="1"/>
  <c r="AD133" i="1" s="1"/>
  <c r="AD134" i="1" s="1"/>
  <c r="AD135" i="1" s="1"/>
  <c r="AJ113" i="1"/>
  <c r="AD119" i="1" l="1"/>
  <c r="AJ114" i="1"/>
  <c r="AK113" i="1"/>
  <c r="AE117" i="1"/>
  <c r="AE118" i="1" s="1"/>
  <c r="AE131" i="1" s="1"/>
  <c r="AE133" i="1" s="1"/>
  <c r="AE134" i="1" s="1"/>
  <c r="AE135" i="1" s="1"/>
  <c r="AK114" i="1" l="1"/>
  <c r="AJ115" i="1"/>
  <c r="AE119" i="1"/>
  <c r="AF117" i="1" l="1"/>
  <c r="AF118" i="1" s="1"/>
  <c r="AF131" i="1" s="1"/>
  <c r="AF133" i="1" s="1"/>
  <c r="AF134" i="1" s="1"/>
  <c r="AF135" i="1" s="1"/>
  <c r="AF119" i="1" l="1"/>
  <c r="AG117" i="1" s="1"/>
  <c r="AG118" i="1" s="1"/>
  <c r="AG131" i="1" s="1"/>
  <c r="AG133" i="1" s="1"/>
  <c r="AG134" i="1" s="1"/>
  <c r="AG135" i="1" s="1"/>
  <c r="AG119" i="1" l="1"/>
  <c r="AH117" i="1" l="1"/>
  <c r="AH118" i="1" s="1"/>
  <c r="AH131" i="1" s="1"/>
  <c r="AH133" i="1" s="1"/>
  <c r="AH134" i="1" s="1"/>
  <c r="AH135" i="1" s="1"/>
  <c r="AH119" i="1"/>
  <c r="AI117" i="1" l="1"/>
  <c r="AI118" i="1" s="1"/>
  <c r="AI131" i="1" s="1"/>
  <c r="AI133" i="1" s="1"/>
  <c r="AI134" i="1" s="1"/>
  <c r="AI135" i="1" s="1"/>
  <c r="AI119" i="1" l="1"/>
  <c r="AJ117" i="1" s="1"/>
  <c r="AJ118" i="1" l="1"/>
  <c r="AK117" i="1"/>
  <c r="AK118" i="1" l="1"/>
  <c r="AJ131" i="1"/>
  <c r="AJ119" i="1"/>
  <c r="AJ133" i="1" l="1"/>
  <c r="AK131" i="1"/>
  <c r="AJ134" i="1" l="1"/>
  <c r="AK133" i="1"/>
  <c r="AJ135" i="1" l="1"/>
  <c r="AK134" i="1"/>
  <c r="AK135" i="1" l="1"/>
  <c r="F136" i="1"/>
  <c r="G136" i="1" l="1"/>
  <c r="F137" i="1"/>
  <c r="F138" i="1"/>
  <c r="F141" i="1" l="1"/>
  <c r="F139" i="1"/>
  <c r="F140" i="1"/>
  <c r="F142" i="1"/>
  <c r="Q206" i="1" l="1"/>
  <c r="J179" i="1"/>
  <c r="J206" i="1"/>
  <c r="Q151" i="1"/>
  <c r="J233" i="1"/>
  <c r="J151" i="1"/>
  <c r="Q233" i="1"/>
  <c r="Q179" i="1"/>
  <c r="P233" i="1"/>
  <c r="I151" i="1"/>
  <c r="I233" i="1"/>
  <c r="P206" i="1"/>
  <c r="P179" i="1"/>
  <c r="I206" i="1"/>
  <c r="I179" i="1"/>
  <c r="P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kzl0049</author>
  </authors>
  <commentList>
    <comment ref="F30" authorId="0" shapeId="0" xr:uid="{BD9FD4DC-E90A-438F-8437-4BDD9FF2D5A8}">
      <text>
        <r>
          <rPr>
            <b/>
            <sz val="9"/>
            <color indexed="81"/>
            <rFont val="Tahoma"/>
            <charset val="1"/>
          </rPr>
          <t>kzl0049:</t>
        </r>
        <r>
          <rPr>
            <sz val="9"/>
            <color indexed="81"/>
            <rFont val="Tahoma"/>
            <charset val="1"/>
          </rPr>
          <t xml:space="preserve">
input</t>
        </r>
      </text>
    </comment>
  </commentList>
</comments>
</file>

<file path=xl/sharedStrings.xml><?xml version="1.0" encoding="utf-8"?>
<sst xmlns="http://schemas.openxmlformats.org/spreadsheetml/2006/main" count="287" uniqueCount="172">
  <si>
    <t>Federal Tax Rate (%)</t>
  </si>
  <si>
    <t>State Tax Rate (%)</t>
  </si>
  <si>
    <t>Combined Tax Rate (%)</t>
  </si>
  <si>
    <t>Debt ratio (%)</t>
  </si>
  <si>
    <t>Equity ratio (%)</t>
  </si>
  <si>
    <t>Capital Recovery Factor (Debt)</t>
  </si>
  <si>
    <t>Total</t>
  </si>
  <si>
    <t>Annual Hours</t>
  </si>
  <si>
    <t>Year</t>
  </si>
  <si>
    <t>Debt Recovery</t>
  </si>
  <si>
    <t>Debt Interest</t>
  </si>
  <si>
    <t>Debt Principal Paid</t>
  </si>
  <si>
    <t>Debt Principal Remaining</t>
  </si>
  <si>
    <t xml:space="preserve">Fuel Cost </t>
  </si>
  <si>
    <t>Debt Reserve</t>
  </si>
  <si>
    <t>Depreciation</t>
  </si>
  <si>
    <t>Interest on Debt Reserve</t>
  </si>
  <si>
    <t>Capacity Factor (%)</t>
  </si>
  <si>
    <t>Escalation/Inflation</t>
  </si>
  <si>
    <t>Financing</t>
  </si>
  <si>
    <t>Depreciation Schedule</t>
  </si>
  <si>
    <t>Annual Cash Flows</t>
  </si>
  <si>
    <t>Economic Life (y)</t>
  </si>
  <si>
    <t>Tax Credit Schedule</t>
  </si>
  <si>
    <t>Tax Credit</t>
  </si>
  <si>
    <t>Capital Cost</t>
  </si>
  <si>
    <t>Expenses--base year</t>
  </si>
  <si>
    <t>--</t>
  </si>
  <si>
    <t>($)</t>
  </si>
  <si>
    <t>Income--Capacity</t>
  </si>
  <si>
    <t>Income--Heat</t>
  </si>
  <si>
    <t>Sensitivity Analysis</t>
  </si>
  <si>
    <t>Enter base, minimum, and maximum values in input cells</t>
  </si>
  <si>
    <t>Debt Ratio</t>
  </si>
  <si>
    <t>Debt Interest Rate</t>
  </si>
  <si>
    <t>Case</t>
  </si>
  <si>
    <t>Relative Change</t>
  </si>
  <si>
    <t>(%)</t>
  </si>
  <si>
    <t>Formula Values</t>
  </si>
  <si>
    <t>Base</t>
  </si>
  <si>
    <t>Yes</t>
  </si>
  <si>
    <t>Total annual expenses including feedstock</t>
  </si>
  <si>
    <t>($/year)</t>
  </si>
  <si>
    <t>Economic Information</t>
  </si>
  <si>
    <t>Heat</t>
  </si>
  <si>
    <t>Capacity</t>
  </si>
  <si>
    <t>Debt reserve</t>
  </si>
  <si>
    <t>Value</t>
  </si>
  <si>
    <t>(%/year)</t>
  </si>
  <si>
    <t>One year debt reserve required? (Yes or No)</t>
  </si>
  <si>
    <t>Feedstock cost</t>
  </si>
  <si>
    <t>General Inflation</t>
  </si>
  <si>
    <t>Escalation--feedstock</t>
  </si>
  <si>
    <t>Fraction Applied</t>
  </si>
  <si>
    <t>Schedule</t>
  </si>
  <si>
    <t>Debt recovery:</t>
  </si>
  <si>
    <t>Equity recovery:</t>
  </si>
  <si>
    <t>Total Equity Principal ($)</t>
  </si>
  <si>
    <t>Minimum attractive rate of return on equity (MARR) (%/year)</t>
  </si>
  <si>
    <t>Capital Recovery Factor (equity MARR)</t>
  </si>
  <si>
    <t>Debt reserve ($)</t>
  </si>
  <si>
    <t>Total debt principal ($)</t>
  </si>
  <si>
    <t>Annual debt repayment ($/year)</t>
  </si>
  <si>
    <t>Annual equity repayment at MARR ($/year)</t>
  </si>
  <si>
    <t>Interest rate on debt reserve (%/year)</t>
  </si>
  <si>
    <t>Annual debt reserve interest ($/year)</t>
  </si>
  <si>
    <t>Taxes and Tax credit</t>
  </si>
  <si>
    <t>Escalation--electrical energy</t>
  </si>
  <si>
    <t>Escalation--heat sales</t>
  </si>
  <si>
    <t>Escalation--other</t>
  </si>
  <si>
    <t>Escalation--capacity payment</t>
  </si>
  <si>
    <t>Expenses</t>
  </si>
  <si>
    <t>Taxes before credit</t>
  </si>
  <si>
    <t>Negative taxes allowed to offset taxes elsewhere? (Yes or No)</t>
  </si>
  <si>
    <t>Income--Incentive payments</t>
  </si>
  <si>
    <t>Escalation--incentive payments</t>
  </si>
  <si>
    <t>Escalation--Production Tax Credit</t>
  </si>
  <si>
    <t>Incentive payments</t>
  </si>
  <si>
    <t>Electrical energy</t>
  </si>
  <si>
    <t>Years Paid</t>
  </si>
  <si>
    <t>Amount of capital financing ($)</t>
  </si>
  <si>
    <t>Interest rate on debt (%/y)</t>
  </si>
  <si>
    <t>Percentage in year (%)</t>
  </si>
  <si>
    <t>MACRS 5 year</t>
  </si>
  <si>
    <t>MACRS 10 year</t>
  </si>
  <si>
    <t>year straight line</t>
  </si>
  <si>
    <t>Total Years</t>
  </si>
  <si>
    <t>Applied</t>
  </si>
  <si>
    <t>-----&gt;</t>
  </si>
  <si>
    <t>Will display if error:</t>
  </si>
  <si>
    <t>Income or Savings--Electrical energy</t>
  </si>
  <si>
    <t>Years Applied</t>
  </si>
  <si>
    <t>Total debt repayment (principal plus interest) ($)</t>
  </si>
  <si>
    <t>Amount to be depreciated ($) (no salvage value)</t>
  </si>
  <si>
    <t>Feedstock Cost</t>
  </si>
  <si>
    <t>Current value:  $</t>
  </si>
  <si>
    <t>Current value:  %</t>
  </si>
  <si>
    <t>Debt interest rate</t>
  </si>
  <si>
    <t>Taxes                Negative taxes allowed?</t>
  </si>
  <si>
    <t>No depreciation</t>
  </si>
  <si>
    <t>Hydrogen Generation</t>
  </si>
  <si>
    <t>Gross design hydrogen capacity (kg/day)</t>
  </si>
  <si>
    <t>Hydrogen LHV</t>
  </si>
  <si>
    <t>Hydrogen energy (MJ HHV/day)</t>
  </si>
  <si>
    <t>Overall production efficiency (%, HHV)</t>
  </si>
  <si>
    <t>Heating Values</t>
  </si>
  <si>
    <t>(MJ/kg)</t>
  </si>
  <si>
    <t>Hydrogen HHV</t>
  </si>
  <si>
    <t>Feedstock (dry)</t>
  </si>
  <si>
    <t>Annual hydrogen production (Mg/year)</t>
  </si>
  <si>
    <t>Annual feedstock supply (dry, Mg/year)</t>
  </si>
  <si>
    <t>Design hydrogen production rate (HHV, MWf)</t>
  </si>
  <si>
    <t>Feedstock supply (dry, Mg/operating hour)</t>
  </si>
  <si>
    <t>Design hydrogen production rate (Mg/hour)</t>
  </si>
  <si>
    <t>Annual hydrogen production (kg/year)</t>
  </si>
  <si>
    <t>Feedstock  input (dry, MWth)</t>
  </si>
  <si>
    <t>Hydrogen Yield (kg/Mg)</t>
  </si>
  <si>
    <t xml:space="preserve">Co-product Generation </t>
  </si>
  <si>
    <t>Annual hydrogen energy (GJ/year)</t>
  </si>
  <si>
    <t>($/(kg/year)</t>
  </si>
  <si>
    <t>Delivered feedstock cost (dry, $/Mg)</t>
  </si>
  <si>
    <t>($/GJ)</t>
  </si>
  <si>
    <t>Annual feedstock cost ($)</t>
  </si>
  <si>
    <t>Annual feedstock energy input (PJ/year)</t>
  </si>
  <si>
    <t>Residues</t>
  </si>
  <si>
    <t>Other Revenues or Cost Savings</t>
  </si>
  <si>
    <t>Escalation--residue sales</t>
  </si>
  <si>
    <t>&lt;--Choose schedule # to use for depreciation (1, 2, 3, or 4)</t>
  </si>
  <si>
    <t>Equity Recovery</t>
  </si>
  <si>
    <t>Equity Interest</t>
  </si>
  <si>
    <t>Equity Principal Paid</t>
  </si>
  <si>
    <t>Equity Principal Remaining</t>
  </si>
  <si>
    <t>Total Debt + Equity Recovery:</t>
  </si>
  <si>
    <t>Annual total capital recovery ($/year)</t>
  </si>
  <si>
    <t>Total equity repayment (principal plus interest) ($)</t>
  </si>
  <si>
    <t>Total capital recovery ($)</t>
  </si>
  <si>
    <t>Non-feedstock Operating Expenses</t>
  </si>
  <si>
    <t>Operating expenses rate (% of capital investment)</t>
  </si>
  <si>
    <t>Operating expenses ($)</t>
  </si>
  <si>
    <t>Income--Residue</t>
  </si>
  <si>
    <t>Production Tax Credit ($/GJ)</t>
  </si>
  <si>
    <t>Energy Revenue Required</t>
  </si>
  <si>
    <t>Levelized Energy Revenue Requirements (Current $/year)</t>
  </si>
  <si>
    <t>Present Worth of Energy Revenue Required ($/year)</t>
  </si>
  <si>
    <t>Total Present Worth ($/year)</t>
  </si>
  <si>
    <t>Levelized Energy Revenue Requirements (Constant $/year)</t>
  </si>
  <si>
    <t>LCOE (Current, $/kg)</t>
  </si>
  <si>
    <t>LCOE (Constant, $/kg)</t>
  </si>
  <si>
    <t>LCOE (Current, $/GJ)</t>
  </si>
  <si>
    <t>LCOE (Constant, $/GJ)</t>
  </si>
  <si>
    <t>Weighted Cost of Money (Current, %)</t>
  </si>
  <si>
    <t>Weighted Capital Recovery Factor (Current, Overall)</t>
  </si>
  <si>
    <t>Real Cost of Money (Constant, %)</t>
  </si>
  <si>
    <t>Weighted Capital Recovery Factor (Constant, Overall)</t>
  </si>
  <si>
    <t>LCOE Current</t>
  </si>
  <si>
    <t>($/kg)</t>
  </si>
  <si>
    <t>LCOE Constant</t>
  </si>
  <si>
    <t>Relative Change in LCOE Constant</t>
  </si>
  <si>
    <t>Current value:  $/Mg</t>
  </si>
  <si>
    <t>Efficiency</t>
  </si>
  <si>
    <t>Calculation of Energy Revenue Required: Hydrogen from Biomass</t>
  </si>
  <si>
    <t>Total facility capital cost ($)</t>
  </si>
  <si>
    <t>Total facility capital cost per unit daily capacity ($/(kg/day))</t>
  </si>
  <si>
    <t>MARR</t>
  </si>
  <si>
    <t>Economic Life</t>
  </si>
  <si>
    <t>(years)</t>
  </si>
  <si>
    <t>Current value:  years</t>
  </si>
  <si>
    <t>Capacity Factor</t>
  </si>
  <si>
    <t>Mg/day</t>
  </si>
  <si>
    <t>MMSCF H2/day</t>
  </si>
  <si>
    <t>Real Cost of Equity (Constant, %)</t>
  </si>
  <si>
    <t>Capital Recovery Factor (equity, Constant)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</si>
</sst>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#,##0.0"/>
    <numFmt numFmtId="168" formatCode="0.00000"/>
  </numFmts>
  <fonts count="22" x14ac:knownFonts="1">
    <font>
      <sz val="9"/>
      <name val="Helv"/>
    </font>
    <font>
      <b/>
      <sz val="9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b/>
      <sz val="8"/>
      <color indexed="51"/>
      <name val="Arial"/>
      <family val="2"/>
    </font>
    <font>
      <sz val="8"/>
      <color indexed="10"/>
      <name val="Arial"/>
      <family val="2"/>
    </font>
    <font>
      <b/>
      <i/>
      <sz val="8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8"/>
      <color indexed="51"/>
      <name val="Arial"/>
      <family val="2"/>
    </font>
    <font>
      <b/>
      <i/>
      <sz val="8"/>
      <color indexed="51"/>
      <name val="Arial"/>
      <family val="2"/>
    </font>
    <font>
      <sz val="8"/>
      <color indexed="22"/>
      <name val="Arial"/>
      <family val="2"/>
    </font>
    <font>
      <sz val="8"/>
      <color indexed="41"/>
      <name val="Arial"/>
      <family val="2"/>
    </font>
    <font>
      <i/>
      <sz val="8"/>
      <color indexed="9"/>
      <name val="Arial"/>
      <family val="2"/>
    </font>
    <font>
      <sz val="8"/>
      <color indexed="23"/>
      <name val="Arial"/>
      <family val="2"/>
    </font>
    <font>
      <b/>
      <i/>
      <sz val="16"/>
      <color indexed="5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5" borderId="0" xfId="0" applyFont="1" applyFill="1" applyBorder="1"/>
    <xf numFmtId="3" fontId="2" fillId="5" borderId="0" xfId="0" applyNumberFormat="1" applyFont="1" applyFill="1" applyBorder="1"/>
    <xf numFmtId="3" fontId="2" fillId="3" borderId="0" xfId="0" applyNumberFormat="1" applyFont="1" applyFill="1"/>
    <xf numFmtId="2" fontId="2" fillId="5" borderId="0" xfId="0" applyNumberFormat="1" applyFont="1" applyFill="1" applyBorder="1"/>
    <xf numFmtId="0" fontId="2" fillId="3" borderId="0" xfId="0" applyFont="1" applyFill="1" applyBorder="1"/>
    <xf numFmtId="0" fontId="2" fillId="0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0" xfId="0" applyFont="1" applyFill="1" applyBorder="1" applyAlignment="1">
      <alignment horizontal="left"/>
    </xf>
    <xf numFmtId="2" fontId="2" fillId="5" borderId="0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3" fontId="2" fillId="0" borderId="0" xfId="0" applyNumberFormat="1" applyFont="1" applyFill="1"/>
    <xf numFmtId="3" fontId="2" fillId="0" borderId="0" xfId="0" applyNumberFormat="1" applyFont="1"/>
    <xf numFmtId="0" fontId="2" fillId="0" borderId="0" xfId="0" applyFont="1" applyBorder="1"/>
    <xf numFmtId="0" fontId="2" fillId="5" borderId="3" xfId="0" applyFont="1" applyFill="1" applyBorder="1"/>
    <xf numFmtId="3" fontId="2" fillId="5" borderId="4" xfId="0" applyNumberFormat="1" applyFont="1" applyFill="1" applyBorder="1"/>
    <xf numFmtId="3" fontId="2" fillId="5" borderId="4" xfId="0" quotePrefix="1" applyNumberFormat="1" applyFont="1" applyFill="1" applyBorder="1" applyAlignment="1">
      <alignment horizontal="right"/>
    </xf>
    <xf numFmtId="0" fontId="2" fillId="5" borderId="5" xfId="0" applyFont="1" applyFill="1" applyBorder="1"/>
    <xf numFmtId="3" fontId="2" fillId="5" borderId="6" xfId="0" applyNumberFormat="1" applyFont="1" applyFill="1" applyBorder="1"/>
    <xf numFmtId="0" fontId="2" fillId="5" borderId="6" xfId="0" applyFont="1" applyFill="1" applyBorder="1"/>
    <xf numFmtId="0" fontId="2" fillId="6" borderId="7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3" fontId="2" fillId="5" borderId="0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7" fontId="2" fillId="5" borderId="0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3" fontId="2" fillId="5" borderId="9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3" fontId="2" fillId="5" borderId="11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0" fontId="2" fillId="4" borderId="0" xfId="0" applyFont="1" applyFill="1" applyBorder="1"/>
    <xf numFmtId="0" fontId="4" fillId="4" borderId="0" xfId="0" applyFont="1" applyFill="1" applyBorder="1"/>
    <xf numFmtId="0" fontId="12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3" fontId="2" fillId="3" borderId="0" xfId="0" applyNumberFormat="1" applyFont="1" applyFill="1" applyBorder="1" applyProtection="1">
      <protection locked="0"/>
    </xf>
    <xf numFmtId="3" fontId="2" fillId="5" borderId="0" xfId="0" applyNumberFormat="1" applyFont="1" applyFill="1" applyBorder="1" applyProtection="1">
      <protection locked="0"/>
    </xf>
    <xf numFmtId="0" fontId="2" fillId="2" borderId="0" xfId="0" applyFont="1" applyFill="1" applyBorder="1"/>
    <xf numFmtId="4" fontId="2" fillId="2" borderId="0" xfId="0" applyNumberFormat="1" applyFont="1" applyFill="1" applyBorder="1" applyProtection="1">
      <protection locked="0"/>
    </xf>
    <xf numFmtId="3" fontId="2" fillId="2" borderId="0" xfId="0" applyNumberFormat="1" applyFont="1" applyFill="1" applyBorder="1" applyProtection="1">
      <protection locked="0"/>
    </xf>
    <xf numFmtId="0" fontId="1" fillId="4" borderId="0" xfId="0" applyFont="1" applyFill="1" applyAlignment="1">
      <alignment vertical="center"/>
    </xf>
    <xf numFmtId="4" fontId="2" fillId="5" borderId="0" xfId="0" applyNumberFormat="1" applyFont="1" applyFill="1" applyBorder="1" applyProtection="1">
      <protection locked="0"/>
    </xf>
    <xf numFmtId="3" fontId="2" fillId="3" borderId="0" xfId="0" applyNumberFormat="1" applyFont="1" applyFill="1" applyBorder="1"/>
    <xf numFmtId="0" fontId="4" fillId="3" borderId="0" xfId="0" applyFont="1" applyFill="1" applyBorder="1"/>
    <xf numFmtId="0" fontId="8" fillId="4" borderId="0" xfId="0" applyFont="1" applyFill="1" applyBorder="1"/>
    <xf numFmtId="0" fontId="8" fillId="4" borderId="6" xfId="0" applyFont="1" applyFill="1" applyBorder="1"/>
    <xf numFmtId="4" fontId="2" fillId="5" borderId="0" xfId="0" applyNumberFormat="1" applyFont="1" applyFill="1" applyBorder="1"/>
    <xf numFmtId="3" fontId="2" fillId="5" borderId="0" xfId="0" applyNumberFormat="1" applyFont="1" applyFill="1" applyBorder="1" applyAlignment="1" applyProtection="1">
      <alignment horizontal="right"/>
      <protection locked="0"/>
    </xf>
    <xf numFmtId="2" fontId="2" fillId="2" borderId="0" xfId="0" applyNumberFormat="1" applyFont="1" applyFill="1" applyBorder="1" applyAlignment="1" applyProtection="1">
      <alignment horizontal="right"/>
      <protection locked="0"/>
    </xf>
    <xf numFmtId="3" fontId="4" fillId="4" borderId="0" xfId="0" applyNumberFormat="1" applyFont="1" applyFill="1" applyBorder="1" applyAlignment="1" applyProtection="1">
      <alignment horizontal="right"/>
      <protection locked="0"/>
    </xf>
    <xf numFmtId="3" fontId="2" fillId="5" borderId="0" xfId="0" applyNumberFormat="1" applyFont="1" applyFill="1" applyBorder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168" fontId="2" fillId="5" borderId="0" xfId="0" applyNumberFormat="1" applyFont="1" applyFill="1" applyAlignment="1">
      <alignment horizontal="right"/>
    </xf>
    <xf numFmtId="3" fontId="2" fillId="3" borderId="0" xfId="0" applyNumberFormat="1" applyFont="1" applyFill="1" applyBorder="1" applyAlignment="1" applyProtection="1">
      <alignment horizontal="right"/>
      <protection locked="0"/>
    </xf>
    <xf numFmtId="0" fontId="4" fillId="4" borderId="0" xfId="0" applyFont="1" applyFill="1" applyBorder="1" applyAlignment="1">
      <alignment horizontal="right"/>
    </xf>
    <xf numFmtId="2" fontId="2" fillId="2" borderId="0" xfId="0" applyNumberFormat="1" applyFont="1" applyFill="1" applyBorder="1" applyProtection="1">
      <protection locked="0"/>
    </xf>
    <xf numFmtId="165" fontId="2" fillId="2" borderId="0" xfId="0" applyNumberFormat="1" applyFont="1" applyFill="1" applyBorder="1" applyProtection="1">
      <protection locked="0"/>
    </xf>
    <xf numFmtId="2" fontId="2" fillId="3" borderId="0" xfId="0" applyNumberFormat="1" applyFont="1" applyFill="1"/>
    <xf numFmtId="0" fontId="13" fillId="4" borderId="0" xfId="0" applyFont="1" applyFill="1"/>
    <xf numFmtId="2" fontId="2" fillId="5" borderId="0" xfId="0" applyNumberFormat="1" applyFont="1" applyFill="1" applyBorder="1" applyProtection="1">
      <protection locked="0"/>
    </xf>
    <xf numFmtId="1" fontId="2" fillId="2" borderId="0" xfId="0" applyNumberFormat="1" applyFont="1" applyFill="1" applyBorder="1" applyProtection="1">
      <protection locked="0"/>
    </xf>
    <xf numFmtId="164" fontId="2" fillId="5" borderId="0" xfId="0" applyNumberFormat="1" applyFont="1" applyFill="1" applyBorder="1"/>
    <xf numFmtId="0" fontId="7" fillId="5" borderId="0" xfId="0" applyFont="1" applyFill="1"/>
    <xf numFmtId="2" fontId="4" fillId="4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right"/>
    </xf>
    <xf numFmtId="164" fontId="2" fillId="3" borderId="0" xfId="0" applyNumberFormat="1" applyFont="1" applyFill="1" applyProtection="1">
      <protection locked="0"/>
    </xf>
    <xf numFmtId="168" fontId="2" fillId="3" borderId="0" xfId="0" applyNumberFormat="1" applyFont="1" applyFill="1"/>
    <xf numFmtId="0" fontId="4" fillId="4" borderId="0" xfId="0" applyFont="1" applyFill="1" applyBorder="1" applyAlignment="1" applyProtection="1">
      <alignment horizontal="right"/>
      <protection locked="0"/>
    </xf>
    <xf numFmtId="0" fontId="8" fillId="4" borderId="12" xfId="0" applyFont="1" applyFill="1" applyBorder="1"/>
    <xf numFmtId="0" fontId="6" fillId="6" borderId="0" xfId="0" applyFont="1" applyFill="1" applyBorder="1"/>
    <xf numFmtId="3" fontId="2" fillId="6" borderId="0" xfId="0" applyNumberFormat="1" applyFont="1" applyFill="1" applyBorder="1"/>
    <xf numFmtId="0" fontId="2" fillId="6" borderId="0" xfId="0" applyFont="1" applyFill="1"/>
    <xf numFmtId="3" fontId="2" fillId="2" borderId="0" xfId="0" applyNumberFormat="1" applyFont="1" applyFill="1" applyBorder="1"/>
    <xf numFmtId="165" fontId="2" fillId="2" borderId="0" xfId="0" applyNumberFormat="1" applyFont="1" applyFill="1" applyBorder="1" applyAlignment="1" applyProtection="1">
      <alignment horizontal="right"/>
      <protection locked="0"/>
    </xf>
    <xf numFmtId="0" fontId="14" fillId="4" borderId="6" xfId="0" applyFont="1" applyFill="1" applyBorder="1"/>
    <xf numFmtId="3" fontId="2" fillId="4" borderId="6" xfId="0" applyNumberFormat="1" applyFont="1" applyFill="1" applyBorder="1"/>
    <xf numFmtId="0" fontId="2" fillId="4" borderId="6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2" fillId="5" borderId="12" xfId="0" applyFont="1" applyFill="1" applyBorder="1"/>
    <xf numFmtId="3" fontId="2" fillId="5" borderId="13" xfId="0" applyNumberFormat="1" applyFont="1" applyFill="1" applyBorder="1"/>
    <xf numFmtId="3" fontId="2" fillId="5" borderId="14" xfId="0" applyNumberFormat="1" applyFont="1" applyFill="1" applyBorder="1" applyAlignment="1">
      <alignment horizontal="center"/>
    </xf>
    <xf numFmtId="0" fontId="2" fillId="5" borderId="15" xfId="0" applyFont="1" applyFill="1" applyBorder="1"/>
    <xf numFmtId="0" fontId="4" fillId="4" borderId="0" xfId="0" applyFont="1" applyFill="1" applyBorder="1" applyAlignment="1">
      <alignment horizontal="left"/>
    </xf>
    <xf numFmtId="1" fontId="4" fillId="4" borderId="0" xfId="0" applyNumberFormat="1" applyFont="1" applyFill="1" applyAlignment="1" applyProtection="1">
      <alignment horizontal="center"/>
      <protection locked="0"/>
    </xf>
    <xf numFmtId="1" fontId="2" fillId="2" borderId="0" xfId="0" applyNumberFormat="1" applyFont="1" applyFill="1" applyBorder="1" applyAlignment="1" applyProtection="1">
      <alignment horizontal="right"/>
      <protection locked="0"/>
    </xf>
    <xf numFmtId="1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textRotation="90"/>
    </xf>
    <xf numFmtId="1" fontId="16" fillId="4" borderId="0" xfId="0" applyNumberFormat="1" applyFont="1" applyFill="1" applyAlignment="1">
      <alignment horizontal="right"/>
    </xf>
    <xf numFmtId="164" fontId="2" fillId="5" borderId="0" xfId="0" applyNumberFormat="1" applyFont="1" applyFill="1"/>
    <xf numFmtId="164" fontId="2" fillId="2" borderId="0" xfId="0" applyNumberFormat="1" applyFont="1" applyFill="1"/>
    <xf numFmtId="0" fontId="3" fillId="2" borderId="0" xfId="0" applyFont="1" applyFill="1" applyBorder="1" applyAlignment="1">
      <alignment horizontal="center" vertical="center"/>
    </xf>
    <xf numFmtId="0" fontId="3" fillId="4" borderId="0" xfId="0" applyFont="1" applyFill="1"/>
    <xf numFmtId="0" fontId="8" fillId="4" borderId="0" xfId="0" applyFont="1" applyFill="1" applyAlignment="1" applyProtection="1">
      <alignment horizontal="center"/>
      <protection locked="0"/>
    </xf>
    <xf numFmtId="164" fontId="2" fillId="4" borderId="0" xfId="0" applyNumberFormat="1" applyFont="1" applyFill="1" applyProtection="1">
      <protection locked="0"/>
    </xf>
    <xf numFmtId="0" fontId="9" fillId="5" borderId="0" xfId="0" applyFont="1" applyFill="1" applyBorder="1" applyAlignment="1">
      <alignment horizontal="center"/>
    </xf>
    <xf numFmtId="0" fontId="7" fillId="4" borderId="0" xfId="0" applyFont="1" applyFill="1" applyAlignment="1">
      <alignment vertical="center"/>
    </xf>
    <xf numFmtId="0" fontId="16" fillId="4" borderId="0" xfId="0" applyFont="1" applyFill="1" applyBorder="1" applyAlignment="1">
      <alignment horizontal="center"/>
    </xf>
    <xf numFmtId="0" fontId="16" fillId="5" borderId="0" xfId="0" applyFont="1" applyFill="1"/>
    <xf numFmtId="3" fontId="18" fillId="5" borderId="16" xfId="0" applyNumberFormat="1" applyFont="1" applyFill="1" applyBorder="1"/>
    <xf numFmtId="0" fontId="13" fillId="4" borderId="0" xfId="0" applyFont="1" applyFill="1" applyAlignment="1">
      <alignment horizontal="center"/>
    </xf>
    <xf numFmtId="3" fontId="13" fillId="4" borderId="0" xfId="0" applyNumberFormat="1" applyFont="1" applyFill="1" applyAlignment="1">
      <alignment horizontal="center"/>
    </xf>
    <xf numFmtId="3" fontId="15" fillId="5" borderId="17" xfId="0" applyNumberFormat="1" applyFont="1" applyFill="1" applyBorder="1" applyAlignment="1">
      <alignment horizontal="center"/>
    </xf>
    <xf numFmtId="3" fontId="2" fillId="5" borderId="18" xfId="0" applyNumberFormat="1" applyFont="1" applyFill="1" applyBorder="1"/>
    <xf numFmtId="3" fontId="2" fillId="5" borderId="5" xfId="0" applyNumberFormat="1" applyFont="1" applyFill="1" applyBorder="1"/>
    <xf numFmtId="3" fontId="2" fillId="5" borderId="16" xfId="0" applyNumberFormat="1" applyFont="1" applyFill="1" applyBorder="1"/>
    <xf numFmtId="1" fontId="2" fillId="5" borderId="9" xfId="0" applyNumberFormat="1" applyFont="1" applyFill="1" applyBorder="1" applyAlignment="1">
      <alignment horizontal="center"/>
    </xf>
    <xf numFmtId="0" fontId="2" fillId="3" borderId="0" xfId="0" applyFont="1" applyFill="1" applyAlignment="1">
      <alignment wrapText="1"/>
    </xf>
    <xf numFmtId="0" fontId="19" fillId="3" borderId="0" xfId="0" applyFont="1" applyFill="1" applyBorder="1" applyAlignment="1">
      <alignment vertical="center"/>
    </xf>
    <xf numFmtId="0" fontId="10" fillId="3" borderId="0" xfId="0" applyFont="1" applyFill="1" applyBorder="1"/>
    <xf numFmtId="3" fontId="2" fillId="0" borderId="0" xfId="0" applyNumberFormat="1" applyFont="1" applyBorder="1"/>
    <xf numFmtId="165" fontId="2" fillId="5" borderId="15" xfId="0" applyNumberFormat="1" applyFont="1" applyFill="1" applyBorder="1" applyAlignment="1">
      <alignment horizontal="center"/>
    </xf>
    <xf numFmtId="0" fontId="2" fillId="4" borderId="16" xfId="0" applyFont="1" applyFill="1" applyBorder="1"/>
    <xf numFmtId="0" fontId="7" fillId="4" borderId="0" xfId="0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center"/>
    </xf>
    <xf numFmtId="166" fontId="2" fillId="5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4" fontId="2" fillId="5" borderId="0" xfId="0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 applyProtection="1">
      <alignment horizontal="right"/>
      <protection locked="0"/>
    </xf>
    <xf numFmtId="167" fontId="2" fillId="2" borderId="0" xfId="0" applyNumberFormat="1" applyFont="1" applyFill="1" applyBorder="1" applyProtection="1">
      <protection locked="0"/>
    </xf>
    <xf numFmtId="4" fontId="2" fillId="2" borderId="0" xfId="0" applyNumberFormat="1" applyFont="1" applyFill="1" applyAlignment="1">
      <alignment horizontal="right"/>
    </xf>
    <xf numFmtId="1" fontId="2" fillId="2" borderId="0" xfId="0" applyNumberFormat="1" applyFont="1" applyFill="1"/>
    <xf numFmtId="164" fontId="2" fillId="5" borderId="0" xfId="0" applyNumberFormat="1" applyFont="1" applyFill="1" applyBorder="1" applyProtection="1">
      <protection locked="0"/>
    </xf>
    <xf numFmtId="3" fontId="2" fillId="5" borderId="19" xfId="0" applyNumberFormat="1" applyFont="1" applyFill="1" applyBorder="1"/>
    <xf numFmtId="3" fontId="7" fillId="5" borderId="20" xfId="0" applyNumberFormat="1" applyFont="1" applyFill="1" applyBorder="1" applyAlignment="1">
      <alignment horizontal="center"/>
    </xf>
    <xf numFmtId="3" fontId="2" fillId="5" borderId="15" xfId="0" applyNumberFormat="1" applyFont="1" applyFill="1" applyBorder="1"/>
    <xf numFmtId="3" fontId="15" fillId="5" borderId="18" xfId="0" applyNumberFormat="1" applyFont="1" applyFill="1" applyBorder="1" applyAlignment="1">
      <alignment horizontal="center"/>
    </xf>
    <xf numFmtId="4" fontId="2" fillId="5" borderId="14" xfId="0" applyNumberFormat="1" applyFont="1" applyFill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2" fontId="2" fillId="7" borderId="0" xfId="0" applyNumberFormat="1" applyFont="1" applyFill="1" applyBorder="1" applyAlignment="1">
      <alignment horizontal="center" vertical="center" wrapText="1"/>
    </xf>
    <xf numFmtId="2" fontId="2" fillId="5" borderId="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66" fontId="2" fillId="3" borderId="0" xfId="0" applyNumberFormat="1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66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5" borderId="0" xfId="0" applyNumberFormat="1" applyFont="1" applyFill="1" applyBorder="1" applyAlignment="1">
      <alignment horizontal="center"/>
    </xf>
    <xf numFmtId="4" fontId="2" fillId="2" borderId="10" xfId="0" applyNumberFormat="1" applyFont="1" applyFill="1" applyBorder="1" applyAlignment="1">
      <alignment horizontal="center"/>
    </xf>
    <xf numFmtId="166" fontId="2" fillId="5" borderId="0" xfId="0" applyNumberFormat="1" applyFont="1" applyFill="1"/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3" fontId="8" fillId="4" borderId="24" xfId="0" applyNumberFormat="1" applyFont="1" applyFill="1" applyBorder="1" applyAlignment="1">
      <alignment horizontal="left"/>
    </xf>
    <xf numFmtId="3" fontId="8" fillId="4" borderId="25" xfId="0" applyNumberFormat="1" applyFont="1" applyFill="1" applyBorder="1" applyAlignment="1">
      <alignment horizontal="left"/>
    </xf>
    <xf numFmtId="3" fontId="5" fillId="4" borderId="25" xfId="0" applyNumberFormat="1" applyFont="1" applyFill="1" applyBorder="1" applyAlignment="1">
      <alignment horizontal="left"/>
    </xf>
    <xf numFmtId="3" fontId="5" fillId="4" borderId="25" xfId="0" applyNumberFormat="1" applyFont="1" applyFill="1" applyBorder="1" applyAlignment="1">
      <alignment horizontal="center"/>
    </xf>
    <xf numFmtId="3" fontId="5" fillId="4" borderId="26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" fontId="8" fillId="3" borderId="0" xfId="0" applyNumberFormat="1" applyFont="1" applyFill="1" applyBorder="1" applyAlignment="1">
      <alignment horizontal="left"/>
    </xf>
    <xf numFmtId="3" fontId="5" fillId="3" borderId="0" xfId="0" applyNumberFormat="1" applyFont="1" applyFill="1" applyBorder="1" applyAlignment="1">
      <alignment horizontal="left"/>
    </xf>
    <xf numFmtId="3" fontId="5" fillId="3" borderId="0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left"/>
    </xf>
    <xf numFmtId="3" fontId="7" fillId="5" borderId="0" xfId="0" applyNumberFormat="1" applyFont="1" applyFill="1" applyAlignment="1">
      <alignment horizontal="left"/>
    </xf>
    <xf numFmtId="0" fontId="17" fillId="4" borderId="0" xfId="0" quotePrefix="1" applyFont="1" applyFill="1" applyAlignment="1">
      <alignment horizontal="right" vertical="center"/>
    </xf>
    <xf numFmtId="0" fontId="17" fillId="4" borderId="0" xfId="0" applyFont="1" applyFill="1" applyAlignment="1">
      <alignment horizontal="right" vertical="center"/>
    </xf>
    <xf numFmtId="0" fontId="7" fillId="5" borderId="0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 vertical="center" textRotation="90"/>
    </xf>
    <xf numFmtId="4" fontId="5" fillId="4" borderId="25" xfId="0" applyNumberFormat="1" applyFont="1" applyFill="1" applyBorder="1" applyAlignment="1">
      <alignment horizontal="center"/>
    </xf>
    <xf numFmtId="4" fontId="5" fillId="4" borderId="26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19" fillId="4" borderId="8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left" vertical="center"/>
    </xf>
    <xf numFmtId="0" fontId="19" fillId="4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3" fontId="2" fillId="9" borderId="0" xfId="0" applyNumberFormat="1" applyFont="1" applyFill="1" applyAlignment="1">
      <alignment horizontal="right"/>
    </xf>
    <xf numFmtId="2" fontId="2" fillId="5" borderId="0" xfId="0" applyNumberFormat="1" applyFont="1" applyFill="1"/>
    <xf numFmtId="3" fontId="2" fillId="5" borderId="0" xfId="0" applyNumberFormat="1" applyFont="1" applyFill="1"/>
    <xf numFmtId="0" fontId="2" fillId="5" borderId="0" xfId="0" applyNumberFormat="1" applyFont="1" applyFill="1" applyBorder="1"/>
  </cellXfs>
  <cellStyles count="1">
    <cellStyle name="Normal" xfId="0" builtinId="0"/>
  </cellStyles>
  <dxfs count="4">
    <dxf>
      <font>
        <condense val="0"/>
        <extend val="0"/>
        <color indexed="10"/>
      </font>
    </dxf>
    <dxf>
      <font>
        <condense val="0"/>
        <extend val="0"/>
        <color indexed="41"/>
      </font>
    </dxf>
    <dxf>
      <font>
        <condense val="0"/>
        <extend val="0"/>
        <color indexed="41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865704772475"/>
          <c:y val="4.5676998368678633E-2"/>
          <c:w val="0.84017758046614877"/>
          <c:h val="0.68841761827079939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'1_LCOE'!$G$152:$G$172</c:f>
              <c:numCache>
                <c:formatCode>#,##0</c:formatCode>
                <c:ptCount val="21"/>
                <c:pt idx="0">
                  <c:v>-75.786924939467312</c:v>
                </c:pt>
                <c:pt idx="1">
                  <c:v>-68.208232445520579</c:v>
                </c:pt>
                <c:pt idx="2">
                  <c:v>-60.629539951573854</c:v>
                </c:pt>
                <c:pt idx="3">
                  <c:v>-53.050847457627114</c:v>
                </c:pt>
                <c:pt idx="4">
                  <c:v>-45.472154963680389</c:v>
                </c:pt>
                <c:pt idx="5">
                  <c:v>-37.893462469733656</c:v>
                </c:pt>
                <c:pt idx="6">
                  <c:v>-30.314769975786927</c:v>
                </c:pt>
                <c:pt idx="7">
                  <c:v>-22.736077481840194</c:v>
                </c:pt>
                <c:pt idx="8">
                  <c:v>-15.157384987893463</c:v>
                </c:pt>
                <c:pt idx="9">
                  <c:v>-7.5786924939467317</c:v>
                </c:pt>
                <c:pt idx="10">
                  <c:v>0</c:v>
                </c:pt>
                <c:pt idx="11">
                  <c:v>14.213075060532688</c:v>
                </c:pt>
                <c:pt idx="12">
                  <c:v>28.426150121065376</c:v>
                </c:pt>
                <c:pt idx="13">
                  <c:v>42.639225181598064</c:v>
                </c:pt>
                <c:pt idx="14">
                  <c:v>56.852300242130752</c:v>
                </c:pt>
                <c:pt idx="15">
                  <c:v>71.06537530266344</c:v>
                </c:pt>
                <c:pt idx="16">
                  <c:v>85.278450363196129</c:v>
                </c:pt>
                <c:pt idx="17">
                  <c:v>99.491525423728817</c:v>
                </c:pt>
                <c:pt idx="18">
                  <c:v>113.7046004842615</c:v>
                </c:pt>
                <c:pt idx="19">
                  <c:v>127.91767554479418</c:v>
                </c:pt>
                <c:pt idx="20">
                  <c:v>142.13075060532688</c:v>
                </c:pt>
              </c:numCache>
            </c:numRef>
          </c:xVal>
          <c:yVal>
            <c:numRef>
              <c:f>'1_LCOE'!$J$152:$J$172</c:f>
              <c:numCache>
                <c:formatCode>0.00</c:formatCode>
                <c:ptCount val="21"/>
                <c:pt idx="0">
                  <c:v>0.7116630690889163</c:v>
                </c:pt>
                <c:pt idx="1">
                  <c:v>0.74402278749916817</c:v>
                </c:pt>
                <c:pt idx="2">
                  <c:v>0.77638250590942059</c:v>
                </c:pt>
                <c:pt idx="3">
                  <c:v>0.80874222431967258</c:v>
                </c:pt>
                <c:pt idx="4">
                  <c:v>0.84110194272992511</c:v>
                </c:pt>
                <c:pt idx="5">
                  <c:v>0.87346166114017709</c:v>
                </c:pt>
                <c:pt idx="6">
                  <c:v>0.9058213795504293</c:v>
                </c:pt>
                <c:pt idx="7">
                  <c:v>0.9381810979606815</c:v>
                </c:pt>
                <c:pt idx="8">
                  <c:v>0.97054081637093359</c:v>
                </c:pt>
                <c:pt idx="9">
                  <c:v>1.0029005347811857</c:v>
                </c:pt>
                <c:pt idx="10">
                  <c:v>1.0352602531914381</c:v>
                </c:pt>
                <c:pt idx="11">
                  <c:v>1.0959476484208883</c:v>
                </c:pt>
                <c:pt idx="12">
                  <c:v>1.1566350436503392</c:v>
                </c:pt>
                <c:pt idx="13">
                  <c:v>1.2173224388797899</c:v>
                </c:pt>
                <c:pt idx="14">
                  <c:v>1.2780098341092405</c:v>
                </c:pt>
                <c:pt idx="15">
                  <c:v>1.338697229338691</c:v>
                </c:pt>
                <c:pt idx="16">
                  <c:v>1.3993846245681416</c:v>
                </c:pt>
                <c:pt idx="17">
                  <c:v>1.460072019797592</c:v>
                </c:pt>
                <c:pt idx="18">
                  <c:v>1.5207594150270423</c:v>
                </c:pt>
                <c:pt idx="19">
                  <c:v>1.5814468102564929</c:v>
                </c:pt>
                <c:pt idx="20">
                  <c:v>1.6421342054859438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D-4CD2-9B8B-4B7D9B3F0A9A}"/>
            </c:ext>
          </c:extLst>
        </c:ser>
        <c:ser>
          <c:idx val="1"/>
          <c:order val="1"/>
          <c:tx>
            <c:v>Feedstock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'1_LCOE'!$G$180:$G$200</c:f>
              <c:numCache>
                <c:formatCode>#,##0</c:formatCode>
                <c:ptCount val="21"/>
                <c:pt idx="0">
                  <c:v>-100</c:v>
                </c:pt>
                <c:pt idx="1">
                  <c:v>-89.999999999999986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-20.000000000000004</c:v>
                </c:pt>
                <c:pt idx="9">
                  <c:v>-9.9999999999999929</c:v>
                </c:pt>
                <c:pt idx="10">
                  <c:v>0</c:v>
                </c:pt>
                <c:pt idx="11">
                  <c:v>15.839793281653753</c:v>
                </c:pt>
                <c:pt idx="12">
                  <c:v>31.679586563307488</c:v>
                </c:pt>
                <c:pt idx="13">
                  <c:v>47.519379844961243</c:v>
                </c:pt>
                <c:pt idx="14">
                  <c:v>63.359173126614976</c:v>
                </c:pt>
                <c:pt idx="15">
                  <c:v>79.198966408268703</c:v>
                </c:pt>
                <c:pt idx="16">
                  <c:v>95.038759689922443</c:v>
                </c:pt>
                <c:pt idx="17">
                  <c:v>110.8785529715762</c:v>
                </c:pt>
                <c:pt idx="18">
                  <c:v>126.71834625322998</c:v>
                </c:pt>
                <c:pt idx="19">
                  <c:v>142.55813953488371</c:v>
                </c:pt>
                <c:pt idx="20">
                  <c:v>158.39793281653743</c:v>
                </c:pt>
              </c:numCache>
            </c:numRef>
          </c:xVal>
          <c:yVal>
            <c:numRef>
              <c:f>'1_LCOE'!$J$180:$J$200</c:f>
              <c:numCache>
                <c:formatCode>0.00</c:formatCode>
                <c:ptCount val="21"/>
                <c:pt idx="0">
                  <c:v>0.57571679377937945</c:v>
                </c:pt>
                <c:pt idx="1">
                  <c:v>0.62167113972058552</c:v>
                </c:pt>
                <c:pt idx="2">
                  <c:v>0.66762548566179114</c:v>
                </c:pt>
                <c:pt idx="3">
                  <c:v>0.71357983160299709</c:v>
                </c:pt>
                <c:pt idx="4">
                  <c:v>0.75953417754420283</c:v>
                </c:pt>
                <c:pt idx="5">
                  <c:v>0.80548852348540856</c:v>
                </c:pt>
                <c:pt idx="6">
                  <c:v>0.85144286942661462</c:v>
                </c:pt>
                <c:pt idx="7">
                  <c:v>0.89739721536782047</c:v>
                </c:pt>
                <c:pt idx="8">
                  <c:v>0.94335156130902598</c:v>
                </c:pt>
                <c:pt idx="9">
                  <c:v>0.98930590725023215</c:v>
                </c:pt>
                <c:pt idx="10">
                  <c:v>1.0352602531914381</c:v>
                </c:pt>
                <c:pt idx="11">
                  <c:v>1.1080509872016684</c:v>
                </c:pt>
                <c:pt idx="12">
                  <c:v>1.1808417212118987</c:v>
                </c:pt>
                <c:pt idx="13">
                  <c:v>1.2536324552221292</c:v>
                </c:pt>
                <c:pt idx="14">
                  <c:v>1.3264231892323595</c:v>
                </c:pt>
                <c:pt idx="15">
                  <c:v>1.39921392324259</c:v>
                </c:pt>
                <c:pt idx="16">
                  <c:v>1.4720046572528207</c:v>
                </c:pt>
                <c:pt idx="17">
                  <c:v>1.544795391263051</c:v>
                </c:pt>
                <c:pt idx="18">
                  <c:v>1.6175861252732813</c:v>
                </c:pt>
                <c:pt idx="19">
                  <c:v>1.6903768592835113</c:v>
                </c:pt>
                <c:pt idx="20">
                  <c:v>1.7631675932937421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9D-4CD2-9B8B-4B7D9B3F0A9A}"/>
            </c:ext>
          </c:extLst>
        </c:ser>
        <c:ser>
          <c:idx val="3"/>
          <c:order val="2"/>
          <c:tx>
            <c:v>Debt Ratio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'1_LCOE'!$N$152:$N$172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0.88888888888888573</c:v>
                </c:pt>
                <c:pt idx="12">
                  <c:v>1.7777777777777715</c:v>
                </c:pt>
                <c:pt idx="13">
                  <c:v>2.6666666666666732</c:v>
                </c:pt>
                <c:pt idx="14">
                  <c:v>3.5555555555555589</c:v>
                </c:pt>
                <c:pt idx="15">
                  <c:v>4.4444444444444446</c:v>
                </c:pt>
                <c:pt idx="16">
                  <c:v>5.3333333333333304</c:v>
                </c:pt>
                <c:pt idx="17">
                  <c:v>6.2222222222222161</c:v>
                </c:pt>
                <c:pt idx="18">
                  <c:v>7.1111111111111178</c:v>
                </c:pt>
                <c:pt idx="19">
                  <c:v>8.0000000000000036</c:v>
                </c:pt>
                <c:pt idx="20">
                  <c:v>8.8888888888888893</c:v>
                </c:pt>
              </c:numCache>
            </c:numRef>
          </c:xVal>
          <c:yVal>
            <c:numRef>
              <c:f>'1_LCOE'!$Q$152:$Q$172</c:f>
              <c:numCache>
                <c:formatCode>0.00</c:formatCode>
                <c:ptCount val="21"/>
                <c:pt idx="0">
                  <c:v>1.4452093451907324</c:v>
                </c:pt>
                <c:pt idx="1">
                  <c:v>1.4042144359908026</c:v>
                </c:pt>
                <c:pt idx="2">
                  <c:v>1.3632195267908731</c:v>
                </c:pt>
                <c:pt idx="3">
                  <c:v>1.322224617590944</c:v>
                </c:pt>
                <c:pt idx="4">
                  <c:v>1.2812297083910142</c:v>
                </c:pt>
                <c:pt idx="5">
                  <c:v>1.2402347991910854</c:v>
                </c:pt>
                <c:pt idx="6">
                  <c:v>1.1992398899911558</c:v>
                </c:pt>
                <c:pt idx="7">
                  <c:v>1.1582449807912263</c:v>
                </c:pt>
                <c:pt idx="8">
                  <c:v>1.1172500715912967</c:v>
                </c:pt>
                <c:pt idx="9">
                  <c:v>1.0762551623913674</c:v>
                </c:pt>
                <c:pt idx="10">
                  <c:v>1.0352602531914381</c:v>
                </c:pt>
                <c:pt idx="11">
                  <c:v>1.0316162612625557</c:v>
                </c:pt>
                <c:pt idx="12">
                  <c:v>1.0279722693336726</c:v>
                </c:pt>
                <c:pt idx="13">
                  <c:v>1.0243282774047902</c:v>
                </c:pt>
                <c:pt idx="14">
                  <c:v>1.0206842854759075</c:v>
                </c:pt>
                <c:pt idx="15">
                  <c:v>1.0170402935470251</c:v>
                </c:pt>
                <c:pt idx="16">
                  <c:v>1.0133963016181422</c:v>
                </c:pt>
                <c:pt idx="17">
                  <c:v>1.0097523096892598</c:v>
                </c:pt>
                <c:pt idx="18">
                  <c:v>1.0061083177603771</c:v>
                </c:pt>
                <c:pt idx="19">
                  <c:v>1.0024643258314943</c:v>
                </c:pt>
                <c:pt idx="20">
                  <c:v>0.99882033390261216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9D-4CD2-9B8B-4B7D9B3F0A9A}"/>
            </c:ext>
          </c:extLst>
        </c:ser>
        <c:ser>
          <c:idx val="4"/>
          <c:order val="3"/>
          <c:tx>
            <c:v>Debt Interest Rate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'1_LCOE'!$N$180:$N$200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'1_LCOE'!$Q$180:$Q$200</c:f>
              <c:numCache>
                <c:formatCode>0.00</c:formatCode>
                <c:ptCount val="21"/>
                <c:pt idx="0">
                  <c:v>0.95761778476777126</c:v>
                </c:pt>
                <c:pt idx="1">
                  <c:v>0.96468936782509107</c:v>
                </c:pt>
                <c:pt idx="2">
                  <c:v>0.97191785330837999</c:v>
                </c:pt>
                <c:pt idx="3">
                  <c:v>0.97930229012448589</c:v>
                </c:pt>
                <c:pt idx="4">
                  <c:v>0.9868416281333392</c:v>
                </c:pt>
                <c:pt idx="5">
                  <c:v>0.99453472184850356</c:v>
                </c:pt>
                <c:pt idx="6">
                  <c:v>1.0023803342776845</c:v>
                </c:pt>
                <c:pt idx="7">
                  <c:v>1.0103771408846576</c:v>
                </c:pt>
                <c:pt idx="8">
                  <c:v>1.0185237336542257</c:v>
                </c:pt>
                <c:pt idx="9">
                  <c:v>1.0268186252420355</c:v>
                </c:pt>
                <c:pt idx="10">
                  <c:v>1.0352602531914381</c:v>
                </c:pt>
                <c:pt idx="11">
                  <c:v>1.056995413395009</c:v>
                </c:pt>
                <c:pt idx="12">
                  <c:v>1.0796100342740196</c:v>
                </c:pt>
                <c:pt idx="13">
                  <c:v>1.1030746855071021</c:v>
                </c:pt>
                <c:pt idx="14">
                  <c:v>1.1273581730957702</c:v>
                </c:pt>
                <c:pt idx="15">
                  <c:v>1.1524279416648369</c:v>
                </c:pt>
                <c:pt idx="16">
                  <c:v>1.1782504572629504</c:v>
                </c:pt>
                <c:pt idx="17">
                  <c:v>1.2047915653820735</c:v>
                </c:pt>
                <c:pt idx="18">
                  <c:v>1.2320168202554906</c:v>
                </c:pt>
                <c:pt idx="19">
                  <c:v>1.2598917827634877</c:v>
                </c:pt>
                <c:pt idx="20">
                  <c:v>1.2883822854347187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9D-4CD2-9B8B-4B7D9B3F0A9A}"/>
            </c:ext>
          </c:extLst>
        </c:ser>
        <c:ser>
          <c:idx val="5"/>
          <c:order val="4"/>
          <c:tx>
            <c:v>MARR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'1_LCOE'!$N$207:$N$227</c:f>
              <c:numCache>
                <c:formatCode>#,##0</c:formatCode>
                <c:ptCount val="21"/>
                <c:pt idx="0">
                  <c:v>-99.333333333333343</c:v>
                </c:pt>
                <c:pt idx="1">
                  <c:v>-89.4</c:v>
                </c:pt>
                <c:pt idx="2">
                  <c:v>-79.466666666666669</c:v>
                </c:pt>
                <c:pt idx="3">
                  <c:v>-69.533333333333331</c:v>
                </c:pt>
                <c:pt idx="4">
                  <c:v>-59.600000000000009</c:v>
                </c:pt>
                <c:pt idx="5">
                  <c:v>-49.666666666666671</c:v>
                </c:pt>
                <c:pt idx="6">
                  <c:v>-39.733333333333334</c:v>
                </c:pt>
                <c:pt idx="7">
                  <c:v>-29.800000000000004</c:v>
                </c:pt>
                <c:pt idx="8">
                  <c:v>-19.866666666666667</c:v>
                </c:pt>
                <c:pt idx="9">
                  <c:v>-9.9333333333333336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 formatCode="0">
                  <c:v>200</c:v>
                </c:pt>
              </c:numCache>
            </c:numRef>
          </c:xVal>
          <c:yVal>
            <c:numRef>
              <c:f>'1_LCOE'!$Q$207:$Q$227</c:f>
              <c:numCache>
                <c:formatCode>0.00</c:formatCode>
                <c:ptCount val="21"/>
                <c:pt idx="0">
                  <c:v>0.9133611239989623</c:v>
                </c:pt>
                <c:pt idx="1">
                  <c:v>0.9243339402086338</c:v>
                </c:pt>
                <c:pt idx="2">
                  <c:v>0.93562807795125968</c:v>
                </c:pt>
                <c:pt idx="3">
                  <c:v>0.94722794409702271</c:v>
                </c:pt>
                <c:pt idx="4">
                  <c:v>0.95911528379009081</c:v>
                </c:pt>
                <c:pt idx="5">
                  <c:v>0.97126974254158338</c:v>
                </c:pt>
                <c:pt idx="6">
                  <c:v>0.98366944312888838</c:v>
                </c:pt>
                <c:pt idx="7">
                  <c:v>0.99629154942872988</c:v>
                </c:pt>
                <c:pt idx="8">
                  <c:v>1.0091127941036577</c:v>
                </c:pt>
                <c:pt idx="9">
                  <c:v>1.0221099527686175</c:v>
                </c:pt>
                <c:pt idx="10">
                  <c:v>1.0352602531914381</c:v>
                </c:pt>
                <c:pt idx="11">
                  <c:v>1.0621138222543294</c:v>
                </c:pt>
                <c:pt idx="12">
                  <c:v>1.0893349316609788</c:v>
                </c:pt>
                <c:pt idx="13">
                  <c:v>1.1167807013481585</c:v>
                </c:pt>
                <c:pt idx="14">
                  <c:v>1.1443325346925433</c:v>
                </c:pt>
                <c:pt idx="15">
                  <c:v>1.1718954298053001</c:v>
                </c:pt>
                <c:pt idx="16">
                  <c:v>1.1993957279564038</c:v>
                </c:pt>
                <c:pt idx="17">
                  <c:v>1.2267781221446412</c:v>
                </c:pt>
                <c:pt idx="18">
                  <c:v>1.254002496020443</c:v>
                </c:pt>
                <c:pt idx="19">
                  <c:v>1.2810409387125352</c:v>
                </c:pt>
                <c:pt idx="20">
                  <c:v>1.307875111602306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9D-4CD2-9B8B-4B7D9B3F0A9A}"/>
            </c:ext>
          </c:extLst>
        </c:ser>
        <c:ser>
          <c:idx val="6"/>
          <c:order val="5"/>
          <c:tx>
            <c:v>Economic Life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'1_LCOE'!$N$234:$N$254</c:f>
              <c:numCache>
                <c:formatCode>#,##0</c:formatCode>
                <c:ptCount val="21"/>
                <c:pt idx="0">
                  <c:v>-66.666666666666657</c:v>
                </c:pt>
                <c:pt idx="1">
                  <c:v>-60</c:v>
                </c:pt>
                <c:pt idx="2">
                  <c:v>-53.333333333333336</c:v>
                </c:pt>
                <c:pt idx="3">
                  <c:v>-46.666666666666664</c:v>
                </c:pt>
                <c:pt idx="4">
                  <c:v>-40</c:v>
                </c:pt>
                <c:pt idx="5">
                  <c:v>-33.333333333333329</c:v>
                </c:pt>
                <c:pt idx="6">
                  <c:v>-26.666666666666668</c:v>
                </c:pt>
                <c:pt idx="7">
                  <c:v>-20</c:v>
                </c:pt>
                <c:pt idx="8">
                  <c:v>-13.333333333333334</c:v>
                </c:pt>
                <c:pt idx="9">
                  <c:v>-6.666666666666667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 formatCode="0">
                  <c:v>100</c:v>
                </c:pt>
              </c:numCache>
            </c:numRef>
          </c:xVal>
          <c:yVal>
            <c:numRef>
              <c:f>'1_LCOE'!$Q$234:$Q$254</c:f>
              <c:numCache>
                <c:formatCode>0.00</c:formatCode>
                <c:ptCount val="21"/>
                <c:pt idx="0">
                  <c:v>1.6282812984791977</c:v>
                </c:pt>
                <c:pt idx="1">
                  <c:v>1.4814979794053527</c:v>
                </c:pt>
                <c:pt idx="2">
                  <c:v>1.3757261258106701</c:v>
                </c:pt>
                <c:pt idx="3">
                  <c:v>1.2959738887553915</c:v>
                </c:pt>
                <c:pt idx="4">
                  <c:v>1.2337645251351319</c:v>
                </c:pt>
                <c:pt idx="5">
                  <c:v>1.1839450591900047</c:v>
                </c:pt>
                <c:pt idx="6">
                  <c:v>1.1432028267058694</c:v>
                </c:pt>
                <c:pt idx="7">
                  <c:v>1.1093112048829721</c:v>
                </c:pt>
                <c:pt idx="8">
                  <c:v>1.0807181265156496</c:v>
                </c:pt>
                <c:pt idx="9">
                  <c:v>1.056308468338923</c:v>
                </c:pt>
                <c:pt idx="10">
                  <c:v>1.0352602531914381</c:v>
                </c:pt>
                <c:pt idx="11">
                  <c:v>1.0070243376757295</c:v>
                </c:pt>
                <c:pt idx="12">
                  <c:v>0.98676973168990134</c:v>
                </c:pt>
                <c:pt idx="13">
                  <c:v>0.96684780231901346</c:v>
                </c:pt>
                <c:pt idx="14">
                  <c:v>0.95303786648606004</c:v>
                </c:pt>
                <c:pt idx="15">
                  <c:v>0.93851988844534018</c:v>
                </c:pt>
                <c:pt idx="16">
                  <c:v>0.92859878152848718</c:v>
                </c:pt>
                <c:pt idx="17">
                  <c:v>0.91777694511711538</c:v>
                </c:pt>
                <c:pt idx="18">
                  <c:v>0.91038121623422452</c:v>
                </c:pt>
                <c:pt idx="19">
                  <c:v>0.902180290379761</c:v>
                </c:pt>
                <c:pt idx="20">
                  <c:v>0.89652146064173677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9D-4CD2-9B8B-4B7D9B3F0A9A}"/>
            </c:ext>
          </c:extLst>
        </c:ser>
        <c:ser>
          <c:idx val="2"/>
          <c:order val="6"/>
          <c:tx>
            <c:v>Efficiency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'1_LCOE'!$G$207:$G$227</c:f>
              <c:numCache>
                <c:formatCode>#,##0</c:formatCode>
                <c:ptCount val="21"/>
                <c:pt idx="0">
                  <c:v>-80.165289256198349</c:v>
                </c:pt>
                <c:pt idx="1">
                  <c:v>-72.148760330578511</c:v>
                </c:pt>
                <c:pt idx="2">
                  <c:v>-64.132231404958674</c:v>
                </c:pt>
                <c:pt idx="3">
                  <c:v>-56.11570247933885</c:v>
                </c:pt>
                <c:pt idx="4">
                  <c:v>-48.099173553719012</c:v>
                </c:pt>
                <c:pt idx="5">
                  <c:v>-40.082644628099175</c:v>
                </c:pt>
                <c:pt idx="6">
                  <c:v>-32.066115702479337</c:v>
                </c:pt>
                <c:pt idx="7">
                  <c:v>-24.049586776859499</c:v>
                </c:pt>
                <c:pt idx="8">
                  <c:v>-16.033057851239676</c:v>
                </c:pt>
                <c:pt idx="9">
                  <c:v>-8.0165289256198378</c:v>
                </c:pt>
                <c:pt idx="10">
                  <c:v>0</c:v>
                </c:pt>
                <c:pt idx="11">
                  <c:v>2.3966942148760375</c:v>
                </c:pt>
                <c:pt idx="12">
                  <c:v>4.7933884297520635</c:v>
                </c:pt>
                <c:pt idx="13">
                  <c:v>7.1900826446280899</c:v>
                </c:pt>
                <c:pt idx="14">
                  <c:v>9.5867768595041269</c:v>
                </c:pt>
                <c:pt idx="15">
                  <c:v>11.983471074380166</c:v>
                </c:pt>
                <c:pt idx="16">
                  <c:v>14.380165289256203</c:v>
                </c:pt>
                <c:pt idx="17">
                  <c:v>16.77685950413224</c:v>
                </c:pt>
                <c:pt idx="18">
                  <c:v>19.173553719008254</c:v>
                </c:pt>
                <c:pt idx="19">
                  <c:v>21.570247933884293</c:v>
                </c:pt>
                <c:pt idx="20" formatCode="0">
                  <c:v>23.966942148760332</c:v>
                </c:pt>
              </c:numCache>
            </c:numRef>
          </c:xVal>
          <c:yVal>
            <c:numRef>
              <c:f>'1_LCOE'!$J$207:$J$227</c:f>
              <c:numCache>
                <c:formatCode>0.00</c:formatCode>
                <c:ptCount val="21"/>
                <c:pt idx="0">
                  <c:v>2.892581734981841</c:v>
                </c:pt>
                <c:pt idx="1">
                  <c:v>2.2257096302440402</c:v>
                </c:pt>
                <c:pt idx="2">
                  <c:v>1.8569324294673759</c:v>
                </c:pt>
                <c:pt idx="3">
                  <c:v>1.6228873886731474</c:v>
                </c:pt>
                <c:pt idx="4">
                  <c:v>1.4611428859586644</c:v>
                </c:pt>
                <c:pt idx="5">
                  <c:v>1.3426789812119182</c:v>
                </c:pt>
                <c:pt idx="6">
                  <c:v>1.2521737109187838</c:v>
                </c:pt>
                <c:pt idx="7">
                  <c:v>1.1807740145504251</c:v>
                </c:pt>
                <c:pt idx="8">
                  <c:v>1.1230077247720867</c:v>
                </c:pt>
                <c:pt idx="9">
                  <c:v>1.0753103120979695</c:v>
                </c:pt>
                <c:pt idx="10">
                  <c:v>1.0352602531914381</c:v>
                </c:pt>
                <c:pt idx="11">
                  <c:v>1.0245041915909938</c:v>
                </c:pt>
                <c:pt idx="12">
                  <c:v>1.0142401264990883</c:v>
                </c:pt>
                <c:pt idx="13">
                  <c:v>1.0044350558368895</c:v>
                </c:pt>
                <c:pt idx="14">
                  <c:v>0.99505886458525483</c:v>
                </c:pt>
                <c:pt idx="15">
                  <c:v>0.98608401583737981</c:v>
                </c:pt>
                <c:pt idx="16">
                  <c:v>0.97748528069310081</c:v>
                </c:pt>
                <c:pt idx="17">
                  <c:v>0.96923950141461701</c:v>
                </c:pt>
                <c:pt idx="18">
                  <c:v>0.96132538316120375</c:v>
                </c:pt>
                <c:pt idx="19">
                  <c:v>0.95372331035897895</c:v>
                </c:pt>
                <c:pt idx="20">
                  <c:v>0.94641518437177352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9D-4CD2-9B8B-4B7D9B3F0A9A}"/>
            </c:ext>
          </c:extLst>
        </c:ser>
        <c:ser>
          <c:idx val="7"/>
          <c:order val="7"/>
          <c:tx>
            <c:v>Capacity Factor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'1_LCOE'!$G$234:$G$254</c:f>
              <c:numCache>
                <c:formatCode>#,##0</c:formatCode>
                <c:ptCount val="21"/>
                <c:pt idx="0">
                  <c:v>-72.623740692071834</c:v>
                </c:pt>
                <c:pt idx="1">
                  <c:v>-65.361366622864651</c:v>
                </c:pt>
                <c:pt idx="2">
                  <c:v>-58.098992553657467</c:v>
                </c:pt>
                <c:pt idx="3">
                  <c:v>-50.836618484450277</c:v>
                </c:pt>
                <c:pt idx="4">
                  <c:v>-43.574244415243093</c:v>
                </c:pt>
                <c:pt idx="5">
                  <c:v>-36.311870346035917</c:v>
                </c:pt>
                <c:pt idx="6">
                  <c:v>-29.04949627682873</c:v>
                </c:pt>
                <c:pt idx="7">
                  <c:v>-21.787122207621554</c:v>
                </c:pt>
                <c:pt idx="8">
                  <c:v>-14.524748138414365</c:v>
                </c:pt>
                <c:pt idx="9">
                  <c:v>-7.2623740692071888</c:v>
                </c:pt>
                <c:pt idx="10">
                  <c:v>0</c:v>
                </c:pt>
                <c:pt idx="11">
                  <c:v>0.95050372317126053</c:v>
                </c:pt>
                <c:pt idx="12">
                  <c:v>1.9010074463425366</c:v>
                </c:pt>
                <c:pt idx="13">
                  <c:v>2.8515111695137971</c:v>
                </c:pt>
                <c:pt idx="14">
                  <c:v>3.8020148926850732</c:v>
                </c:pt>
                <c:pt idx="15">
                  <c:v>4.7525186158563333</c:v>
                </c:pt>
                <c:pt idx="16">
                  <c:v>5.7030223390275943</c:v>
                </c:pt>
                <c:pt idx="17">
                  <c:v>6.6535260621988694</c:v>
                </c:pt>
                <c:pt idx="18">
                  <c:v>7.6040297853701313</c:v>
                </c:pt>
                <c:pt idx="19">
                  <c:v>8.5545335085414074</c:v>
                </c:pt>
                <c:pt idx="20" formatCode="0">
                  <c:v>9.5050372317126666</c:v>
                </c:pt>
              </c:numCache>
            </c:numRef>
          </c:xVal>
          <c:yVal>
            <c:numRef>
              <c:f>'1_LCOE'!$J$234:$J$254</c:f>
              <c:numCache>
                <c:formatCode>0.00</c:formatCode>
                <c:ptCount val="21"/>
                <c:pt idx="0">
                  <c:v>2.5746099675639194</c:v>
                </c:pt>
                <c:pt idx="1">
                  <c:v>2.1302151193343088</c:v>
                </c:pt>
                <c:pt idx="2">
                  <c:v>1.8398672412833932</c:v>
                </c:pt>
                <c:pt idx="3">
                  <c:v>1.6352992602047538</c:v>
                </c:pt>
                <c:pt idx="4">
                  <c:v>1.4833898278962414</c:v>
                </c:pt>
                <c:pt idx="5">
                  <c:v>1.3661249401224624</c:v>
                </c:pt>
                <c:pt idx="6">
                  <c:v>1.272866125188407</c:v>
                </c:pt>
                <c:pt idx="7">
                  <c:v>1.1969262075617741</c:v>
                </c:pt>
                <c:pt idx="8">
                  <c:v>1.1338907055777525</c:v>
                </c:pt>
                <c:pt idx="9">
                  <c:v>1.080727947055804</c:v>
                </c:pt>
                <c:pt idx="10">
                  <c:v>1.0352869453126021</c:v>
                </c:pt>
                <c:pt idx="11">
                  <c:v>1.0298234498349637</c:v>
                </c:pt>
                <c:pt idx="12">
                  <c:v>1.0244618782327253</c:v>
                </c:pt>
                <c:pt idx="13">
                  <c:v>1.0191994047129951</c:v>
                </c:pt>
                <c:pt idx="14">
                  <c:v>1.01403330698479</c:v>
                </c:pt>
                <c:pt idx="15">
                  <c:v>1.008960961563256</c:v>
                </c:pt>
                <c:pt idx="16">
                  <c:v>1.0039798393272412</c:v>
                </c:pt>
                <c:pt idx="17">
                  <c:v>0.99908750131441526</c:v>
                </c:pt>
                <c:pt idx="18">
                  <c:v>0.99428159473924949</c:v>
                </c:pt>
                <c:pt idx="19">
                  <c:v>0.98955984922019646</c:v>
                </c:pt>
                <c:pt idx="20">
                  <c:v>0.9849200732033534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9D-4CD2-9B8B-4B7D9B3F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27112"/>
        <c:axId val="1"/>
      </c:scatterChart>
      <c:valAx>
        <c:axId val="3435271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17292006525285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LCOE (Constant $/kg)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07177814029363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527112"/>
        <c:crossesAt val="-100000000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CFFFF" mc:Ignorable="a14" a14:legacySpreadsheetColorIndex="41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41">
                <a:gamma/>
                <a:tint val="0"/>
                <a:invGamma/>
              </a:srgbClr>
            </a:gs>
          </a:gsLst>
          <a:path path="rect">
            <a:fillToRect t="100000" r="100000"/>
          </a:path>
        </a:gra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395116537180911E-3"/>
          <c:y val="0.89722675367047311"/>
          <c:w val="0.99001109877913429"/>
          <c:h val="9.951060358890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9644839067703"/>
          <c:y val="4.5676998368678633E-2"/>
          <c:w val="0.83906770255271923"/>
          <c:h val="0.63947797716150079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'1_LCOE'!$G$152:$G$172</c:f>
              <c:numCache>
                <c:formatCode>#,##0</c:formatCode>
                <c:ptCount val="21"/>
                <c:pt idx="0">
                  <c:v>-75.786924939467312</c:v>
                </c:pt>
                <c:pt idx="1">
                  <c:v>-68.208232445520579</c:v>
                </c:pt>
                <c:pt idx="2">
                  <c:v>-60.629539951573854</c:v>
                </c:pt>
                <c:pt idx="3">
                  <c:v>-53.050847457627114</c:v>
                </c:pt>
                <c:pt idx="4">
                  <c:v>-45.472154963680389</c:v>
                </c:pt>
                <c:pt idx="5">
                  <c:v>-37.893462469733656</c:v>
                </c:pt>
                <c:pt idx="6">
                  <c:v>-30.314769975786927</c:v>
                </c:pt>
                <c:pt idx="7">
                  <c:v>-22.736077481840194</c:v>
                </c:pt>
                <c:pt idx="8">
                  <c:v>-15.157384987893463</c:v>
                </c:pt>
                <c:pt idx="9">
                  <c:v>-7.5786924939467317</c:v>
                </c:pt>
                <c:pt idx="10">
                  <c:v>0</c:v>
                </c:pt>
                <c:pt idx="11">
                  <c:v>14.213075060532688</c:v>
                </c:pt>
                <c:pt idx="12">
                  <c:v>28.426150121065376</c:v>
                </c:pt>
                <c:pt idx="13">
                  <c:v>42.639225181598064</c:v>
                </c:pt>
                <c:pt idx="14">
                  <c:v>56.852300242130752</c:v>
                </c:pt>
                <c:pt idx="15">
                  <c:v>71.06537530266344</c:v>
                </c:pt>
                <c:pt idx="16">
                  <c:v>85.278450363196129</c:v>
                </c:pt>
                <c:pt idx="17">
                  <c:v>99.491525423728817</c:v>
                </c:pt>
                <c:pt idx="18">
                  <c:v>113.7046004842615</c:v>
                </c:pt>
                <c:pt idx="19">
                  <c:v>127.91767554479418</c:v>
                </c:pt>
                <c:pt idx="20">
                  <c:v>142.13075060532688</c:v>
                </c:pt>
              </c:numCache>
            </c:numRef>
          </c:xVal>
          <c:yVal>
            <c:numRef>
              <c:f>'1_LCOE'!$K$152:$K$172</c:f>
              <c:numCache>
                <c:formatCode>#,##0</c:formatCode>
                <c:ptCount val="21"/>
                <c:pt idx="0">
                  <c:v>-31.257568626338728</c:v>
                </c:pt>
                <c:pt idx="1">
                  <c:v>-28.131811763704885</c:v>
                </c:pt>
                <c:pt idx="2">
                  <c:v>-25.006054901070986</c:v>
                </c:pt>
                <c:pt idx="3">
                  <c:v>-21.880298038437132</c:v>
                </c:pt>
                <c:pt idx="4">
                  <c:v>-18.754541175803226</c:v>
                </c:pt>
                <c:pt idx="5">
                  <c:v>-15.628784313169373</c:v>
                </c:pt>
                <c:pt idx="6">
                  <c:v>-12.503027450535498</c:v>
                </c:pt>
                <c:pt idx="7">
                  <c:v>-9.3772705879016236</c:v>
                </c:pt>
                <c:pt idx="8">
                  <c:v>-6.2515137252677597</c:v>
                </c:pt>
                <c:pt idx="9">
                  <c:v>-3.1257568626338958</c:v>
                </c:pt>
                <c:pt idx="10">
                  <c:v>0</c:v>
                </c:pt>
                <c:pt idx="11">
                  <c:v>5.8620424228947998</c:v>
                </c:pt>
                <c:pt idx="12">
                  <c:v>11.724084845789664</c:v>
                </c:pt>
                <c:pt idx="13">
                  <c:v>17.586127268684507</c:v>
                </c:pt>
                <c:pt idx="14">
                  <c:v>23.448169691579348</c:v>
                </c:pt>
                <c:pt idx="15">
                  <c:v>29.310212114474172</c:v>
                </c:pt>
                <c:pt idx="16">
                  <c:v>35.172254537369014</c:v>
                </c:pt>
                <c:pt idx="17">
                  <c:v>41.034296960263831</c:v>
                </c:pt>
                <c:pt idx="18">
                  <c:v>46.896339383158633</c:v>
                </c:pt>
                <c:pt idx="19">
                  <c:v>52.758381806053478</c:v>
                </c:pt>
                <c:pt idx="20">
                  <c:v>58.620424228948345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6-473F-B06C-49C59EF23342}"/>
            </c:ext>
          </c:extLst>
        </c:ser>
        <c:ser>
          <c:idx val="1"/>
          <c:order val="1"/>
          <c:tx>
            <c:v>Feedstock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'1_LCOE'!$G$180:$G$200</c:f>
              <c:numCache>
                <c:formatCode>#,##0</c:formatCode>
                <c:ptCount val="21"/>
                <c:pt idx="0">
                  <c:v>-100</c:v>
                </c:pt>
                <c:pt idx="1">
                  <c:v>-89.999999999999986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-20.000000000000004</c:v>
                </c:pt>
                <c:pt idx="9">
                  <c:v>-9.9999999999999929</c:v>
                </c:pt>
                <c:pt idx="10">
                  <c:v>0</c:v>
                </c:pt>
                <c:pt idx="11">
                  <c:v>15.839793281653753</c:v>
                </c:pt>
                <c:pt idx="12">
                  <c:v>31.679586563307488</c:v>
                </c:pt>
                <c:pt idx="13">
                  <c:v>47.519379844961243</c:v>
                </c:pt>
                <c:pt idx="14">
                  <c:v>63.359173126614976</c:v>
                </c:pt>
                <c:pt idx="15">
                  <c:v>79.198966408268703</c:v>
                </c:pt>
                <c:pt idx="16">
                  <c:v>95.038759689922443</c:v>
                </c:pt>
                <c:pt idx="17">
                  <c:v>110.8785529715762</c:v>
                </c:pt>
                <c:pt idx="18">
                  <c:v>126.71834625322998</c:v>
                </c:pt>
                <c:pt idx="19">
                  <c:v>142.55813953488371</c:v>
                </c:pt>
                <c:pt idx="20">
                  <c:v>158.39793281653743</c:v>
                </c:pt>
              </c:numCache>
            </c:numRef>
          </c:xVal>
          <c:yVal>
            <c:numRef>
              <c:f>'1_LCOE'!$K$180:$K$200</c:f>
              <c:numCache>
                <c:formatCode>#,##0</c:formatCode>
                <c:ptCount val="21"/>
                <c:pt idx="0">
                  <c:v>-44.389172480582126</c:v>
                </c:pt>
                <c:pt idx="1">
                  <c:v>-39.950255232523887</c:v>
                </c:pt>
                <c:pt idx="2">
                  <c:v>-35.511337984465705</c:v>
                </c:pt>
                <c:pt idx="3">
                  <c:v>-31.07242073640748</c:v>
                </c:pt>
                <c:pt idx="4">
                  <c:v>-26.63350348834928</c:v>
                </c:pt>
                <c:pt idx="5">
                  <c:v>-22.194586240291084</c:v>
                </c:pt>
                <c:pt idx="6">
                  <c:v>-17.755668992232852</c:v>
                </c:pt>
                <c:pt idx="7">
                  <c:v>-13.31675174417464</c:v>
                </c:pt>
                <c:pt idx="8">
                  <c:v>-8.8778344961164635</c:v>
                </c:pt>
                <c:pt idx="9">
                  <c:v>-4.4389172480582211</c:v>
                </c:pt>
                <c:pt idx="10">
                  <c:v>0</c:v>
                </c:pt>
                <c:pt idx="11">
                  <c:v>7.0311531603609216</c:v>
                </c:pt>
                <c:pt idx="12">
                  <c:v>14.062306320721843</c:v>
                </c:pt>
                <c:pt idx="13">
                  <c:v>21.093459481082789</c:v>
                </c:pt>
                <c:pt idx="14">
                  <c:v>28.124612641443708</c:v>
                </c:pt>
                <c:pt idx="15">
                  <c:v>35.155765801804655</c:v>
                </c:pt>
                <c:pt idx="16">
                  <c:v>42.18691896216562</c:v>
                </c:pt>
                <c:pt idx="17">
                  <c:v>49.218072122526543</c:v>
                </c:pt>
                <c:pt idx="18">
                  <c:v>56.249225282887458</c:v>
                </c:pt>
                <c:pt idx="19">
                  <c:v>63.280378443248367</c:v>
                </c:pt>
                <c:pt idx="20">
                  <c:v>70.311531603609339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6-473F-B06C-49C59EF23342}"/>
            </c:ext>
          </c:extLst>
        </c:ser>
        <c:ser>
          <c:idx val="3"/>
          <c:order val="2"/>
          <c:tx>
            <c:v>Debt Ratio</c:v>
          </c:tx>
          <c:spPr>
            <a:ln w="381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'1_LCOE'!$N$152:$N$172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0.88888888888888573</c:v>
                </c:pt>
                <c:pt idx="12">
                  <c:v>1.7777777777777715</c:v>
                </c:pt>
                <c:pt idx="13">
                  <c:v>2.6666666666666732</c:v>
                </c:pt>
                <c:pt idx="14">
                  <c:v>3.5555555555555589</c:v>
                </c:pt>
                <c:pt idx="15">
                  <c:v>4.4444444444444446</c:v>
                </c:pt>
                <c:pt idx="16">
                  <c:v>5.3333333333333304</c:v>
                </c:pt>
                <c:pt idx="17">
                  <c:v>6.2222222222222161</c:v>
                </c:pt>
                <c:pt idx="18">
                  <c:v>7.1111111111111178</c:v>
                </c:pt>
                <c:pt idx="19">
                  <c:v>8.0000000000000036</c:v>
                </c:pt>
                <c:pt idx="20">
                  <c:v>8.8888888888888893</c:v>
                </c:pt>
              </c:numCache>
            </c:numRef>
          </c:xVal>
          <c:yVal>
            <c:numRef>
              <c:f>'1_LCOE'!$R$152:$R$172</c:f>
              <c:numCache>
                <c:formatCode>#,##0</c:formatCode>
                <c:ptCount val="21"/>
                <c:pt idx="0">
                  <c:v>39.598650748498059</c:v>
                </c:pt>
                <c:pt idx="1">
                  <c:v>35.638785673648222</c:v>
                </c:pt>
                <c:pt idx="2">
                  <c:v>31.678920598798406</c:v>
                </c:pt>
                <c:pt idx="3">
                  <c:v>27.719055523948633</c:v>
                </c:pt>
                <c:pt idx="4">
                  <c:v>23.759190449098792</c:v>
                </c:pt>
                <c:pt idx="5">
                  <c:v>19.79932537424904</c:v>
                </c:pt>
                <c:pt idx="6">
                  <c:v>15.839460299399224</c:v>
                </c:pt>
                <c:pt idx="7">
                  <c:v>11.879595224549407</c:v>
                </c:pt>
                <c:pt idx="8">
                  <c:v>7.91973014969959</c:v>
                </c:pt>
                <c:pt idx="9">
                  <c:v>3.959865074849795</c:v>
                </c:pt>
                <c:pt idx="10">
                  <c:v>0</c:v>
                </c:pt>
                <c:pt idx="11">
                  <c:v>-0.35198800665329794</c:v>
                </c:pt>
                <c:pt idx="12">
                  <c:v>-0.70397601330666026</c:v>
                </c:pt>
                <c:pt idx="13">
                  <c:v>-1.0559640199599583</c:v>
                </c:pt>
                <c:pt idx="14">
                  <c:v>-1.4079520266132777</c:v>
                </c:pt>
                <c:pt idx="15">
                  <c:v>-1.7599400332665758</c:v>
                </c:pt>
                <c:pt idx="16">
                  <c:v>-2.1119280399199165</c:v>
                </c:pt>
                <c:pt idx="17">
                  <c:v>-2.4639160465732144</c:v>
                </c:pt>
                <c:pt idx="18">
                  <c:v>-2.815904053226534</c:v>
                </c:pt>
                <c:pt idx="19">
                  <c:v>-3.1678920598798745</c:v>
                </c:pt>
                <c:pt idx="20">
                  <c:v>-3.5198800665331405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B6-473F-B06C-49C59EF23342}"/>
            </c:ext>
          </c:extLst>
        </c:ser>
        <c:ser>
          <c:idx val="4"/>
          <c:order val="3"/>
          <c:tx>
            <c:v>Debt Interest Rate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'1_LCOE'!$N$180:$N$200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'1_LCOE'!$R$180:$R$200</c:f>
              <c:numCache>
                <c:formatCode>#,##0</c:formatCode>
                <c:ptCount val="21"/>
                <c:pt idx="0">
                  <c:v>-7.4998019275168071</c:v>
                </c:pt>
                <c:pt idx="1">
                  <c:v>-6.8167289479911313</c:v>
                </c:pt>
                <c:pt idx="2">
                  <c:v>-6.1185001247551014</c:v>
                </c:pt>
                <c:pt idx="3">
                  <c:v>-5.4052073277659769</c:v>
                </c:pt>
                <c:pt idx="4">
                  <c:v>-4.6769519943257629</c:v>
                </c:pt>
                <c:pt idx="5">
                  <c:v>-3.9338447716299672</c:v>
                </c:pt>
                <c:pt idx="6">
                  <c:v>-3.1760051457972427</c:v>
                </c:pt>
                <c:pt idx="7">
                  <c:v>-2.4035610591706158</c:v>
                </c:pt>
                <c:pt idx="8">
                  <c:v>-1.6166485176667518</c:v>
                </c:pt>
                <c:pt idx="9">
                  <c:v>-0.81541118992825967</c:v>
                </c:pt>
                <c:pt idx="10">
                  <c:v>0</c:v>
                </c:pt>
                <c:pt idx="11">
                  <c:v>2.0994875575071164</c:v>
                </c:pt>
                <c:pt idx="12">
                  <c:v>4.2839257999003282</c:v>
                </c:pt>
                <c:pt idx="13">
                  <c:v>6.5504719326961238</c:v>
                </c:pt>
                <c:pt idx="14">
                  <c:v>8.8961128006622694</c:v>
                </c:pt>
                <c:pt idx="15">
                  <c:v>11.317703747651979</c:v>
                </c:pt>
                <c:pt idx="16">
                  <c:v>13.812005592865242</c:v>
                </c:pt>
                <c:pt idx="17">
                  <c:v>16.375719213406921</c:v>
                </c:pt>
                <c:pt idx="18">
                  <c:v>19.005517352521089</c:v>
                </c:pt>
                <c:pt idx="19">
                  <c:v>21.698073395512772</c:v>
                </c:pt>
                <c:pt idx="20">
                  <c:v>24.450086967308092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B6-473F-B06C-49C59EF23342}"/>
            </c:ext>
          </c:extLst>
        </c:ser>
        <c:ser>
          <c:idx val="5"/>
          <c:order val="4"/>
          <c:tx>
            <c:v>MARR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'1_LCOE'!$N$207:$N$227</c:f>
              <c:numCache>
                <c:formatCode>#,##0</c:formatCode>
                <c:ptCount val="21"/>
                <c:pt idx="0">
                  <c:v>-99.333333333333343</c:v>
                </c:pt>
                <c:pt idx="1">
                  <c:v>-89.4</c:v>
                </c:pt>
                <c:pt idx="2">
                  <c:v>-79.466666666666669</c:v>
                </c:pt>
                <c:pt idx="3">
                  <c:v>-69.533333333333331</c:v>
                </c:pt>
                <c:pt idx="4">
                  <c:v>-59.600000000000009</c:v>
                </c:pt>
                <c:pt idx="5">
                  <c:v>-49.666666666666671</c:v>
                </c:pt>
                <c:pt idx="6">
                  <c:v>-39.733333333333334</c:v>
                </c:pt>
                <c:pt idx="7">
                  <c:v>-29.800000000000004</c:v>
                </c:pt>
                <c:pt idx="8">
                  <c:v>-19.866666666666667</c:v>
                </c:pt>
                <c:pt idx="9">
                  <c:v>-9.9333333333333336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 formatCode="0">
                  <c:v>200</c:v>
                </c:pt>
              </c:numCache>
            </c:numRef>
          </c:xVal>
          <c:yVal>
            <c:numRef>
              <c:f>'1_LCOE'!$R$207:$R$227</c:f>
              <c:numCache>
                <c:formatCode>#,##0</c:formatCode>
                <c:ptCount val="21"/>
                <c:pt idx="0">
                  <c:v>-11.77473285743295</c:v>
                </c:pt>
                <c:pt idx="1">
                  <c:v>-10.714823894846473</c:v>
                </c:pt>
                <c:pt idx="2">
                  <c:v>-9.6238771780369561</c:v>
                </c:pt>
                <c:pt idx="3">
                  <c:v>-8.5033989108569248</c:v>
                </c:pt>
                <c:pt idx="4">
                  <c:v>-7.3551524041043939</c:v>
                </c:pt>
                <c:pt idx="5">
                  <c:v>-6.1811037806762714</c:v>
                </c:pt>
                <c:pt idx="6">
                  <c:v>-4.9833662505161076</c:v>
                </c:pt>
                <c:pt idx="7">
                  <c:v>-3.7641456476840336</c:v>
                </c:pt>
                <c:pt idx="8">
                  <c:v>-2.525689458971748</c:v>
                </c:pt>
                <c:pt idx="9">
                  <c:v>-1.2702410222242821</c:v>
                </c:pt>
                <c:pt idx="10">
                  <c:v>0</c:v>
                </c:pt>
                <c:pt idx="11">
                  <c:v>2.5938954944043009</c:v>
                </c:pt>
                <c:pt idx="12">
                  <c:v>5.2232932060168018</c:v>
                </c:pt>
                <c:pt idx="13">
                  <c:v>7.8743917681968467</c:v>
                </c:pt>
                <c:pt idx="14">
                  <c:v>10.535735450565562</c:v>
                </c:pt>
                <c:pt idx="15">
                  <c:v>13.19814763414816</c:v>
                </c:pt>
                <c:pt idx="16">
                  <c:v>15.854513322517573</c:v>
                </c:pt>
                <c:pt idx="17">
                  <c:v>18.49949018740006</c:v>
                </c:pt>
                <c:pt idx="18">
                  <c:v>21.12920322737007</c:v>
                </c:pt>
                <c:pt idx="19">
                  <c:v>23.740956417810803</c:v>
                </c:pt>
                <c:pt idx="20">
                  <c:v>26.332978356936543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B6-473F-B06C-49C59EF23342}"/>
            </c:ext>
          </c:extLst>
        </c:ser>
        <c:ser>
          <c:idx val="6"/>
          <c:order val="5"/>
          <c:tx>
            <c:v>Economic Life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'1_LCOE'!$N$234:$N$254</c:f>
              <c:numCache>
                <c:formatCode>#,##0</c:formatCode>
                <c:ptCount val="21"/>
                <c:pt idx="0">
                  <c:v>-66.666666666666657</c:v>
                </c:pt>
                <c:pt idx="1">
                  <c:v>-60</c:v>
                </c:pt>
                <c:pt idx="2">
                  <c:v>-53.333333333333336</c:v>
                </c:pt>
                <c:pt idx="3">
                  <c:v>-46.666666666666664</c:v>
                </c:pt>
                <c:pt idx="4">
                  <c:v>-40</c:v>
                </c:pt>
                <c:pt idx="5">
                  <c:v>-33.333333333333329</c:v>
                </c:pt>
                <c:pt idx="6">
                  <c:v>-26.666666666666668</c:v>
                </c:pt>
                <c:pt idx="7">
                  <c:v>-20</c:v>
                </c:pt>
                <c:pt idx="8">
                  <c:v>-13.333333333333334</c:v>
                </c:pt>
                <c:pt idx="9">
                  <c:v>-6.666666666666667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 formatCode="0">
                  <c:v>100</c:v>
                </c:pt>
              </c:numCache>
            </c:numRef>
          </c:xVal>
          <c:yVal>
            <c:numRef>
              <c:f>'1_LCOE'!$R$234:$R$254</c:f>
              <c:numCache>
                <c:formatCode>#,##0</c:formatCode>
                <c:ptCount val="21"/>
                <c:pt idx="0">
                  <c:v>57.282315578100281</c:v>
                </c:pt>
                <c:pt idx="1">
                  <c:v>43.103917574182887</c:v>
                </c:pt>
                <c:pt idx="2">
                  <c:v>32.886983883488647</c:v>
                </c:pt>
                <c:pt idx="3">
                  <c:v>25.183390819867864</c:v>
                </c:pt>
                <c:pt idx="4">
                  <c:v>19.174335277700148</c:v>
                </c:pt>
                <c:pt idx="5">
                  <c:v>14.362070362520923</c:v>
                </c:pt>
                <c:pt idx="6">
                  <c:v>10.426612359710747</c:v>
                </c:pt>
                <c:pt idx="7">
                  <c:v>7.1528827136224109</c:v>
                </c:pt>
                <c:pt idx="8">
                  <c:v>4.3909609379937722</c:v>
                </c:pt>
                <c:pt idx="9">
                  <c:v>2.033132739579127</c:v>
                </c:pt>
                <c:pt idx="10">
                  <c:v>0</c:v>
                </c:pt>
                <c:pt idx="11">
                  <c:v>-2.7274219626093634</c:v>
                </c:pt>
                <c:pt idx="12">
                  <c:v>-4.6838967643211546</c:v>
                </c:pt>
                <c:pt idx="13">
                  <c:v>-6.6082369782406749</c:v>
                </c:pt>
                <c:pt idx="14">
                  <c:v>-7.9421948685760748</c:v>
                </c:pt>
                <c:pt idx="15">
                  <c:v>-9.3445454365578655</c:v>
                </c:pt>
                <c:pt idx="16">
                  <c:v>-10.302865519480859</c:v>
                </c:pt>
                <c:pt idx="17">
                  <c:v>-11.348190729060855</c:v>
                </c:pt>
                <c:pt idx="18">
                  <c:v>-12.062574272724563</c:v>
                </c:pt>
                <c:pt idx="19">
                  <c:v>-12.854735067962494</c:v>
                </c:pt>
                <c:pt idx="20">
                  <c:v>-13.401344456334119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B6-473F-B06C-49C59EF23342}"/>
            </c:ext>
          </c:extLst>
        </c:ser>
        <c:ser>
          <c:idx val="2"/>
          <c:order val="6"/>
          <c:tx>
            <c:v>Efficiency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'1_LCOE'!$G$207:$G$227</c:f>
              <c:numCache>
                <c:formatCode>#,##0</c:formatCode>
                <c:ptCount val="21"/>
                <c:pt idx="0">
                  <c:v>-80.165289256198349</c:v>
                </c:pt>
                <c:pt idx="1">
                  <c:v>-72.148760330578511</c:v>
                </c:pt>
                <c:pt idx="2">
                  <c:v>-64.132231404958674</c:v>
                </c:pt>
                <c:pt idx="3">
                  <c:v>-56.11570247933885</c:v>
                </c:pt>
                <c:pt idx="4">
                  <c:v>-48.099173553719012</c:v>
                </c:pt>
                <c:pt idx="5">
                  <c:v>-40.082644628099175</c:v>
                </c:pt>
                <c:pt idx="6">
                  <c:v>-32.066115702479337</c:v>
                </c:pt>
                <c:pt idx="7">
                  <c:v>-24.049586776859499</c:v>
                </c:pt>
                <c:pt idx="8">
                  <c:v>-16.033057851239676</c:v>
                </c:pt>
                <c:pt idx="9">
                  <c:v>-8.0165289256198378</c:v>
                </c:pt>
                <c:pt idx="10">
                  <c:v>0</c:v>
                </c:pt>
                <c:pt idx="11">
                  <c:v>2.3966942148760375</c:v>
                </c:pt>
                <c:pt idx="12">
                  <c:v>4.7933884297520635</c:v>
                </c:pt>
                <c:pt idx="13">
                  <c:v>7.1900826446280899</c:v>
                </c:pt>
                <c:pt idx="14">
                  <c:v>9.5867768595041269</c:v>
                </c:pt>
                <c:pt idx="15">
                  <c:v>11.983471074380166</c:v>
                </c:pt>
                <c:pt idx="16">
                  <c:v>14.380165289256203</c:v>
                </c:pt>
                <c:pt idx="17">
                  <c:v>16.77685950413224</c:v>
                </c:pt>
                <c:pt idx="18">
                  <c:v>19.173553719008254</c:v>
                </c:pt>
                <c:pt idx="19">
                  <c:v>21.570247933884293</c:v>
                </c:pt>
                <c:pt idx="20" formatCode="0">
                  <c:v>23.966942148760332</c:v>
                </c:pt>
              </c:numCache>
            </c:numRef>
          </c:xVal>
          <c:yVal>
            <c:numRef>
              <c:f>'1_LCOE'!$K$207:$K$227</c:f>
              <c:numCache>
                <c:formatCode>#,##0</c:formatCode>
                <c:ptCount val="21"/>
                <c:pt idx="0">
                  <c:v>179.40623877568601</c:v>
                </c:pt>
                <c:pt idx="1">
                  <c:v>114.99034888886696</c:v>
                </c:pt>
                <c:pt idx="2">
                  <c:v>79.36865862887484</c:v>
                </c:pt>
                <c:pt idx="3">
                  <c:v>56.761295883832851</c:v>
                </c:pt>
                <c:pt idx="4">
                  <c:v>41.137736279775147</c:v>
                </c:pt>
                <c:pt idx="5">
                  <c:v>29.694825728389368</c:v>
                </c:pt>
                <c:pt idx="6">
                  <c:v>20.9525534336567</c:v>
                </c:pt>
                <c:pt idx="7">
                  <c:v>14.055766258813268</c:v>
                </c:pt>
                <c:pt idx="8">
                  <c:v>8.4758852964890643</c:v>
                </c:pt>
                <c:pt idx="9">
                  <c:v>3.8685981407155769</c:v>
                </c:pt>
                <c:pt idx="10">
                  <c:v>0</c:v>
                </c:pt>
                <c:pt idx="11">
                  <c:v>-1.0389717529757516</c:v>
                </c:pt>
                <c:pt idx="12">
                  <c:v>-2.030419561414647</c:v>
                </c:pt>
                <c:pt idx="13">
                  <c:v>-2.9775312303860328</c:v>
                </c:pt>
                <c:pt idx="14">
                  <c:v>-3.8832156921173056</c:v>
                </c:pt>
                <c:pt idx="15">
                  <c:v>-4.7501328484756122</c:v>
                </c:pt>
                <c:pt idx="16">
                  <c:v>-5.5807196615761185</c:v>
                </c:pt>
                <c:pt idx="17">
                  <c:v>-6.3772130315344659</c:v>
                </c:pt>
                <c:pt idx="18">
                  <c:v>-7.1416699136581734</c:v>
                </c:pt>
                <c:pt idx="19">
                  <c:v>-7.875985056038032</c:v>
                </c:pt>
                <c:pt idx="20">
                  <c:v>-8.5819066795792018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B6-473F-B06C-49C59EF23342}"/>
            </c:ext>
          </c:extLst>
        </c:ser>
        <c:ser>
          <c:idx val="7"/>
          <c:order val="7"/>
          <c:tx>
            <c:v>Capacity Factor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'1_LCOE'!$G$234:$G$254</c:f>
              <c:numCache>
                <c:formatCode>#,##0</c:formatCode>
                <c:ptCount val="21"/>
                <c:pt idx="0">
                  <c:v>-72.623740692071834</c:v>
                </c:pt>
                <c:pt idx="1">
                  <c:v>-65.361366622864651</c:v>
                </c:pt>
                <c:pt idx="2">
                  <c:v>-58.098992553657467</c:v>
                </c:pt>
                <c:pt idx="3">
                  <c:v>-50.836618484450277</c:v>
                </c:pt>
                <c:pt idx="4">
                  <c:v>-43.574244415243093</c:v>
                </c:pt>
                <c:pt idx="5">
                  <c:v>-36.311870346035917</c:v>
                </c:pt>
                <c:pt idx="6">
                  <c:v>-29.04949627682873</c:v>
                </c:pt>
                <c:pt idx="7">
                  <c:v>-21.787122207621554</c:v>
                </c:pt>
                <c:pt idx="8">
                  <c:v>-14.524748138414365</c:v>
                </c:pt>
                <c:pt idx="9">
                  <c:v>-7.2623740692071888</c:v>
                </c:pt>
                <c:pt idx="10">
                  <c:v>0</c:v>
                </c:pt>
                <c:pt idx="11">
                  <c:v>0.95050372317126053</c:v>
                </c:pt>
                <c:pt idx="12">
                  <c:v>1.9010074463425366</c:v>
                </c:pt>
                <c:pt idx="13">
                  <c:v>2.8515111695137971</c:v>
                </c:pt>
                <c:pt idx="14">
                  <c:v>3.8020148926850732</c:v>
                </c:pt>
                <c:pt idx="15">
                  <c:v>4.7525186158563333</c:v>
                </c:pt>
                <c:pt idx="16">
                  <c:v>5.7030223390275943</c:v>
                </c:pt>
                <c:pt idx="17">
                  <c:v>6.6535260621988694</c:v>
                </c:pt>
                <c:pt idx="18">
                  <c:v>7.6040297853701313</c:v>
                </c:pt>
                <c:pt idx="19">
                  <c:v>8.5545335085414074</c:v>
                </c:pt>
                <c:pt idx="20" formatCode="0">
                  <c:v>9.5050372317126666</c:v>
                </c:pt>
              </c:numCache>
            </c:numRef>
          </c:xVal>
          <c:yVal>
            <c:numRef>
              <c:f>'1_LCOE'!$K$234:$K$254</c:f>
              <c:numCache>
                <c:formatCode>#,##0</c:formatCode>
                <c:ptCount val="21"/>
                <c:pt idx="0">
                  <c:v>148.68564017162632</c:v>
                </c:pt>
                <c:pt idx="1">
                  <c:v>105.76084041039424</c:v>
                </c:pt>
                <c:pt idx="2">
                  <c:v>77.715680624935359</c:v>
                </c:pt>
                <c:pt idx="3">
                  <c:v>57.956136471032153</c:v>
                </c:pt>
                <c:pt idx="4">
                  <c:v>43.282964651731007</c:v>
                </c:pt>
                <c:pt idx="5">
                  <c:v>31.956164067148034</c:v>
                </c:pt>
                <c:pt idx="6">
                  <c:v>22.948147945985014</c:v>
                </c:pt>
                <c:pt idx="7">
                  <c:v>15.612991449473506</c:v>
                </c:pt>
                <c:pt idx="8">
                  <c:v>9.5242928264083577</c:v>
                </c:pt>
                <c:pt idx="9">
                  <c:v>4.3892180761036332</c:v>
                </c:pt>
                <c:pt idx="10">
                  <c:v>0</c:v>
                </c:pt>
                <c:pt idx="11">
                  <c:v>-0.5277276510029576</c:v>
                </c:pt>
                <c:pt idx="12">
                  <c:v>-1.045610314018617</c:v>
                </c:pt>
                <c:pt idx="13">
                  <c:v>-1.5539209368422446</c:v>
                </c:pt>
                <c:pt idx="14">
                  <c:v>-2.0529224698563788</c:v>
                </c:pt>
                <c:pt idx="15">
                  <c:v>-2.5428683196036124</c:v>
                </c:pt>
                <c:pt idx="16">
                  <c:v>-3.0240027778876133</c:v>
                </c:pt>
                <c:pt idx="17">
                  <c:v>-3.496561427929195</c:v>
                </c:pt>
                <c:pt idx="18">
                  <c:v>-3.9607715289958754</c:v>
                </c:pt>
                <c:pt idx="19">
                  <c:v>-4.4168523808245732</c:v>
                </c:pt>
                <c:pt idx="20">
                  <c:v>-4.8650156690656026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B6-473F-B06C-49C59EF2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32360"/>
        <c:axId val="1"/>
      </c:scatterChart>
      <c:valAx>
        <c:axId val="34353236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730299667036625"/>
              <c:y val="0.768352365415986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Change in LCOE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123980424143556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532360"/>
        <c:crossesAt val="-100000000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CCFFFF" mc:Ignorable="a14" a14:legacySpreadsheetColorIndex="41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41">
                <a:gamma/>
                <a:tint val="0"/>
                <a:invGamma/>
              </a:srgbClr>
            </a:gs>
          </a:gsLst>
          <a:path path="rect">
            <a:fillToRect l="100000" b="100000"/>
          </a:path>
        </a:gra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5205327413984"/>
          <c:y val="0.84828711256117451"/>
          <c:w val="0.75915649278579356"/>
          <c:h val="0.1484502446982055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zoomScale="113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41"/>
  </sheetPr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150</xdr:row>
      <xdr:rowOff>76200</xdr:rowOff>
    </xdr:from>
    <xdr:to>
      <xdr:col>7</xdr:col>
      <xdr:colOff>714375</xdr:colOff>
      <xdr:row>150</xdr:row>
      <xdr:rowOff>200025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EFA35477-5335-4D4A-9750-F1BEBB91B109}"/>
            </a:ext>
          </a:extLst>
        </xdr:cNvPr>
        <xdr:cNvSpPr>
          <a:spLocks noChangeArrowheads="1"/>
        </xdr:cNvSpPr>
      </xdr:nvSpPr>
      <xdr:spPr bwMode="auto">
        <a:xfrm>
          <a:off x="4838700" y="234124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178</xdr:row>
      <xdr:rowOff>95250</xdr:rowOff>
    </xdr:from>
    <xdr:to>
      <xdr:col>7</xdr:col>
      <xdr:colOff>714375</xdr:colOff>
      <xdr:row>178</xdr:row>
      <xdr:rowOff>200025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2708C91B-1454-4307-BBE9-460C5076E882}"/>
            </a:ext>
          </a:extLst>
        </xdr:cNvPr>
        <xdr:cNvSpPr>
          <a:spLocks noChangeArrowheads="1"/>
        </xdr:cNvSpPr>
      </xdr:nvSpPr>
      <xdr:spPr bwMode="auto">
        <a:xfrm>
          <a:off x="4838700" y="28032075"/>
          <a:ext cx="1390650" cy="104775"/>
        </a:xfrm>
        <a:prstGeom prst="rightArrow">
          <a:avLst>
            <a:gd name="adj1" fmla="val 50000"/>
            <a:gd name="adj2" fmla="val 33181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150</xdr:row>
      <xdr:rowOff>76200</xdr:rowOff>
    </xdr:from>
    <xdr:to>
      <xdr:col>14</xdr:col>
      <xdr:colOff>714375</xdr:colOff>
      <xdr:row>150</xdr:row>
      <xdr:rowOff>200025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68FB3F24-290B-44AB-8732-5E3861613E90}"/>
            </a:ext>
          </a:extLst>
        </xdr:cNvPr>
        <xdr:cNvSpPr>
          <a:spLocks noChangeArrowheads="1"/>
        </xdr:cNvSpPr>
      </xdr:nvSpPr>
      <xdr:spPr bwMode="auto">
        <a:xfrm>
          <a:off x="10629900" y="23412450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178</xdr:row>
      <xdr:rowOff>76200</xdr:rowOff>
    </xdr:from>
    <xdr:to>
      <xdr:col>14</xdr:col>
      <xdr:colOff>714375</xdr:colOff>
      <xdr:row>178</xdr:row>
      <xdr:rowOff>200025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86071A6E-9C29-4D8C-A80E-468C881D5160}"/>
            </a:ext>
          </a:extLst>
        </xdr:cNvPr>
        <xdr:cNvSpPr>
          <a:spLocks noChangeArrowheads="1"/>
        </xdr:cNvSpPr>
      </xdr:nvSpPr>
      <xdr:spPr bwMode="auto">
        <a:xfrm>
          <a:off x="10629900" y="28013025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47625</xdr:colOff>
      <xdr:row>98</xdr:row>
      <xdr:rowOff>28575</xdr:rowOff>
    </xdr:from>
    <xdr:to>
      <xdr:col>2</xdr:col>
      <xdr:colOff>142875</xdr:colOff>
      <xdr:row>99</xdr:row>
      <xdr:rowOff>47625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DA9524C2-9DEC-463A-B28E-3C6C63778846}"/>
            </a:ext>
          </a:extLst>
        </xdr:cNvPr>
        <xdr:cNvSpPr>
          <a:spLocks noChangeArrowheads="1"/>
        </xdr:cNvSpPr>
      </xdr:nvSpPr>
      <xdr:spPr bwMode="auto">
        <a:xfrm>
          <a:off x="504825" y="14839950"/>
          <a:ext cx="95250" cy="247650"/>
        </a:xfrm>
        <a:prstGeom prst="downArrow">
          <a:avLst>
            <a:gd name="adj1" fmla="val 50000"/>
            <a:gd name="adj2" fmla="val 6500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205</xdr:row>
      <xdr:rowOff>104775</xdr:rowOff>
    </xdr:from>
    <xdr:to>
      <xdr:col>7</xdr:col>
      <xdr:colOff>714375</xdr:colOff>
      <xdr:row>205</xdr:row>
      <xdr:rowOff>200025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9F5C859C-D68F-4A78-B4BB-263F381CC358}"/>
            </a:ext>
          </a:extLst>
        </xdr:cNvPr>
        <xdr:cNvSpPr>
          <a:spLocks noChangeArrowheads="1"/>
        </xdr:cNvSpPr>
      </xdr:nvSpPr>
      <xdr:spPr bwMode="auto">
        <a:xfrm>
          <a:off x="4838700" y="32499300"/>
          <a:ext cx="1390650" cy="95250"/>
        </a:xfrm>
        <a:prstGeom prst="rightArrow">
          <a:avLst>
            <a:gd name="adj1" fmla="val 50000"/>
            <a:gd name="adj2" fmla="val 36500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205</xdr:row>
      <xdr:rowOff>76200</xdr:rowOff>
    </xdr:from>
    <xdr:to>
      <xdr:col>14</xdr:col>
      <xdr:colOff>714375</xdr:colOff>
      <xdr:row>205</xdr:row>
      <xdr:rowOff>200025</xdr:rowOff>
    </xdr:to>
    <xdr:sp macro="" textlink="">
      <xdr:nvSpPr>
        <xdr:cNvPr id="1125" name="AutoShape 101">
          <a:extLst>
            <a:ext uri="{FF2B5EF4-FFF2-40B4-BE49-F238E27FC236}">
              <a16:creationId xmlns:a16="http://schemas.microsoft.com/office/drawing/2014/main" id="{5817CB52-ED1E-4D90-89C6-9992A90E986D}"/>
            </a:ext>
          </a:extLst>
        </xdr:cNvPr>
        <xdr:cNvSpPr>
          <a:spLocks noChangeArrowheads="1"/>
        </xdr:cNvSpPr>
      </xdr:nvSpPr>
      <xdr:spPr bwMode="auto">
        <a:xfrm>
          <a:off x="10629900" y="32470725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232</xdr:row>
      <xdr:rowOff>76200</xdr:rowOff>
    </xdr:from>
    <xdr:to>
      <xdr:col>14</xdr:col>
      <xdr:colOff>714375</xdr:colOff>
      <xdr:row>232</xdr:row>
      <xdr:rowOff>200025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14545E61-96AA-4BF3-923D-14BDB3F73DE0}"/>
            </a:ext>
          </a:extLst>
        </xdr:cNvPr>
        <xdr:cNvSpPr>
          <a:spLocks noChangeArrowheads="1"/>
        </xdr:cNvSpPr>
      </xdr:nvSpPr>
      <xdr:spPr bwMode="auto">
        <a:xfrm>
          <a:off x="10629900" y="36928425"/>
          <a:ext cx="1276350" cy="123825"/>
        </a:xfrm>
        <a:prstGeom prst="rightArrow">
          <a:avLst>
            <a:gd name="adj1" fmla="val 50000"/>
            <a:gd name="adj2" fmla="val 25769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232</xdr:row>
      <xdr:rowOff>95250</xdr:rowOff>
    </xdr:from>
    <xdr:to>
      <xdr:col>7</xdr:col>
      <xdr:colOff>714375</xdr:colOff>
      <xdr:row>232</xdr:row>
      <xdr:rowOff>190500</xdr:rowOff>
    </xdr:to>
    <xdr:sp macro="" textlink="">
      <xdr:nvSpPr>
        <xdr:cNvPr id="1127" name="AutoShape 103">
          <a:extLst>
            <a:ext uri="{FF2B5EF4-FFF2-40B4-BE49-F238E27FC236}">
              <a16:creationId xmlns:a16="http://schemas.microsoft.com/office/drawing/2014/main" id="{C7A886D9-A7D5-4654-9327-656389C7B1C7}"/>
            </a:ext>
          </a:extLst>
        </xdr:cNvPr>
        <xdr:cNvSpPr>
          <a:spLocks noChangeArrowheads="1"/>
        </xdr:cNvSpPr>
      </xdr:nvSpPr>
      <xdr:spPr bwMode="auto">
        <a:xfrm>
          <a:off x="4838700" y="36947475"/>
          <a:ext cx="1390650" cy="95250"/>
        </a:xfrm>
        <a:prstGeom prst="rightArrow">
          <a:avLst>
            <a:gd name="adj1" fmla="val 50000"/>
            <a:gd name="adj2" fmla="val 36500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30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1BC28-500D-4A73-805B-D4622E588A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66AB0-8055-47AE-8B25-7B57B80352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:AM344"/>
  <sheetViews>
    <sheetView showGridLines="0" tabSelected="1" topLeftCell="B135" workbookViewId="0">
      <selection activeCell="S150" sqref="S150"/>
    </sheetView>
  </sheetViews>
  <sheetFormatPr defaultColWidth="12" defaultRowHeight="11.25" x14ac:dyDescent="0.2"/>
  <cols>
    <col min="1" max="1" width="4.5" style="3" customWidth="1"/>
    <col min="2" max="2" width="3.5" style="3" bestFit="1" customWidth="1"/>
    <col min="3" max="3" width="3.1640625" style="3" customWidth="1"/>
    <col min="4" max="4" width="3.1640625" style="3" bestFit="1" customWidth="1"/>
    <col min="5" max="5" width="54.83203125" style="3" customWidth="1"/>
    <col min="6" max="6" width="14.1640625" style="3" customWidth="1"/>
    <col min="7" max="7" width="13.1640625" style="3" customWidth="1"/>
    <col min="8" max="8" width="14.1640625" style="3" customWidth="1"/>
    <col min="9" max="9" width="19.5" style="3" customWidth="1"/>
    <col min="10" max="10" width="17.1640625" style="3" customWidth="1"/>
    <col min="11" max="11" width="12.6640625" style="3" customWidth="1"/>
    <col min="12" max="12" width="13.33203125" style="3" customWidth="1"/>
    <col min="13" max="14" width="11.33203125" style="3" customWidth="1"/>
    <col min="15" max="15" width="12.33203125" style="3" customWidth="1"/>
    <col min="16" max="16" width="12" style="3" customWidth="1"/>
    <col min="17" max="17" width="12.33203125" style="3" customWidth="1"/>
    <col min="18" max="19" width="12" style="3" customWidth="1"/>
    <col min="20" max="21" width="11.5" style="3" bestFit="1" customWidth="1"/>
    <col min="22" max="22" width="13.33203125" style="3" customWidth="1"/>
    <col min="23" max="23" width="11.83203125" style="3" customWidth="1"/>
    <col min="24" max="24" width="12" style="3" customWidth="1"/>
    <col min="25" max="25" width="11.5" style="3" bestFit="1" customWidth="1"/>
    <col min="26" max="26" width="11.5" style="3" customWidth="1"/>
    <col min="27" max="27" width="17" style="3" customWidth="1"/>
    <col min="28" max="36" width="12" style="3" customWidth="1"/>
    <col min="37" max="37" width="16.6640625" style="3" customWidth="1"/>
    <col min="38" max="16384" width="12" style="3"/>
  </cols>
  <sheetData>
    <row r="1" spans="1:38" ht="27" customHeight="1" x14ac:dyDescent="0.2">
      <c r="A1" s="2"/>
      <c r="B1" s="2"/>
      <c r="C1" s="2"/>
      <c r="D1" s="2"/>
      <c r="E1" s="56" t="s">
        <v>160</v>
      </c>
      <c r="F1" s="57"/>
      <c r="G1" s="57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">
      <c r="A2" s="2"/>
      <c r="B2" s="2"/>
      <c r="C2" s="2"/>
      <c r="D2" s="2"/>
      <c r="E2" s="11"/>
      <c r="F2" s="5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">
      <c r="A3" s="2"/>
      <c r="B3" s="2"/>
      <c r="C3" s="2"/>
      <c r="D3" s="2"/>
      <c r="E3" s="67" t="s">
        <v>100</v>
      </c>
      <c r="F3" s="72" t="s">
        <v>47</v>
      </c>
      <c r="G3" s="14"/>
      <c r="H3" s="13" t="s">
        <v>105</v>
      </c>
      <c r="I3" s="24" t="s">
        <v>106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">
      <c r="A4" s="2"/>
      <c r="B4" s="2"/>
      <c r="C4" s="2"/>
      <c r="D4" s="2"/>
      <c r="E4" s="60" t="s">
        <v>101</v>
      </c>
      <c r="F4" s="62">
        <v>158366.51870640452</v>
      </c>
      <c r="G4" s="196" t="s">
        <v>107</v>
      </c>
      <c r="H4" s="196"/>
      <c r="I4" s="113">
        <v>141.93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">
      <c r="A5" s="2"/>
      <c r="B5" s="2"/>
      <c r="C5" s="2"/>
      <c r="D5" s="2"/>
      <c r="E5" s="7" t="s">
        <v>103</v>
      </c>
      <c r="F5" s="59">
        <f>GrossDesignHydrogenCapacity*HydrogenHHV</f>
        <v>22476959.999999993</v>
      </c>
      <c r="G5" s="196" t="s">
        <v>102</v>
      </c>
      <c r="H5" s="196"/>
      <c r="I5" s="113">
        <v>119.98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">
      <c r="A6" s="2"/>
      <c r="B6" s="2"/>
      <c r="C6" s="2"/>
      <c r="D6" s="2"/>
      <c r="E6" s="7" t="s">
        <v>111</v>
      </c>
      <c r="F6" s="64">
        <f>HydrogenEnergy/24/3600</f>
        <v>260.14999999999992</v>
      </c>
      <c r="G6" s="196" t="s">
        <v>108</v>
      </c>
      <c r="H6" s="196"/>
      <c r="I6" s="144">
        <v>19.349843720930231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">
      <c r="A7" s="2"/>
      <c r="B7" s="2"/>
      <c r="C7" s="2"/>
      <c r="D7" s="2"/>
      <c r="E7" s="7" t="s">
        <v>113</v>
      </c>
      <c r="F7" s="64">
        <f>GrossDesignHydrogenCapacity/24/1000</f>
        <v>6.5986049461001883</v>
      </c>
      <c r="G7" s="113"/>
      <c r="H7" s="113"/>
      <c r="I7" s="14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">
      <c r="A8" s="2"/>
      <c r="B8" s="2"/>
      <c r="C8" s="2"/>
      <c r="D8" s="2"/>
      <c r="E8" s="60" t="s">
        <v>104</v>
      </c>
      <c r="F8" s="61">
        <v>60.5</v>
      </c>
      <c r="G8" s="15"/>
      <c r="H8" s="5"/>
      <c r="I8" s="1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">
      <c r="A9" s="2"/>
      <c r="B9" s="2"/>
      <c r="C9" s="2"/>
      <c r="D9" s="2"/>
      <c r="E9" s="7" t="s">
        <v>115</v>
      </c>
      <c r="F9" s="64">
        <f>DesignHydrogenProductionRateMW/(OverallProductionEfficiency/100)</f>
        <v>429.99999999999989</v>
      </c>
      <c r="G9" s="6"/>
      <c r="H9" s="6"/>
      <c r="I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">
      <c r="A10" s="2"/>
      <c r="B10" s="2"/>
      <c r="C10" s="2"/>
      <c r="D10" s="2"/>
      <c r="E10" s="7" t="s">
        <v>112</v>
      </c>
      <c r="F10" s="64">
        <f>FeedstockInput/Feedstock*3600/1000</f>
        <v>80.000646120235459</v>
      </c>
      <c r="G10" s="6"/>
      <c r="H10" s="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">
      <c r="A11" s="2"/>
      <c r="B11" s="2"/>
      <c r="C11" s="2"/>
      <c r="D11" s="2"/>
      <c r="E11" s="60" t="s">
        <v>17</v>
      </c>
      <c r="F11" s="147">
        <v>91.324200913242009</v>
      </c>
      <c r="G11" s="5"/>
      <c r="H11" s="5"/>
      <c r="I11" s="1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">
      <c r="A12" s="2"/>
      <c r="B12" s="2"/>
      <c r="C12" s="2"/>
      <c r="D12" s="2"/>
      <c r="E12" s="7" t="s">
        <v>7</v>
      </c>
      <c r="F12" s="8">
        <f>8760*CapacityFactor/100</f>
        <v>8000</v>
      </c>
      <c r="G12" s="6"/>
      <c r="H12" s="6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">
      <c r="A13" s="2"/>
      <c r="B13" s="2"/>
      <c r="C13" s="2"/>
      <c r="D13" s="2"/>
      <c r="E13" s="7" t="s">
        <v>110</v>
      </c>
      <c r="F13" s="8">
        <f>FeedstockSupply*AnnualHours</f>
        <v>640005.16896188364</v>
      </c>
      <c r="G13" s="8">
        <f>F13/(F12/24)</f>
        <v>1920.0155068856511</v>
      </c>
      <c r="H13" s="6" t="s">
        <v>168</v>
      </c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">
      <c r="A14" s="2"/>
      <c r="B14" s="2"/>
      <c r="C14" s="2"/>
      <c r="D14" s="2"/>
      <c r="E14" s="7" t="s">
        <v>123</v>
      </c>
      <c r="F14" s="69">
        <f>AnnualFeedstockSupply*1000*Feedstock/1000000000</f>
        <v>12.383999999999997</v>
      </c>
      <c r="G14" s="6"/>
      <c r="H14" s="6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">
      <c r="A15" s="2"/>
      <c r="B15" s="2"/>
      <c r="C15" s="2"/>
      <c r="D15" s="2"/>
      <c r="E15" s="7" t="s">
        <v>109</v>
      </c>
      <c r="F15" s="8">
        <f>DesignHydrogenProductionRateMg*AnnualHours</f>
        <v>52788.839568801508</v>
      </c>
      <c r="G15" s="171">
        <f>F4/(101325*2/8314/298/35.31)/1000000</f>
        <v>68.366093349254498</v>
      </c>
      <c r="H15" s="6" t="s">
        <v>169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">
      <c r="A16" s="2"/>
      <c r="B16" s="2"/>
      <c r="C16" s="2"/>
      <c r="D16" s="2"/>
      <c r="E16" s="7" t="s">
        <v>114</v>
      </c>
      <c r="F16" s="8">
        <f>AnnualHydrogenProductionMg*1000</f>
        <v>52788839.568801507</v>
      </c>
      <c r="G16" s="197" t="s">
        <v>116</v>
      </c>
      <c r="H16" s="197"/>
      <c r="I16" s="143">
        <f>F16/F13</f>
        <v>82.481895660979291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">
      <c r="A17" s="2"/>
      <c r="B17" s="2"/>
      <c r="C17" s="2"/>
      <c r="D17" s="2"/>
      <c r="E17" s="7" t="s">
        <v>118</v>
      </c>
      <c r="F17" s="8">
        <f>AnnualHydrogenProductionMg*1000*HydrogenHHV/1000</f>
        <v>7492319.9999999981</v>
      </c>
      <c r="G17" s="6"/>
      <c r="H17" s="6"/>
      <c r="I17" s="14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">
      <c r="A18" s="2"/>
      <c r="B18" s="2"/>
      <c r="C18" s="2"/>
      <c r="D18" s="2"/>
      <c r="E18" s="2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">
      <c r="A19" s="2"/>
      <c r="B19" s="2"/>
      <c r="C19" s="2"/>
      <c r="D19" s="2"/>
      <c r="E19" s="67" t="s">
        <v>117</v>
      </c>
      <c r="F19" s="90" t="s">
        <v>47</v>
      </c>
      <c r="G19" s="54"/>
      <c r="H19" s="4"/>
      <c r="I19" s="1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">
      <c r="A20" s="2"/>
      <c r="B20" s="2"/>
      <c r="C20" s="2"/>
      <c r="D20" s="2"/>
      <c r="E20" s="60"/>
      <c r="F20" s="98"/>
      <c r="G20" s="60"/>
      <c r="H20" s="6"/>
      <c r="I20" s="8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">
      <c r="A21" s="2"/>
      <c r="B21" s="2"/>
      <c r="C21" s="2"/>
      <c r="D21" s="2"/>
      <c r="E21" s="2"/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4" customHeight="1" x14ac:dyDescent="0.2">
      <c r="A22" s="2"/>
      <c r="B22" s="2"/>
      <c r="C22" s="2"/>
      <c r="D22" s="2"/>
      <c r="E22" s="63" t="s">
        <v>43</v>
      </c>
      <c r="F22" s="13"/>
      <c r="G22" s="4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">
      <c r="A23" s="2"/>
      <c r="B23" s="2"/>
      <c r="C23" s="2"/>
      <c r="D23" s="2"/>
      <c r="E23" s="67" t="s">
        <v>25</v>
      </c>
      <c r="F23" s="79"/>
      <c r="G23" s="14"/>
      <c r="H23" s="4"/>
      <c r="I23" s="79" t="s">
        <v>119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">
      <c r="A24" s="2"/>
      <c r="B24" s="2"/>
      <c r="C24" s="2"/>
      <c r="D24" s="2"/>
      <c r="E24" s="60" t="s">
        <v>161</v>
      </c>
      <c r="F24" s="146">
        <v>206500000</v>
      </c>
      <c r="G24" s="15"/>
      <c r="H24" s="6"/>
      <c r="I24" s="145">
        <f>CapitalCost/AnnualHydrogenProductionKg</f>
        <v>3.911811695175861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">
      <c r="A25" s="2"/>
      <c r="B25" s="2"/>
      <c r="C25" s="2"/>
      <c r="D25" s="2"/>
      <c r="E25" s="60" t="s">
        <v>162</v>
      </c>
      <c r="F25" s="146">
        <f>CapitalCost/GrossDesignHydrogenCapacity</f>
        <v>1303.9372317252871</v>
      </c>
      <c r="G25" s="15"/>
      <c r="H25" s="6"/>
      <c r="I25" s="14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">
      <c r="A26" s="2"/>
      <c r="B26" s="2"/>
      <c r="C26" s="2"/>
      <c r="D26" s="2"/>
      <c r="E26" s="2"/>
      <c r="F26" s="74"/>
      <c r="G26" s="7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">
      <c r="A27" s="2"/>
      <c r="B27" s="2"/>
      <c r="C27" s="2"/>
      <c r="D27" s="2"/>
      <c r="E27" s="67" t="s">
        <v>26</v>
      </c>
      <c r="F27" s="76" t="s">
        <v>47</v>
      </c>
      <c r="G27" s="4"/>
      <c r="H27" s="4"/>
      <c r="I27" s="24" t="s">
        <v>121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">
      <c r="A28" s="2"/>
      <c r="B28" s="2"/>
      <c r="C28" s="2"/>
      <c r="D28" s="2"/>
      <c r="E28" s="60" t="s">
        <v>120</v>
      </c>
      <c r="F28" s="148">
        <v>38.700000000000003</v>
      </c>
      <c r="G28" s="5"/>
      <c r="H28" s="6"/>
      <c r="I28" s="141">
        <f>F28/I6</f>
        <v>2.0000161530058871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">
      <c r="A29" s="2"/>
      <c r="B29" s="2"/>
      <c r="C29" s="2"/>
      <c r="D29" s="2"/>
      <c r="E29" s="7" t="s">
        <v>122</v>
      </c>
      <c r="F29" s="25">
        <f>FeedstockCost*AnnualFeedstockSupply</f>
        <v>24768200.038824897</v>
      </c>
      <c r="G29" s="77"/>
      <c r="H29" s="6"/>
      <c r="I29" s="1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">
      <c r="A30" s="2"/>
      <c r="B30" s="2"/>
      <c r="C30" s="2"/>
      <c r="D30" s="2"/>
      <c r="E30" s="7" t="s">
        <v>137</v>
      </c>
      <c r="F30" s="206">
        <v>4</v>
      </c>
      <c r="G30" s="77"/>
      <c r="H30" s="6"/>
      <c r="I30" s="1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">
      <c r="A31" s="2"/>
      <c r="B31" s="2"/>
      <c r="C31" s="2"/>
      <c r="D31" s="2"/>
      <c r="E31" s="7" t="s">
        <v>138</v>
      </c>
      <c r="F31" s="25">
        <f>CapitalCost*OperatingExpensesRate/100</f>
        <v>8260000</v>
      </c>
      <c r="G31" s="77"/>
      <c r="H31" s="6"/>
      <c r="I31" s="16"/>
      <c r="J31" s="9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">
      <c r="A32" s="2"/>
      <c r="B32" s="2"/>
      <c r="C32" s="2"/>
      <c r="D32" s="2"/>
      <c r="E32" s="7" t="s">
        <v>41</v>
      </c>
      <c r="F32" s="70">
        <f>AnnualFeedstockCost+OperatingExpenses</f>
        <v>33028200.038824897</v>
      </c>
      <c r="G32" s="77"/>
      <c r="H32" s="6"/>
      <c r="I32" s="1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">
      <c r="A33" s="2"/>
      <c r="B33" s="2"/>
      <c r="C33" s="2"/>
      <c r="D33" s="2"/>
      <c r="E33" s="66"/>
      <c r="F33" s="78"/>
      <c r="G33" s="75"/>
      <c r="H33" s="1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">
      <c r="A34" s="2"/>
      <c r="B34" s="2"/>
      <c r="C34" s="2"/>
      <c r="D34" s="2"/>
      <c r="E34" s="67" t="s">
        <v>125</v>
      </c>
      <c r="F34" s="76" t="s">
        <v>42</v>
      </c>
      <c r="G34" s="14" t="s">
        <v>79</v>
      </c>
      <c r="H34" s="4"/>
      <c r="I34" s="1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">
      <c r="A35" s="2"/>
      <c r="B35" s="2"/>
      <c r="C35" s="2"/>
      <c r="D35" s="2"/>
      <c r="E35" s="60" t="s">
        <v>78</v>
      </c>
      <c r="F35" s="146">
        <v>2</v>
      </c>
      <c r="G35" s="6"/>
      <c r="H35" s="6"/>
      <c r="I35" s="8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">
      <c r="A36" s="2"/>
      <c r="B36" s="2"/>
      <c r="C36" s="2"/>
      <c r="D36" s="2"/>
      <c r="E36" s="60" t="s">
        <v>77</v>
      </c>
      <c r="F36" s="146">
        <v>2</v>
      </c>
      <c r="G36" s="156">
        <f>F65</f>
        <v>15</v>
      </c>
      <c r="H36" s="21"/>
      <c r="I36" s="8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">
      <c r="A37" s="2"/>
      <c r="B37" s="2"/>
      <c r="C37" s="2"/>
      <c r="D37" s="2"/>
      <c r="E37" s="60" t="s">
        <v>45</v>
      </c>
      <c r="F37" s="146">
        <v>2</v>
      </c>
      <c r="G37" s="6"/>
      <c r="H37" s="6"/>
      <c r="I37" s="8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">
      <c r="A38" s="2"/>
      <c r="B38" s="2"/>
      <c r="C38" s="2"/>
      <c r="D38" s="2"/>
      <c r="E38" s="60" t="s">
        <v>44</v>
      </c>
      <c r="F38" s="146">
        <v>2</v>
      </c>
      <c r="G38" s="6"/>
      <c r="H38" s="6"/>
      <c r="I38" s="8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">
      <c r="A39" s="2"/>
      <c r="B39" s="2"/>
      <c r="C39" s="2"/>
      <c r="D39" s="2"/>
      <c r="E39" s="60" t="s">
        <v>124</v>
      </c>
      <c r="F39" s="146">
        <v>2</v>
      </c>
      <c r="G39" s="6"/>
      <c r="H39" s="6"/>
      <c r="I39" s="8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">
      <c r="A40" s="2"/>
      <c r="B40" s="2"/>
      <c r="C40" s="2"/>
      <c r="D40" s="2"/>
      <c r="E40" s="7" t="s">
        <v>6</v>
      </c>
      <c r="F40" s="70">
        <f>ElectricalEnergy+IncentivePayments+Capacity+Heat+Residues</f>
        <v>10</v>
      </c>
      <c r="G40" s="6"/>
      <c r="H40" s="6"/>
      <c r="I40" s="8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">
      <c r="A41" s="2"/>
      <c r="B41" s="2"/>
      <c r="C41" s="2"/>
      <c r="D41" s="2"/>
      <c r="E41" s="11"/>
      <c r="F41" s="78"/>
      <c r="G41" s="75"/>
      <c r="H41" s="1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">
      <c r="A42" s="2"/>
      <c r="B42" s="2"/>
      <c r="C42" s="2"/>
      <c r="D42" s="2"/>
      <c r="E42" s="67" t="s">
        <v>66</v>
      </c>
      <c r="F42" s="79" t="s">
        <v>47</v>
      </c>
      <c r="G42" s="13"/>
      <c r="H42" s="13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">
      <c r="A43" s="2"/>
      <c r="B43" s="2"/>
      <c r="C43" s="2"/>
      <c r="D43" s="2"/>
      <c r="E43" s="60" t="s">
        <v>0</v>
      </c>
      <c r="F43" s="80">
        <v>34</v>
      </c>
      <c r="G43" s="5"/>
      <c r="H43" s="5"/>
      <c r="I43" s="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">
      <c r="A44" s="2"/>
      <c r="B44" s="2"/>
      <c r="C44" s="2"/>
      <c r="D44" s="2"/>
      <c r="E44" s="60" t="s">
        <v>1</v>
      </c>
      <c r="F44" s="80">
        <v>9.3000000000000007</v>
      </c>
      <c r="G44" s="5"/>
      <c r="H44" s="5"/>
      <c r="I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">
      <c r="A45" s="2"/>
      <c r="B45" s="2"/>
      <c r="C45" s="2"/>
      <c r="D45" s="2"/>
      <c r="E45" s="60" t="s">
        <v>140</v>
      </c>
      <c r="F45" s="81">
        <v>0.09</v>
      </c>
      <c r="G45" s="5"/>
      <c r="H45" s="5"/>
      <c r="I45" s="5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">
      <c r="A46" s="2"/>
      <c r="B46" s="2"/>
      <c r="C46" s="2"/>
      <c r="D46" s="2"/>
      <c r="E46" s="60" t="s">
        <v>73</v>
      </c>
      <c r="F46" s="99" t="s">
        <v>40</v>
      </c>
      <c r="G46" s="5"/>
      <c r="H46" s="5"/>
      <c r="I46" s="5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">
      <c r="A47" s="2"/>
      <c r="B47" s="2"/>
      <c r="C47" s="2"/>
      <c r="D47" s="2"/>
      <c r="E47" s="7" t="s">
        <v>2</v>
      </c>
      <c r="F47" s="10">
        <f>StateTaxRate+FederalTaxRate*(1-StateTaxRate/100)</f>
        <v>40.138000000000005</v>
      </c>
      <c r="G47" s="6"/>
      <c r="H47" s="6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">
      <c r="A48" s="2"/>
      <c r="B48" s="2"/>
      <c r="C48" s="2"/>
      <c r="D48" s="2"/>
      <c r="E48" s="2"/>
      <c r="F48" s="8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">
      <c r="A49" s="2"/>
      <c r="B49" s="2"/>
      <c r="C49" s="2"/>
      <c r="D49" s="2"/>
      <c r="E49" s="67" t="s">
        <v>18</v>
      </c>
      <c r="F49" s="88" t="s">
        <v>48</v>
      </c>
      <c r="G49" s="88"/>
      <c r="H49" s="83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">
      <c r="A50" s="2"/>
      <c r="B50" s="2"/>
      <c r="C50" s="2"/>
      <c r="D50" s="2"/>
      <c r="E50" s="60" t="s">
        <v>51</v>
      </c>
      <c r="F50" s="80">
        <v>2.1</v>
      </c>
      <c r="G50" s="5"/>
      <c r="H50" s="5"/>
      <c r="I50" s="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">
      <c r="A51" s="2"/>
      <c r="B51" s="2"/>
      <c r="C51" s="2"/>
      <c r="D51" s="2"/>
      <c r="E51" s="60" t="s">
        <v>52</v>
      </c>
      <c r="F51" s="80">
        <v>2.1</v>
      </c>
      <c r="G51" s="5"/>
      <c r="H51" s="5"/>
      <c r="I51" s="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">
      <c r="A52" s="2"/>
      <c r="B52" s="2"/>
      <c r="C52" s="2"/>
      <c r="D52" s="2"/>
      <c r="E52" s="60" t="s">
        <v>67</v>
      </c>
      <c r="F52" s="80">
        <v>2.1</v>
      </c>
      <c r="G52" s="5"/>
      <c r="H52" s="5"/>
      <c r="I52" s="5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">
      <c r="A53" s="2"/>
      <c r="B53" s="2"/>
      <c r="C53" s="2"/>
      <c r="D53" s="2"/>
      <c r="E53" s="60" t="s">
        <v>75</v>
      </c>
      <c r="F53" s="80">
        <v>2.1</v>
      </c>
      <c r="G53" s="149"/>
      <c r="H53" s="5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">
      <c r="A54" s="2"/>
      <c r="B54" s="2"/>
      <c r="C54" s="2"/>
      <c r="D54" s="2"/>
      <c r="E54" s="60" t="s">
        <v>70</v>
      </c>
      <c r="F54" s="80">
        <v>2.1</v>
      </c>
      <c r="G54" s="5"/>
      <c r="H54" s="5"/>
      <c r="I54" s="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">
      <c r="A55" s="2"/>
      <c r="B55" s="2"/>
      <c r="C55" s="2"/>
      <c r="D55" s="2"/>
      <c r="E55" s="60" t="s">
        <v>76</v>
      </c>
      <c r="F55" s="80">
        <v>2.1</v>
      </c>
      <c r="G55" s="5"/>
      <c r="H55" s="5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">
      <c r="A56" s="2"/>
      <c r="B56" s="2"/>
      <c r="C56" s="2"/>
      <c r="D56" s="2"/>
      <c r="E56" s="60" t="s">
        <v>68</v>
      </c>
      <c r="F56" s="80">
        <v>2.1</v>
      </c>
      <c r="G56" s="5"/>
      <c r="H56" s="5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">
      <c r="A57" s="2"/>
      <c r="B57" s="2"/>
      <c r="C57" s="2"/>
      <c r="D57" s="2"/>
      <c r="E57" s="60" t="s">
        <v>126</v>
      </c>
      <c r="F57" s="80">
        <v>2.1</v>
      </c>
      <c r="G57" s="5"/>
      <c r="H57" s="5"/>
      <c r="I57" s="5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">
      <c r="A58" s="2"/>
      <c r="B58" s="2"/>
      <c r="C58" s="2"/>
      <c r="D58" s="2"/>
      <c r="E58" s="60" t="s">
        <v>69</v>
      </c>
      <c r="F58" s="80">
        <v>2.1</v>
      </c>
      <c r="G58" s="5"/>
      <c r="H58" s="5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">
      <c r="A60" s="2"/>
      <c r="B60" s="2"/>
      <c r="C60" s="2"/>
      <c r="D60" s="2"/>
      <c r="E60" s="67" t="s">
        <v>19</v>
      </c>
      <c r="F60" s="88" t="s">
        <v>47</v>
      </c>
      <c r="G60" s="83"/>
      <c r="H60" s="83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">
      <c r="A61" s="2"/>
      <c r="B61" s="2"/>
      <c r="C61" s="2"/>
      <c r="D61" s="2"/>
      <c r="E61" s="60" t="s">
        <v>3</v>
      </c>
      <c r="F61" s="80">
        <v>90</v>
      </c>
      <c r="G61" s="5"/>
      <c r="H61" s="5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">
      <c r="A62" s="2"/>
      <c r="B62" s="2"/>
      <c r="C62" s="2"/>
      <c r="D62" s="2"/>
      <c r="E62" s="60" t="s">
        <v>81</v>
      </c>
      <c r="F62" s="80">
        <v>5</v>
      </c>
      <c r="G62" s="5"/>
      <c r="H62" s="5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">
      <c r="A63" s="2"/>
      <c r="B63" s="2"/>
      <c r="C63" s="2"/>
      <c r="D63" s="2"/>
      <c r="E63" s="60" t="s">
        <v>49</v>
      </c>
      <c r="F63" s="71" t="s">
        <v>40</v>
      </c>
      <c r="G63" s="5"/>
      <c r="H63" s="5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">
      <c r="A64" s="2"/>
      <c r="B64" s="2"/>
      <c r="C64" s="2"/>
      <c r="D64" s="2"/>
      <c r="E64" s="60" t="s">
        <v>58</v>
      </c>
      <c r="F64" s="98">
        <v>15</v>
      </c>
      <c r="G64" s="5"/>
      <c r="H64" s="5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">
      <c r="A65" s="2"/>
      <c r="B65" s="2"/>
      <c r="C65" s="2"/>
      <c r="D65" s="2"/>
      <c r="E65" s="60" t="s">
        <v>22</v>
      </c>
      <c r="F65" s="85">
        <v>15</v>
      </c>
      <c r="G65" s="205" t="str">
        <f>IF(F65&lt;=30,"  30 years or fewer","  Enter 30 years or fewer!")</f>
        <v xml:space="preserve">  30 years or fewer</v>
      </c>
      <c r="H65" s="205"/>
      <c r="I65" s="20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2">
      <c r="A66" s="2"/>
      <c r="B66" s="2"/>
      <c r="C66" s="2"/>
      <c r="D66" s="2"/>
      <c r="E66" s="7" t="s">
        <v>80</v>
      </c>
      <c r="F66" s="73">
        <f>CapitalCost</f>
        <v>206500000</v>
      </c>
      <c r="G66" s="87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2">
      <c r="A67" s="2"/>
      <c r="B67" s="2"/>
      <c r="C67" s="2"/>
      <c r="D67" s="2"/>
      <c r="E67" s="7" t="s">
        <v>4</v>
      </c>
      <c r="F67" s="84">
        <f>100-DebtRatio</f>
        <v>10</v>
      </c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2">
      <c r="A68" s="2"/>
      <c r="B68" s="2"/>
      <c r="C68" s="2"/>
      <c r="D68" s="2"/>
      <c r="E68" s="7" t="s">
        <v>150</v>
      </c>
      <c r="F68" s="84">
        <f>DebtRatio/100*InterestRateOnDebt+EquityRatio/100*MARR</f>
        <v>6</v>
      </c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2">
      <c r="A69" s="2"/>
      <c r="B69" s="2"/>
      <c r="C69" s="2"/>
      <c r="D69" s="2"/>
      <c r="E69" s="7" t="s">
        <v>151</v>
      </c>
      <c r="F69" s="150">
        <f>((WeightedCostOfMoney/100)*(1+WeightedCostOfMoney/100)^EconomicLife)/((1+WeightedCostOfMoney/100)^EconomicLife-1)</f>
        <v>0.10296276395531262</v>
      </c>
      <c r="G69" s="11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2">
      <c r="A70" s="2"/>
      <c r="B70" s="2"/>
      <c r="C70" s="2"/>
      <c r="D70" s="2"/>
      <c r="E70" s="7" t="s">
        <v>152</v>
      </c>
      <c r="F70" s="84">
        <f>((1+WeightedCostOfMoney/100)/(1+GeneralInflation/100)-1)*100</f>
        <v>3.8197845249755336</v>
      </c>
      <c r="G70" s="207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2">
      <c r="A71" s="2"/>
      <c r="B71" s="2"/>
      <c r="C71" s="2"/>
      <c r="D71" s="2"/>
      <c r="E71" s="7" t="s">
        <v>153</v>
      </c>
      <c r="F71" s="150">
        <f>((RealCostOfMoney/100)*(1+RealCostOfMoney/100)^EconomicLife)/((1+RealCostOfMoney/100)^EconomicLife-1)</f>
        <v>8.8811407667396244E-2</v>
      </c>
      <c r="G71" s="11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2">
      <c r="A72" s="2"/>
      <c r="B72" s="2"/>
      <c r="C72" s="2"/>
      <c r="D72" s="2"/>
      <c r="E72" s="95" t="s">
        <v>55</v>
      </c>
      <c r="F72" s="96"/>
      <c r="G72" s="184"/>
      <c r="H72" s="184"/>
      <c r="I72" s="18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2">
      <c r="A73" s="2"/>
      <c r="B73" s="2"/>
      <c r="C73" s="2"/>
      <c r="D73" s="2"/>
      <c r="E73" s="7" t="s">
        <v>61</v>
      </c>
      <c r="F73" s="8">
        <f>AmountOfCapitalFinancing*DebtRatio/100</f>
        <v>185850000</v>
      </c>
      <c r="G73" s="185" t="str">
        <f>IF((F79+F73)&lt;&gt;F66,"  Error: Does not sum to capital cost","  No error on sum")</f>
        <v xml:space="preserve">  No error on sum</v>
      </c>
      <c r="H73" s="185"/>
      <c r="I73" s="18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2">
      <c r="A74" s="2"/>
      <c r="B74" s="2"/>
      <c r="C74" s="2"/>
      <c r="D74" s="2"/>
      <c r="E74" s="7" t="s">
        <v>5</v>
      </c>
      <c r="F74" s="86">
        <f>InterestRateOnDebt/100*(1+InterestRateOnDebt/100)^EconomicLife/((1+InterestRateOnDebt/100)^EconomicLife-1)</f>
        <v>9.6342287609244348E-2</v>
      </c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2">
      <c r="A75" s="2"/>
      <c r="B75" s="2"/>
      <c r="C75" s="2"/>
      <c r="D75" s="2"/>
      <c r="E75" s="7" t="s">
        <v>62</v>
      </c>
      <c r="F75" s="8">
        <f>TotalDebtPrincipal*CapitalRecoveryFactorDebt</f>
        <v>17905214.15217806</v>
      </c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2">
      <c r="A76" s="2"/>
      <c r="B76" s="2"/>
      <c r="C76" s="2"/>
      <c r="D76" s="2"/>
      <c r="E76" s="7" t="s">
        <v>92</v>
      </c>
      <c r="F76" s="8">
        <f>AnnualDebtRepayment*EconomicLife</f>
        <v>268578212.28267092</v>
      </c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2">
      <c r="A77" s="2"/>
      <c r="B77" s="2"/>
      <c r="C77" s="2"/>
      <c r="D77" s="2"/>
      <c r="E77" s="7" t="s">
        <v>60</v>
      </c>
      <c r="F77" s="8">
        <f>IF((OR(LEFT(OneYearDebtReserveRequired,1)="Y",LEFT(OneYearDebtReserveRequired,1)="y")),AnnualDebtRepayment,0)</f>
        <v>17905214.15217806</v>
      </c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2">
      <c r="A78" s="2"/>
      <c r="B78" s="2"/>
      <c r="C78" s="2"/>
      <c r="D78" s="2"/>
      <c r="E78" s="95" t="s">
        <v>56</v>
      </c>
      <c r="F78" s="96"/>
      <c r="G78" s="97"/>
      <c r="H78" s="97"/>
      <c r="I78" s="9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2">
      <c r="A79" s="2"/>
      <c r="B79" s="2"/>
      <c r="C79" s="2"/>
      <c r="D79" s="2"/>
      <c r="E79" s="7" t="s">
        <v>57</v>
      </c>
      <c r="F79" s="8">
        <f>AmountOfCapitalFinancing*EquityRatio/100</f>
        <v>20650000</v>
      </c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2">
      <c r="A80" s="2"/>
      <c r="B80" s="2"/>
      <c r="C80" s="2"/>
      <c r="D80" s="2"/>
      <c r="E80" s="7" t="s">
        <v>59</v>
      </c>
      <c r="F80" s="86">
        <f>MARR/100*(1+MARR/100)^EconomicLife/((1+MARR/100)^EconomicLife-1)</f>
        <v>0.1710170526463011</v>
      </c>
      <c r="G80" s="11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2">
      <c r="A81" s="2"/>
      <c r="B81" s="2"/>
      <c r="C81" s="2"/>
      <c r="D81" s="2"/>
      <c r="E81" s="7" t="s">
        <v>63</v>
      </c>
      <c r="F81" s="8">
        <f>TotalEquityPrincipal*CapitalRecoveryFactorEquity</f>
        <v>3531502.1371461176</v>
      </c>
      <c r="G81" s="208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2">
      <c r="A82" s="2"/>
      <c r="B82" s="2"/>
      <c r="C82" s="2"/>
      <c r="D82" s="2"/>
      <c r="E82" s="7" t="s">
        <v>134</v>
      </c>
      <c r="F82" s="8">
        <f>AnnualEquityRepayment*EconomicLife</f>
        <v>52972532.057191767</v>
      </c>
      <c r="G82" s="208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">
      <c r="A83" s="2"/>
      <c r="B83" s="2"/>
      <c r="C83" s="2"/>
      <c r="D83" s="2"/>
      <c r="E83" s="7" t="s">
        <v>170</v>
      </c>
      <c r="F83" s="84">
        <f>((1+MARR/100)/(1+GeneralInflation/100)-1)*100</f>
        <v>12.634671890303629</v>
      </c>
      <c r="G83" s="207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2">
      <c r="A84" s="2"/>
      <c r="B84" s="2"/>
      <c r="C84" s="2"/>
      <c r="D84" s="2"/>
      <c r="E84" s="7" t="s">
        <v>171</v>
      </c>
      <c r="F84" s="150">
        <f>((RealCostOfEquityConstant/100)*(1+RealCostOfEquityConstant/100)^EconomicLife)/((1+RealCostOfEquityConstant/100)^EconomicLife-1)</f>
        <v>0.15183146481647911</v>
      </c>
      <c r="G84" s="11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2">
      <c r="A85" s="2"/>
      <c r="B85" s="2"/>
      <c r="C85" s="2"/>
      <c r="D85" s="2"/>
      <c r="E85" s="95" t="s">
        <v>132</v>
      </c>
      <c r="F85" s="96"/>
      <c r="G85" s="97"/>
      <c r="H85" s="97"/>
      <c r="I85" s="9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2">
      <c r="A86" s="2"/>
      <c r="B86" s="2"/>
      <c r="C86" s="2"/>
      <c r="D86" s="2"/>
      <c r="E86" s="7" t="s">
        <v>133</v>
      </c>
      <c r="F86" s="8">
        <f>AnnualDebtRepayment+AnnualEquityRepayment</f>
        <v>21436716.289324179</v>
      </c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2">
      <c r="A87" s="2"/>
      <c r="B87" s="2"/>
      <c r="C87" s="2"/>
      <c r="D87" s="2"/>
      <c r="E87" s="7" t="s">
        <v>135</v>
      </c>
      <c r="F87" s="8">
        <f>TotalDebtRepayment+TotalEquityRepayment</f>
        <v>321550744.3398627</v>
      </c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2">
      <c r="A89" s="2"/>
      <c r="B89" s="2"/>
      <c r="C89" s="2"/>
      <c r="D89" s="2"/>
      <c r="E89" s="67" t="s">
        <v>46</v>
      </c>
      <c r="F89" s="93" t="s">
        <v>47</v>
      </c>
      <c r="G89" s="13"/>
      <c r="H89" s="14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2">
      <c r="A90" s="2"/>
      <c r="B90" s="2"/>
      <c r="C90" s="2"/>
      <c r="D90" s="2"/>
      <c r="E90" s="60" t="s">
        <v>64</v>
      </c>
      <c r="F90" s="71">
        <v>2</v>
      </c>
      <c r="G90" s="5"/>
      <c r="H90" s="5"/>
      <c r="I90" s="5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2">
      <c r="A91" s="2"/>
      <c r="B91" s="2"/>
      <c r="C91" s="2"/>
      <c r="D91" s="2"/>
      <c r="E91" s="7" t="s">
        <v>65</v>
      </c>
      <c r="F91" s="8">
        <f>DebtReserve*InterestRateOnDebtReserve/100</f>
        <v>358104.28304356121</v>
      </c>
      <c r="G91" s="6"/>
      <c r="H91" s="1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2">
      <c r="A93" s="2"/>
      <c r="B93" s="4"/>
      <c r="C93" s="4"/>
      <c r="D93" s="4"/>
      <c r="E93" s="67" t="s">
        <v>20</v>
      </c>
      <c r="F93" s="55"/>
      <c r="G93" s="127"/>
      <c r="H93" s="128"/>
      <c r="I93" s="55"/>
      <c r="J93" s="5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2"/>
    </row>
    <row r="94" spans="1:38" x14ac:dyDescent="0.2">
      <c r="A94" s="2"/>
      <c r="B94" s="192"/>
      <c r="C94" s="192"/>
      <c r="D94" s="192"/>
      <c r="E94" s="195" t="s">
        <v>93</v>
      </c>
      <c r="F94" s="195"/>
      <c r="G94" s="195"/>
      <c r="H94" s="26">
        <f>F66</f>
        <v>206500000</v>
      </c>
      <c r="I94" s="122"/>
      <c r="J94" s="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2"/>
    </row>
    <row r="95" spans="1:38" ht="26.25" customHeight="1" x14ac:dyDescent="0.2">
      <c r="A95" s="2"/>
      <c r="B95" s="193" t="s">
        <v>89</v>
      </c>
      <c r="C95" s="193"/>
      <c r="D95" s="193"/>
      <c r="E95" s="194"/>
      <c r="F95" s="194"/>
      <c r="G95" s="194"/>
      <c r="H95" s="194"/>
      <c r="I95" s="122"/>
      <c r="J95" s="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2"/>
    </row>
    <row r="96" spans="1:38" ht="18" customHeight="1" x14ac:dyDescent="0.2">
      <c r="A96" s="2"/>
      <c r="B96" s="186" t="s">
        <v>88</v>
      </c>
      <c r="C96" s="187"/>
      <c r="D96" s="187"/>
      <c r="E96" s="188" t="str">
        <f>IF(F65&gt;30,"Error: Economic life greater than 30 years, depreciation cannot be computed","")</f>
        <v/>
      </c>
      <c r="F96" s="188"/>
      <c r="G96" s="188"/>
      <c r="H96" s="188"/>
      <c r="I96" s="188"/>
      <c r="J96" s="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2"/>
    </row>
    <row r="97" spans="1:38" ht="18" customHeight="1" x14ac:dyDescent="0.2">
      <c r="A97" s="2"/>
      <c r="B97" s="186" t="s">
        <v>88</v>
      </c>
      <c r="C97" s="187"/>
      <c r="D97" s="187"/>
      <c r="E97" s="188" t="str">
        <f>IF(C98=1,IF(F65&lt;6,"Will not fully depreciate for economic life chosen! Enter life of 6 years or greater.",""),IF(C98=2,IF(F65&lt;11,"Will not fully depreciate for economic life chosen! Enter life of 11 years or greater",""),""))</f>
        <v/>
      </c>
      <c r="F97" s="188"/>
      <c r="G97" s="188"/>
      <c r="H97" s="188"/>
      <c r="I97" s="188"/>
      <c r="J97" s="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2"/>
    </row>
    <row r="98" spans="1:38" ht="18" customHeight="1" x14ac:dyDescent="0.2">
      <c r="A98" s="2"/>
      <c r="B98" s="4"/>
      <c r="C98" s="118">
        <v>3</v>
      </c>
      <c r="D98" s="204" t="s">
        <v>127</v>
      </c>
      <c r="E98" s="204"/>
      <c r="F98" s="12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2"/>
    </row>
    <row r="99" spans="1:38" ht="18" customHeight="1" x14ac:dyDescent="0.2">
      <c r="A99" s="2"/>
      <c r="B99" s="4"/>
      <c r="C99" s="119"/>
      <c r="D99" s="4"/>
      <c r="E99" s="17" t="s">
        <v>8</v>
      </c>
      <c r="F99" s="24"/>
      <c r="G99" s="24">
        <v>1</v>
      </c>
      <c r="H99" s="24">
        <v>2</v>
      </c>
      <c r="I99" s="24">
        <v>3</v>
      </c>
      <c r="J99" s="24">
        <v>4</v>
      </c>
      <c r="K99" s="24">
        <v>5</v>
      </c>
      <c r="L99" s="24">
        <v>6</v>
      </c>
      <c r="M99" s="24">
        <v>7</v>
      </c>
      <c r="N99" s="24">
        <v>8</v>
      </c>
      <c r="O99" s="24">
        <v>9</v>
      </c>
      <c r="P99" s="24">
        <v>10</v>
      </c>
      <c r="Q99" s="24">
        <v>11</v>
      </c>
      <c r="R99" s="24">
        <v>12</v>
      </c>
      <c r="S99" s="24">
        <v>13</v>
      </c>
      <c r="T99" s="24">
        <v>14</v>
      </c>
      <c r="U99" s="24">
        <v>15</v>
      </c>
      <c r="V99" s="24">
        <v>16</v>
      </c>
      <c r="W99" s="24">
        <v>17</v>
      </c>
      <c r="X99" s="24">
        <v>18</v>
      </c>
      <c r="Y99" s="24">
        <v>19</v>
      </c>
      <c r="Z99" s="24">
        <v>20</v>
      </c>
      <c r="AA99" s="24">
        <v>21</v>
      </c>
      <c r="AB99" s="24">
        <v>22</v>
      </c>
      <c r="AC99" s="24">
        <v>23</v>
      </c>
      <c r="AD99" s="24">
        <v>24</v>
      </c>
      <c r="AE99" s="24">
        <v>25</v>
      </c>
      <c r="AF99" s="24">
        <v>26</v>
      </c>
      <c r="AG99" s="24">
        <v>27</v>
      </c>
      <c r="AH99" s="24">
        <v>28</v>
      </c>
      <c r="AI99" s="24">
        <v>29</v>
      </c>
      <c r="AJ99" s="24">
        <v>30</v>
      </c>
      <c r="AK99" s="24" t="s">
        <v>6</v>
      </c>
      <c r="AL99" s="2"/>
    </row>
    <row r="100" spans="1:38" ht="18" customHeight="1" x14ac:dyDescent="0.2">
      <c r="A100" s="2"/>
      <c r="B100" s="189" t="s">
        <v>54</v>
      </c>
      <c r="C100" s="120">
        <v>1</v>
      </c>
      <c r="D100" s="4"/>
      <c r="E100" s="13" t="s">
        <v>83</v>
      </c>
      <c r="F100" s="123" t="str">
        <f>IF(AK100&lt;&gt;1,"Error:Sum&lt;&gt;1","")</f>
        <v/>
      </c>
      <c r="G100" s="117">
        <v>0.2</v>
      </c>
      <c r="H100" s="117">
        <v>0.32</v>
      </c>
      <c r="I100" s="117">
        <v>0.192</v>
      </c>
      <c r="J100" s="117">
        <v>0.1152</v>
      </c>
      <c r="K100" s="117">
        <v>0.1152</v>
      </c>
      <c r="L100" s="117">
        <v>5.7599999999999998E-2</v>
      </c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6">
        <f>SUM(G100:AJ100)</f>
        <v>0.99999999999999989</v>
      </c>
      <c r="AL100" s="2"/>
    </row>
    <row r="101" spans="1:38" ht="18" customHeight="1" x14ac:dyDescent="0.2">
      <c r="A101" s="2"/>
      <c r="B101" s="189"/>
      <c r="C101" s="120">
        <v>2</v>
      </c>
      <c r="D101" s="4"/>
      <c r="E101" s="13" t="s">
        <v>84</v>
      </c>
      <c r="F101" s="123" t="str">
        <f>IF(AK101&lt;&gt;1,"Error:Sum&lt;&gt;1","")</f>
        <v/>
      </c>
      <c r="G101" s="117">
        <v>0.1</v>
      </c>
      <c r="H101" s="117">
        <v>0.18</v>
      </c>
      <c r="I101" s="117">
        <v>0.14399999999999999</v>
      </c>
      <c r="J101" s="117">
        <v>0.1152</v>
      </c>
      <c r="K101" s="117">
        <v>9.2200000000000004E-2</v>
      </c>
      <c r="L101" s="117">
        <v>7.3700000000000002E-2</v>
      </c>
      <c r="M101" s="117">
        <v>6.5500000000000003E-2</v>
      </c>
      <c r="N101" s="117">
        <v>6.5500000000000003E-2</v>
      </c>
      <c r="O101" s="117">
        <v>6.5500000000000003E-2</v>
      </c>
      <c r="P101" s="117">
        <v>6.5500000000000003E-2</v>
      </c>
      <c r="Q101" s="117">
        <v>3.2899999999999999E-2</v>
      </c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6">
        <f>SUM(G101:AJ101)</f>
        <v>1</v>
      </c>
      <c r="AL101" s="2"/>
    </row>
    <row r="102" spans="1:38" ht="18" customHeight="1" x14ac:dyDescent="0.2">
      <c r="A102" s="2"/>
      <c r="B102" s="189"/>
      <c r="C102" s="120">
        <v>3</v>
      </c>
      <c r="D102" s="115">
        <f>F65</f>
        <v>15</v>
      </c>
      <c r="E102" s="13" t="s">
        <v>85</v>
      </c>
      <c r="F102" s="123" t="str">
        <f>IF(AK102&lt;&gt;1,"Error:Sum&lt;&gt;1","")</f>
        <v/>
      </c>
      <c r="G102" s="116">
        <f t="shared" ref="G102:AJ102" si="0">IF($D$102&lt;=30,(IF(G99&lt;=$D$102,1/$D$102,"")),"! &gt; 30 yrs")</f>
        <v>6.6666666666666666E-2</v>
      </c>
      <c r="H102" s="116">
        <f t="shared" si="0"/>
        <v>6.6666666666666666E-2</v>
      </c>
      <c r="I102" s="116">
        <f t="shared" si="0"/>
        <v>6.6666666666666666E-2</v>
      </c>
      <c r="J102" s="116">
        <f t="shared" si="0"/>
        <v>6.6666666666666666E-2</v>
      </c>
      <c r="K102" s="116">
        <f t="shared" si="0"/>
        <v>6.6666666666666666E-2</v>
      </c>
      <c r="L102" s="116">
        <f t="shared" si="0"/>
        <v>6.6666666666666666E-2</v>
      </c>
      <c r="M102" s="116">
        <f t="shared" si="0"/>
        <v>6.6666666666666666E-2</v>
      </c>
      <c r="N102" s="116">
        <f t="shared" si="0"/>
        <v>6.6666666666666666E-2</v>
      </c>
      <c r="O102" s="116">
        <f t="shared" si="0"/>
        <v>6.6666666666666666E-2</v>
      </c>
      <c r="P102" s="116">
        <f t="shared" si="0"/>
        <v>6.6666666666666666E-2</v>
      </c>
      <c r="Q102" s="116">
        <f t="shared" si="0"/>
        <v>6.6666666666666666E-2</v>
      </c>
      <c r="R102" s="116">
        <f t="shared" si="0"/>
        <v>6.6666666666666666E-2</v>
      </c>
      <c r="S102" s="116">
        <f t="shared" si="0"/>
        <v>6.6666666666666666E-2</v>
      </c>
      <c r="T102" s="116">
        <f t="shared" si="0"/>
        <v>6.6666666666666666E-2</v>
      </c>
      <c r="U102" s="116">
        <f t="shared" si="0"/>
        <v>6.6666666666666666E-2</v>
      </c>
      <c r="V102" s="116" t="str">
        <f t="shared" si="0"/>
        <v/>
      </c>
      <c r="W102" s="116" t="str">
        <f t="shared" si="0"/>
        <v/>
      </c>
      <c r="X102" s="116" t="str">
        <f t="shared" si="0"/>
        <v/>
      </c>
      <c r="Y102" s="116" t="str">
        <f t="shared" si="0"/>
        <v/>
      </c>
      <c r="Z102" s="116" t="str">
        <f t="shared" si="0"/>
        <v/>
      </c>
      <c r="AA102" s="116" t="str">
        <f t="shared" si="0"/>
        <v/>
      </c>
      <c r="AB102" s="116" t="str">
        <f t="shared" si="0"/>
        <v/>
      </c>
      <c r="AC102" s="116" t="str">
        <f t="shared" si="0"/>
        <v/>
      </c>
      <c r="AD102" s="116" t="str">
        <f t="shared" si="0"/>
        <v/>
      </c>
      <c r="AE102" s="116" t="str">
        <f t="shared" si="0"/>
        <v/>
      </c>
      <c r="AF102" s="116" t="str">
        <f t="shared" si="0"/>
        <v/>
      </c>
      <c r="AG102" s="116" t="str">
        <f t="shared" si="0"/>
        <v/>
      </c>
      <c r="AH102" s="116" t="str">
        <f t="shared" si="0"/>
        <v/>
      </c>
      <c r="AI102" s="116" t="str">
        <f t="shared" si="0"/>
        <v/>
      </c>
      <c r="AJ102" s="116" t="str">
        <f t="shared" si="0"/>
        <v/>
      </c>
      <c r="AK102" s="116">
        <f>SUM(G102:AJ102)</f>
        <v>0.99999999999999989</v>
      </c>
      <c r="AL102" s="2"/>
    </row>
    <row r="103" spans="1:38" ht="18" customHeight="1" x14ac:dyDescent="0.2">
      <c r="A103" s="2"/>
      <c r="B103" s="189"/>
      <c r="C103" s="120">
        <v>4</v>
      </c>
      <c r="D103" s="115"/>
      <c r="E103" s="13" t="s">
        <v>99</v>
      </c>
      <c r="F103" s="123"/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f>SUM(G103:AJ103)</f>
        <v>0</v>
      </c>
      <c r="AL103" s="2"/>
    </row>
    <row r="104" spans="1:38" ht="18" customHeight="1" x14ac:dyDescent="0.2">
      <c r="A104" s="2"/>
      <c r="B104" s="114"/>
      <c r="C104" s="4"/>
      <c r="D104" s="4"/>
      <c r="E104" s="13" t="s">
        <v>53</v>
      </c>
      <c r="F104" s="140" t="str">
        <f>IF(AK104&lt;&gt;1,"Sum&lt;&gt;1","")</f>
        <v/>
      </c>
      <c r="G104" s="116">
        <f t="shared" ref="G104:AJ104" si="1">IF($F$65&gt;30,"Error!",IF($C$98=1,G100,IF($C$98=2,G101,IF($C$98=3,G102,G103))))</f>
        <v>6.6666666666666666E-2</v>
      </c>
      <c r="H104" s="116">
        <f t="shared" si="1"/>
        <v>6.6666666666666666E-2</v>
      </c>
      <c r="I104" s="116">
        <f t="shared" si="1"/>
        <v>6.6666666666666666E-2</v>
      </c>
      <c r="J104" s="116">
        <f t="shared" si="1"/>
        <v>6.6666666666666666E-2</v>
      </c>
      <c r="K104" s="116">
        <f t="shared" si="1"/>
        <v>6.6666666666666666E-2</v>
      </c>
      <c r="L104" s="116">
        <f t="shared" si="1"/>
        <v>6.6666666666666666E-2</v>
      </c>
      <c r="M104" s="116">
        <f t="shared" si="1"/>
        <v>6.6666666666666666E-2</v>
      </c>
      <c r="N104" s="116">
        <f t="shared" si="1"/>
        <v>6.6666666666666666E-2</v>
      </c>
      <c r="O104" s="116">
        <f t="shared" si="1"/>
        <v>6.6666666666666666E-2</v>
      </c>
      <c r="P104" s="116">
        <f t="shared" si="1"/>
        <v>6.6666666666666666E-2</v>
      </c>
      <c r="Q104" s="116">
        <f t="shared" si="1"/>
        <v>6.6666666666666666E-2</v>
      </c>
      <c r="R104" s="116">
        <f t="shared" si="1"/>
        <v>6.6666666666666666E-2</v>
      </c>
      <c r="S104" s="116">
        <f t="shared" si="1"/>
        <v>6.6666666666666666E-2</v>
      </c>
      <c r="T104" s="116">
        <f t="shared" si="1"/>
        <v>6.6666666666666666E-2</v>
      </c>
      <c r="U104" s="116">
        <f t="shared" si="1"/>
        <v>6.6666666666666666E-2</v>
      </c>
      <c r="V104" s="116" t="str">
        <f t="shared" si="1"/>
        <v/>
      </c>
      <c r="W104" s="116" t="str">
        <f t="shared" si="1"/>
        <v/>
      </c>
      <c r="X104" s="116" t="str">
        <f t="shared" si="1"/>
        <v/>
      </c>
      <c r="Y104" s="116" t="str">
        <f t="shared" si="1"/>
        <v/>
      </c>
      <c r="Z104" s="116" t="str">
        <f t="shared" si="1"/>
        <v/>
      </c>
      <c r="AA104" s="116" t="str">
        <f t="shared" si="1"/>
        <v/>
      </c>
      <c r="AB104" s="116" t="str">
        <f t="shared" si="1"/>
        <v/>
      </c>
      <c r="AC104" s="116" t="str">
        <f t="shared" si="1"/>
        <v/>
      </c>
      <c r="AD104" s="116" t="str">
        <f t="shared" si="1"/>
        <v/>
      </c>
      <c r="AE104" s="116" t="str">
        <f t="shared" si="1"/>
        <v/>
      </c>
      <c r="AF104" s="116" t="str">
        <f t="shared" si="1"/>
        <v/>
      </c>
      <c r="AG104" s="116" t="str">
        <f t="shared" si="1"/>
        <v/>
      </c>
      <c r="AH104" s="116" t="str">
        <f t="shared" si="1"/>
        <v/>
      </c>
      <c r="AI104" s="116" t="str">
        <f t="shared" si="1"/>
        <v/>
      </c>
      <c r="AJ104" s="116" t="str">
        <f t="shared" si="1"/>
        <v/>
      </c>
      <c r="AK104" s="116">
        <f>SUM(G104:AJ104)</f>
        <v>0.99999999999999989</v>
      </c>
      <c r="AL104" s="2"/>
    </row>
    <row r="105" spans="1:38" x14ac:dyDescent="0.2">
      <c r="A105" s="2"/>
      <c r="B105" s="2"/>
      <c r="C105" s="2"/>
      <c r="D105" s="2"/>
      <c r="E105" s="2"/>
      <c r="F105" s="91"/>
      <c r="G105" s="2">
        <f>1/EconomicLife</f>
        <v>6.6666666666666666E-2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2">
      <c r="A106" s="2"/>
      <c r="B106" s="2"/>
      <c r="C106" s="2"/>
      <c r="D106" s="2"/>
      <c r="E106" s="94" t="s">
        <v>23</v>
      </c>
      <c r="F106" s="110" t="s">
        <v>91</v>
      </c>
      <c r="G106" s="13"/>
      <c r="H106" s="13"/>
      <c r="I106" s="1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24" t="s">
        <v>86</v>
      </c>
      <c r="AL106" s="2"/>
    </row>
    <row r="107" spans="1:38" x14ac:dyDescent="0.2">
      <c r="A107" s="2"/>
      <c r="B107" s="2"/>
      <c r="C107" s="2"/>
      <c r="D107" s="2"/>
      <c r="E107" s="109" t="s">
        <v>8</v>
      </c>
      <c r="F107" s="124">
        <f>AK108</f>
        <v>5</v>
      </c>
      <c r="G107" s="93">
        <v>1</v>
      </c>
      <c r="H107" s="24">
        <v>2</v>
      </c>
      <c r="I107" s="24">
        <v>3</v>
      </c>
      <c r="J107" s="24">
        <v>4</v>
      </c>
      <c r="K107" s="24">
        <v>5</v>
      </c>
      <c r="L107" s="24">
        <v>6</v>
      </c>
      <c r="M107" s="24">
        <v>7</v>
      </c>
      <c r="N107" s="24">
        <v>8</v>
      </c>
      <c r="O107" s="24">
        <v>9</v>
      </c>
      <c r="P107" s="24">
        <v>10</v>
      </c>
      <c r="Q107" s="24">
        <v>11</v>
      </c>
      <c r="R107" s="24">
        <v>12</v>
      </c>
      <c r="S107" s="24">
        <v>13</v>
      </c>
      <c r="T107" s="24">
        <v>14</v>
      </c>
      <c r="U107" s="24">
        <v>15</v>
      </c>
      <c r="V107" s="24">
        <v>16</v>
      </c>
      <c r="W107" s="24">
        <v>17</v>
      </c>
      <c r="X107" s="24">
        <v>18</v>
      </c>
      <c r="Y107" s="24">
        <v>19</v>
      </c>
      <c r="Z107" s="24">
        <v>20</v>
      </c>
      <c r="AA107" s="24">
        <v>21</v>
      </c>
      <c r="AB107" s="24">
        <v>22</v>
      </c>
      <c r="AC107" s="24">
        <v>23</v>
      </c>
      <c r="AD107" s="24">
        <v>24</v>
      </c>
      <c r="AE107" s="24">
        <v>25</v>
      </c>
      <c r="AF107" s="24">
        <v>26</v>
      </c>
      <c r="AG107" s="24">
        <v>27</v>
      </c>
      <c r="AH107" s="24">
        <v>28</v>
      </c>
      <c r="AI107" s="24">
        <v>29</v>
      </c>
      <c r="AJ107" s="24">
        <v>30</v>
      </c>
      <c r="AK107" s="24" t="s">
        <v>87</v>
      </c>
      <c r="AL107" s="20"/>
    </row>
    <row r="108" spans="1:38" x14ac:dyDescent="0.2">
      <c r="A108" s="2"/>
      <c r="B108" s="2"/>
      <c r="C108" s="2"/>
      <c r="D108" s="2"/>
      <c r="E108" s="22" t="s">
        <v>82</v>
      </c>
      <c r="F108" s="22"/>
      <c r="G108" s="111">
        <v>100</v>
      </c>
      <c r="H108" s="111">
        <v>100</v>
      </c>
      <c r="I108" s="111">
        <v>100</v>
      </c>
      <c r="J108" s="111">
        <v>100</v>
      </c>
      <c r="K108" s="111">
        <v>100</v>
      </c>
      <c r="L108" s="112">
        <v>0</v>
      </c>
      <c r="M108" s="112">
        <v>0</v>
      </c>
      <c r="N108" s="112">
        <v>0</v>
      </c>
      <c r="O108" s="112">
        <v>0</v>
      </c>
      <c r="P108" s="112">
        <v>0</v>
      </c>
      <c r="Q108" s="112">
        <v>0</v>
      </c>
      <c r="R108" s="112">
        <v>0</v>
      </c>
      <c r="S108" s="112">
        <v>0</v>
      </c>
      <c r="T108" s="112">
        <v>0</v>
      </c>
      <c r="U108" s="112">
        <v>0</v>
      </c>
      <c r="V108" s="112">
        <v>0</v>
      </c>
      <c r="W108" s="112">
        <v>0</v>
      </c>
      <c r="X108" s="112">
        <v>0</v>
      </c>
      <c r="Y108" s="112">
        <v>0</v>
      </c>
      <c r="Z108" s="112">
        <v>0</v>
      </c>
      <c r="AA108" s="112">
        <v>0</v>
      </c>
      <c r="AB108" s="112">
        <v>0</v>
      </c>
      <c r="AC108" s="112">
        <v>0</v>
      </c>
      <c r="AD108" s="112">
        <v>0</v>
      </c>
      <c r="AE108" s="112">
        <v>0</v>
      </c>
      <c r="AF108" s="112">
        <v>0</v>
      </c>
      <c r="AG108" s="112">
        <v>0</v>
      </c>
      <c r="AH108" s="112">
        <v>0</v>
      </c>
      <c r="AI108" s="112">
        <v>0</v>
      </c>
      <c r="AJ108" s="112">
        <v>0</v>
      </c>
      <c r="AK108" s="113">
        <f>COUNTIF(G108:AJ108,"&gt;0")</f>
        <v>5</v>
      </c>
      <c r="AL108" s="18"/>
    </row>
    <row r="109" spans="1:38" x14ac:dyDescent="0.2">
      <c r="A109" s="2"/>
      <c r="B109" s="2"/>
      <c r="C109" s="2"/>
      <c r="D109" s="2"/>
      <c r="E109" s="2"/>
      <c r="F109" s="9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2">
      <c r="A110" s="2"/>
      <c r="B110" s="2"/>
      <c r="C110" s="2"/>
      <c r="D110" s="2"/>
      <c r="E110" s="68" t="s">
        <v>21</v>
      </c>
      <c r="F110" s="100"/>
      <c r="G110" s="101"/>
      <c r="H110" s="102"/>
      <c r="I110" s="102"/>
      <c r="J110" s="102"/>
      <c r="K110" s="4"/>
      <c r="L110" s="4"/>
      <c r="M110" s="4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39"/>
      <c r="AL110" s="2"/>
    </row>
    <row r="111" spans="1:38" x14ac:dyDescent="0.2">
      <c r="A111" s="2"/>
      <c r="B111" s="2"/>
      <c r="C111" s="2"/>
      <c r="D111" s="2"/>
      <c r="E111" s="103" t="s">
        <v>8</v>
      </c>
      <c r="F111" s="103">
        <v>0</v>
      </c>
      <c r="G111" s="103">
        <v>1</v>
      </c>
      <c r="H111" s="103">
        <f t="shared" ref="H111:P111" si="2">G111+1</f>
        <v>2</v>
      </c>
      <c r="I111" s="103">
        <f t="shared" si="2"/>
        <v>3</v>
      </c>
      <c r="J111" s="103">
        <f t="shared" si="2"/>
        <v>4</v>
      </c>
      <c r="K111" s="103">
        <f>J111+1</f>
        <v>5</v>
      </c>
      <c r="L111" s="103">
        <f>K111+1</f>
        <v>6</v>
      </c>
      <c r="M111" s="103">
        <f>L111+1</f>
        <v>7</v>
      </c>
      <c r="N111" s="103">
        <f>M111+1</f>
        <v>8</v>
      </c>
      <c r="O111" s="103">
        <f t="shared" si="2"/>
        <v>9</v>
      </c>
      <c r="P111" s="103">
        <f t="shared" si="2"/>
        <v>10</v>
      </c>
      <c r="Q111" s="103">
        <f>P111+1</f>
        <v>11</v>
      </c>
      <c r="R111" s="103">
        <f t="shared" ref="R111:Z111" si="3">Q111+1</f>
        <v>12</v>
      </c>
      <c r="S111" s="103">
        <f t="shared" si="3"/>
        <v>13</v>
      </c>
      <c r="T111" s="103">
        <f t="shared" si="3"/>
        <v>14</v>
      </c>
      <c r="U111" s="103">
        <f t="shared" si="3"/>
        <v>15</v>
      </c>
      <c r="V111" s="103">
        <f t="shared" si="3"/>
        <v>16</v>
      </c>
      <c r="W111" s="103">
        <f t="shared" si="3"/>
        <v>17</v>
      </c>
      <c r="X111" s="103">
        <f t="shared" si="3"/>
        <v>18</v>
      </c>
      <c r="Y111" s="103">
        <f t="shared" si="3"/>
        <v>19</v>
      </c>
      <c r="Z111" s="103">
        <f t="shared" si="3"/>
        <v>20</v>
      </c>
      <c r="AA111" s="103">
        <f t="shared" ref="AA111:AJ111" si="4">Z111+1</f>
        <v>21</v>
      </c>
      <c r="AB111" s="103">
        <f t="shared" si="4"/>
        <v>22</v>
      </c>
      <c r="AC111" s="103">
        <f t="shared" si="4"/>
        <v>23</v>
      </c>
      <c r="AD111" s="103">
        <f t="shared" si="4"/>
        <v>24</v>
      </c>
      <c r="AE111" s="103">
        <f t="shared" si="4"/>
        <v>25</v>
      </c>
      <c r="AF111" s="103">
        <f t="shared" si="4"/>
        <v>26</v>
      </c>
      <c r="AG111" s="103">
        <f t="shared" si="4"/>
        <v>27</v>
      </c>
      <c r="AH111" s="103">
        <f t="shared" si="4"/>
        <v>28</v>
      </c>
      <c r="AI111" s="103">
        <f t="shared" si="4"/>
        <v>29</v>
      </c>
      <c r="AJ111" s="103">
        <f t="shared" si="4"/>
        <v>30</v>
      </c>
      <c r="AK111" s="104" t="s">
        <v>6</v>
      </c>
      <c r="AL111" s="2"/>
    </row>
    <row r="112" spans="1:38" x14ac:dyDescent="0.2">
      <c r="A112" s="2"/>
      <c r="B112" s="2"/>
      <c r="C112" s="2"/>
      <c r="D112" s="2"/>
      <c r="E112" s="31" t="s">
        <v>128</v>
      </c>
      <c r="F112" s="108"/>
      <c r="G112" s="8">
        <f>IF(G111&lt;=$F$65,AnnualEquityRepayment,0)</f>
        <v>3531502.1371461176</v>
      </c>
      <c r="H112" s="8">
        <f t="shared" ref="G112:AJ112" si="5">IF(H111&lt;=$F$65,$F$81,0)</f>
        <v>3531502.1371461176</v>
      </c>
      <c r="I112" s="8">
        <f t="shared" si="5"/>
        <v>3531502.1371461176</v>
      </c>
      <c r="J112" s="8">
        <f t="shared" si="5"/>
        <v>3531502.1371461176</v>
      </c>
      <c r="K112" s="8">
        <f t="shared" si="5"/>
        <v>3531502.1371461176</v>
      </c>
      <c r="L112" s="8">
        <f t="shared" si="5"/>
        <v>3531502.1371461176</v>
      </c>
      <c r="M112" s="8">
        <f t="shared" si="5"/>
        <v>3531502.1371461176</v>
      </c>
      <c r="N112" s="8">
        <f t="shared" si="5"/>
        <v>3531502.1371461176</v>
      </c>
      <c r="O112" s="8">
        <f t="shared" si="5"/>
        <v>3531502.1371461176</v>
      </c>
      <c r="P112" s="8">
        <f t="shared" si="5"/>
        <v>3531502.1371461176</v>
      </c>
      <c r="Q112" s="8">
        <f t="shared" si="5"/>
        <v>3531502.1371461176</v>
      </c>
      <c r="R112" s="8">
        <f t="shared" si="5"/>
        <v>3531502.1371461176</v>
      </c>
      <c r="S112" s="8">
        <f t="shared" si="5"/>
        <v>3531502.1371461176</v>
      </c>
      <c r="T112" s="8">
        <f t="shared" si="5"/>
        <v>3531502.1371461176</v>
      </c>
      <c r="U112" s="8">
        <f t="shared" si="5"/>
        <v>3531502.1371461176</v>
      </c>
      <c r="V112" s="8">
        <f t="shared" si="5"/>
        <v>0</v>
      </c>
      <c r="W112" s="8">
        <f t="shared" si="5"/>
        <v>0</v>
      </c>
      <c r="X112" s="8">
        <f t="shared" si="5"/>
        <v>0</v>
      </c>
      <c r="Y112" s="8">
        <f t="shared" si="5"/>
        <v>0</v>
      </c>
      <c r="Z112" s="8">
        <f t="shared" si="5"/>
        <v>0</v>
      </c>
      <c r="AA112" s="8">
        <f t="shared" si="5"/>
        <v>0</v>
      </c>
      <c r="AB112" s="8">
        <f t="shared" si="5"/>
        <v>0</v>
      </c>
      <c r="AC112" s="8">
        <f t="shared" si="5"/>
        <v>0</v>
      </c>
      <c r="AD112" s="8">
        <f t="shared" si="5"/>
        <v>0</v>
      </c>
      <c r="AE112" s="8">
        <f t="shared" si="5"/>
        <v>0</v>
      </c>
      <c r="AF112" s="8">
        <f t="shared" si="5"/>
        <v>0</v>
      </c>
      <c r="AG112" s="8">
        <f t="shared" si="5"/>
        <v>0</v>
      </c>
      <c r="AH112" s="8">
        <f t="shared" si="5"/>
        <v>0</v>
      </c>
      <c r="AI112" s="8">
        <f t="shared" si="5"/>
        <v>0</v>
      </c>
      <c r="AJ112" s="8">
        <f t="shared" si="5"/>
        <v>0</v>
      </c>
      <c r="AK112" s="32">
        <f>SUM(G112:AJ112)</f>
        <v>52972532.057191759</v>
      </c>
      <c r="AL112" s="2"/>
    </row>
    <row r="113" spans="1:39" x14ac:dyDescent="0.2">
      <c r="A113" s="2"/>
      <c r="B113" s="2"/>
      <c r="C113" s="2"/>
      <c r="D113" s="2"/>
      <c r="E113" s="31" t="s">
        <v>129</v>
      </c>
      <c r="F113" s="108"/>
      <c r="G113" s="8">
        <f>IF(G111&lt;=$F$65,TotalEquityPrincipal*MARR/100,0)</f>
        <v>3097500</v>
      </c>
      <c r="H113" s="8">
        <f>IF(H111&lt;=$F$65,MARR/100*EquityPrincipalRemaining,0)</f>
        <v>3032399.679428082</v>
      </c>
      <c r="I113" s="8">
        <f t="shared" ref="I113:AJ113" si="6">IF(I111&lt;=$F$65,$F$64/100*H115,0)</f>
        <v>2957534.3107703766</v>
      </c>
      <c r="J113" s="8">
        <f t="shared" si="6"/>
        <v>2871439.1368140155</v>
      </c>
      <c r="K113" s="8">
        <f t="shared" si="6"/>
        <v>2772429.6867641998</v>
      </c>
      <c r="L113" s="8">
        <f t="shared" si="6"/>
        <v>2658568.8192069121</v>
      </c>
      <c r="M113" s="8">
        <f t="shared" si="6"/>
        <v>2527628.8215160309</v>
      </c>
      <c r="N113" s="8">
        <f t="shared" si="6"/>
        <v>2377047.824171518</v>
      </c>
      <c r="O113" s="8">
        <f t="shared" si="6"/>
        <v>2203879.6772253281</v>
      </c>
      <c r="P113" s="8">
        <f t="shared" si="6"/>
        <v>2004736.3082372095</v>
      </c>
      <c r="Q113" s="8">
        <f t="shared" si="6"/>
        <v>1775721.4339008734</v>
      </c>
      <c r="R113" s="8">
        <f t="shared" si="6"/>
        <v>1512354.3284140867</v>
      </c>
      <c r="S113" s="8">
        <f t="shared" si="6"/>
        <v>1209482.1571042822</v>
      </c>
      <c r="T113" s="8">
        <f t="shared" si="6"/>
        <v>861179.16009800683</v>
      </c>
      <c r="U113" s="8">
        <f t="shared" si="6"/>
        <v>460630.71354079025</v>
      </c>
      <c r="V113" s="8">
        <f t="shared" si="6"/>
        <v>0</v>
      </c>
      <c r="W113" s="8">
        <f t="shared" si="6"/>
        <v>0</v>
      </c>
      <c r="X113" s="8">
        <f t="shared" si="6"/>
        <v>0</v>
      </c>
      <c r="Y113" s="8">
        <f t="shared" si="6"/>
        <v>0</v>
      </c>
      <c r="Z113" s="8">
        <f t="shared" si="6"/>
        <v>0</v>
      </c>
      <c r="AA113" s="8">
        <f t="shared" si="6"/>
        <v>0</v>
      </c>
      <c r="AB113" s="8">
        <f t="shared" si="6"/>
        <v>0</v>
      </c>
      <c r="AC113" s="8">
        <f t="shared" si="6"/>
        <v>0</v>
      </c>
      <c r="AD113" s="8">
        <f t="shared" si="6"/>
        <v>0</v>
      </c>
      <c r="AE113" s="8">
        <f t="shared" si="6"/>
        <v>0</v>
      </c>
      <c r="AF113" s="8">
        <f t="shared" si="6"/>
        <v>0</v>
      </c>
      <c r="AG113" s="8">
        <f t="shared" si="6"/>
        <v>0</v>
      </c>
      <c r="AH113" s="8">
        <f t="shared" si="6"/>
        <v>0</v>
      </c>
      <c r="AI113" s="8">
        <f t="shared" si="6"/>
        <v>0</v>
      </c>
      <c r="AJ113" s="8">
        <f t="shared" si="6"/>
        <v>0</v>
      </c>
      <c r="AK113" s="32">
        <f>SUM(G113:AJ113)</f>
        <v>32322532.057191711</v>
      </c>
      <c r="AL113" s="2"/>
    </row>
    <row r="114" spans="1:39" x14ac:dyDescent="0.2">
      <c r="A114" s="2"/>
      <c r="B114" s="2"/>
      <c r="C114" s="2"/>
      <c r="D114" s="2"/>
      <c r="E114" s="31" t="s">
        <v>130</v>
      </c>
      <c r="F114" s="108"/>
      <c r="G114" s="8">
        <f>IF(G111&lt;=$F$65,EquityRecovery-EquityInterest,0)</f>
        <v>434002.13714611763</v>
      </c>
      <c r="H114" s="8">
        <f>IF(H111&lt;=$F$65,H112-H113,0)</f>
        <v>499102.45771803567</v>
      </c>
      <c r="I114" s="8">
        <f t="shared" ref="I114:AJ114" si="7">IF(I111&lt;=$F$65,I112-I113,0)</f>
        <v>573967.82637574105</v>
      </c>
      <c r="J114" s="8">
        <f t="shared" si="7"/>
        <v>660063.00033210218</v>
      </c>
      <c r="K114" s="8">
        <f t="shared" si="7"/>
        <v>759072.45038191788</v>
      </c>
      <c r="L114" s="8">
        <f t="shared" si="7"/>
        <v>872933.31793920556</v>
      </c>
      <c r="M114" s="8">
        <f t="shared" si="7"/>
        <v>1003873.3156300867</v>
      </c>
      <c r="N114" s="8">
        <f t="shared" si="7"/>
        <v>1154454.3129745997</v>
      </c>
      <c r="O114" s="8">
        <f t="shared" si="7"/>
        <v>1327622.4599207896</v>
      </c>
      <c r="P114" s="8">
        <f t="shared" si="7"/>
        <v>1526765.8289089082</v>
      </c>
      <c r="Q114" s="8">
        <f t="shared" si="7"/>
        <v>1755780.7032452442</v>
      </c>
      <c r="R114" s="8">
        <f t="shared" si="7"/>
        <v>2019147.8087320309</v>
      </c>
      <c r="S114" s="8">
        <f t="shared" si="7"/>
        <v>2322019.9800418355</v>
      </c>
      <c r="T114" s="8">
        <f t="shared" si="7"/>
        <v>2670322.9770481107</v>
      </c>
      <c r="U114" s="8">
        <f t="shared" si="7"/>
        <v>3070871.4236053275</v>
      </c>
      <c r="V114" s="8">
        <f t="shared" si="7"/>
        <v>0</v>
      </c>
      <c r="W114" s="8">
        <f t="shared" si="7"/>
        <v>0</v>
      </c>
      <c r="X114" s="8">
        <f t="shared" si="7"/>
        <v>0</v>
      </c>
      <c r="Y114" s="8">
        <f t="shared" si="7"/>
        <v>0</v>
      </c>
      <c r="Z114" s="8">
        <f t="shared" si="7"/>
        <v>0</v>
      </c>
      <c r="AA114" s="8">
        <f t="shared" si="7"/>
        <v>0</v>
      </c>
      <c r="AB114" s="8">
        <f t="shared" si="7"/>
        <v>0</v>
      </c>
      <c r="AC114" s="8">
        <f t="shared" si="7"/>
        <v>0</v>
      </c>
      <c r="AD114" s="8">
        <f t="shared" si="7"/>
        <v>0</v>
      </c>
      <c r="AE114" s="8">
        <f t="shared" si="7"/>
        <v>0</v>
      </c>
      <c r="AF114" s="8">
        <f t="shared" si="7"/>
        <v>0</v>
      </c>
      <c r="AG114" s="8">
        <f t="shared" si="7"/>
        <v>0</v>
      </c>
      <c r="AH114" s="8">
        <f t="shared" si="7"/>
        <v>0</v>
      </c>
      <c r="AI114" s="8">
        <f t="shared" si="7"/>
        <v>0</v>
      </c>
      <c r="AJ114" s="8">
        <f t="shared" si="7"/>
        <v>0</v>
      </c>
      <c r="AK114" s="32">
        <f>SUM(G114:AJ114)</f>
        <v>20650000.000000056</v>
      </c>
      <c r="AL114" s="2"/>
    </row>
    <row r="115" spans="1:39" x14ac:dyDescent="0.2">
      <c r="A115" s="2"/>
      <c r="B115" s="2"/>
      <c r="C115" s="2"/>
      <c r="D115" s="2"/>
      <c r="E115" s="31" t="s">
        <v>131</v>
      </c>
      <c r="F115" s="108"/>
      <c r="G115" s="8">
        <f>IF(G111&lt;=$F$65,TotalEquityPrincipal-EquityPrincipalPaid,0)</f>
        <v>20215997.862853881</v>
      </c>
      <c r="H115" s="8">
        <f>IF(H111&lt;=$F$65,G115-H114,0)</f>
        <v>19716895.405135844</v>
      </c>
      <c r="I115" s="8">
        <f t="shared" ref="I115:AJ115" si="8">IF(I111&lt;=$F$65,H115-I114,0)</f>
        <v>19142927.578760102</v>
      </c>
      <c r="J115" s="8">
        <f t="shared" si="8"/>
        <v>18482864.578428</v>
      </c>
      <c r="K115" s="8">
        <f t="shared" si="8"/>
        <v>17723792.12804608</v>
      </c>
      <c r="L115" s="8">
        <f t="shared" si="8"/>
        <v>16850858.810106874</v>
      </c>
      <c r="M115" s="8">
        <f t="shared" si="8"/>
        <v>15846985.494476788</v>
      </c>
      <c r="N115" s="8">
        <f t="shared" si="8"/>
        <v>14692531.181502188</v>
      </c>
      <c r="O115" s="8">
        <f t="shared" si="8"/>
        <v>13364908.721581398</v>
      </c>
      <c r="P115" s="8">
        <f t="shared" si="8"/>
        <v>11838142.89267249</v>
      </c>
      <c r="Q115" s="8">
        <f t="shared" si="8"/>
        <v>10082362.189427245</v>
      </c>
      <c r="R115" s="8">
        <f t="shared" si="8"/>
        <v>8063214.3806952145</v>
      </c>
      <c r="S115" s="8">
        <f t="shared" si="8"/>
        <v>5741194.400653379</v>
      </c>
      <c r="T115" s="8">
        <f t="shared" si="8"/>
        <v>3070871.4236052684</v>
      </c>
      <c r="U115" s="8">
        <f t="shared" si="8"/>
        <v>-5.9138983488082886E-8</v>
      </c>
      <c r="V115" s="8">
        <f t="shared" si="8"/>
        <v>0</v>
      </c>
      <c r="W115" s="8">
        <f t="shared" si="8"/>
        <v>0</v>
      </c>
      <c r="X115" s="8">
        <f t="shared" si="8"/>
        <v>0</v>
      </c>
      <c r="Y115" s="8">
        <f t="shared" si="8"/>
        <v>0</v>
      </c>
      <c r="Z115" s="8">
        <f t="shared" si="8"/>
        <v>0</v>
      </c>
      <c r="AA115" s="8">
        <f t="shared" si="8"/>
        <v>0</v>
      </c>
      <c r="AB115" s="8">
        <f t="shared" si="8"/>
        <v>0</v>
      </c>
      <c r="AC115" s="8">
        <f t="shared" si="8"/>
        <v>0</v>
      </c>
      <c r="AD115" s="8">
        <f t="shared" si="8"/>
        <v>0</v>
      </c>
      <c r="AE115" s="8">
        <f t="shared" si="8"/>
        <v>0</v>
      </c>
      <c r="AF115" s="8">
        <f t="shared" si="8"/>
        <v>0</v>
      </c>
      <c r="AG115" s="8">
        <f t="shared" si="8"/>
        <v>0</v>
      </c>
      <c r="AH115" s="8">
        <f t="shared" si="8"/>
        <v>0</v>
      </c>
      <c r="AI115" s="8">
        <f t="shared" si="8"/>
        <v>0</v>
      </c>
      <c r="AJ115" s="8">
        <f t="shared" si="8"/>
        <v>0</v>
      </c>
      <c r="AK115" s="33" t="s">
        <v>27</v>
      </c>
      <c r="AL115" s="2"/>
    </row>
    <row r="116" spans="1:39" x14ac:dyDescent="0.2">
      <c r="A116" s="2"/>
      <c r="B116" s="2"/>
      <c r="C116" s="2"/>
      <c r="D116" s="2"/>
      <c r="E116" s="31" t="s">
        <v>9</v>
      </c>
      <c r="F116" s="108"/>
      <c r="G116" s="8">
        <f>IF(G111&lt;=$F$65,AnnualDebtRepayment,0)</f>
        <v>17905214.15217806</v>
      </c>
      <c r="H116" s="8">
        <f t="shared" ref="G116:AJ116" si="9">IF(H111&lt;=$F$65,$F$75,0)</f>
        <v>17905214.15217806</v>
      </c>
      <c r="I116" s="8">
        <f t="shared" si="9"/>
        <v>17905214.15217806</v>
      </c>
      <c r="J116" s="8">
        <f t="shared" si="9"/>
        <v>17905214.15217806</v>
      </c>
      <c r="K116" s="8">
        <f t="shared" si="9"/>
        <v>17905214.15217806</v>
      </c>
      <c r="L116" s="8">
        <f t="shared" si="9"/>
        <v>17905214.15217806</v>
      </c>
      <c r="M116" s="8">
        <f t="shared" si="9"/>
        <v>17905214.15217806</v>
      </c>
      <c r="N116" s="8">
        <f t="shared" si="9"/>
        <v>17905214.15217806</v>
      </c>
      <c r="O116" s="8">
        <f t="shared" si="9"/>
        <v>17905214.15217806</v>
      </c>
      <c r="P116" s="8">
        <f t="shared" si="9"/>
        <v>17905214.15217806</v>
      </c>
      <c r="Q116" s="8">
        <f t="shared" si="9"/>
        <v>17905214.15217806</v>
      </c>
      <c r="R116" s="8">
        <f t="shared" si="9"/>
        <v>17905214.15217806</v>
      </c>
      <c r="S116" s="8">
        <f t="shared" si="9"/>
        <v>17905214.15217806</v>
      </c>
      <c r="T116" s="8">
        <f t="shared" si="9"/>
        <v>17905214.15217806</v>
      </c>
      <c r="U116" s="8">
        <f t="shared" si="9"/>
        <v>17905214.15217806</v>
      </c>
      <c r="V116" s="8">
        <f t="shared" si="9"/>
        <v>0</v>
      </c>
      <c r="W116" s="8">
        <f t="shared" si="9"/>
        <v>0</v>
      </c>
      <c r="X116" s="8">
        <f t="shared" si="9"/>
        <v>0</v>
      </c>
      <c r="Y116" s="8">
        <f t="shared" si="9"/>
        <v>0</v>
      </c>
      <c r="Z116" s="8">
        <f t="shared" si="9"/>
        <v>0</v>
      </c>
      <c r="AA116" s="8">
        <f t="shared" si="9"/>
        <v>0</v>
      </c>
      <c r="AB116" s="8">
        <f t="shared" si="9"/>
        <v>0</v>
      </c>
      <c r="AC116" s="8">
        <f t="shared" si="9"/>
        <v>0</v>
      </c>
      <c r="AD116" s="8">
        <f t="shared" si="9"/>
        <v>0</v>
      </c>
      <c r="AE116" s="8">
        <f t="shared" si="9"/>
        <v>0</v>
      </c>
      <c r="AF116" s="8">
        <f t="shared" si="9"/>
        <v>0</v>
      </c>
      <c r="AG116" s="8">
        <f t="shared" si="9"/>
        <v>0</v>
      </c>
      <c r="AH116" s="8">
        <f t="shared" si="9"/>
        <v>0</v>
      </c>
      <c r="AI116" s="8">
        <f t="shared" si="9"/>
        <v>0</v>
      </c>
      <c r="AJ116" s="8">
        <f t="shared" si="9"/>
        <v>0</v>
      </c>
      <c r="AK116" s="32">
        <f>SUM(G116:AJ116)</f>
        <v>268578212.28267086</v>
      </c>
      <c r="AL116" s="9"/>
      <c r="AM116" s="29"/>
    </row>
    <row r="117" spans="1:39" x14ac:dyDescent="0.2">
      <c r="A117" s="2"/>
      <c r="B117" s="2"/>
      <c r="C117" s="2"/>
      <c r="D117" s="2"/>
      <c r="E117" s="31" t="s">
        <v>10</v>
      </c>
      <c r="F117" s="108"/>
      <c r="G117" s="8">
        <f>IF(G111&lt;=$F$65,InterestRateOnDebt/100*TotalDebtPrincipal,0)</f>
        <v>9292500</v>
      </c>
      <c r="H117" s="8">
        <f>IF(H111&lt;=$F$65,$F$62/100*G119,0)</f>
        <v>8861864.2923910972</v>
      </c>
      <c r="I117" s="8">
        <f t="shared" ref="I117:AJ117" si="10">IF(I111&lt;=$F$65,$F$62/100*H119,0)</f>
        <v>8409696.7994017508</v>
      </c>
      <c r="J117" s="8">
        <f t="shared" si="10"/>
        <v>7934920.9317629337</v>
      </c>
      <c r="K117" s="8">
        <f t="shared" si="10"/>
        <v>7436406.270742178</v>
      </c>
      <c r="L117" s="8">
        <f t="shared" si="10"/>
        <v>6912965.8766703848</v>
      </c>
      <c r="M117" s="8">
        <f t="shared" si="10"/>
        <v>6363353.4628950013</v>
      </c>
      <c r="N117" s="8">
        <f t="shared" si="10"/>
        <v>5786260.4284308478</v>
      </c>
      <c r="O117" s="8">
        <f t="shared" si="10"/>
        <v>5180312.7422434874</v>
      </c>
      <c r="P117" s="8">
        <f t="shared" si="10"/>
        <v>4544067.6717467597</v>
      </c>
      <c r="Q117" s="8">
        <f t="shared" si="10"/>
        <v>3876010.3477251939</v>
      </c>
      <c r="R117" s="8">
        <f t="shared" si="10"/>
        <v>3174550.1575025506</v>
      </c>
      <c r="S117" s="8">
        <f t="shared" si="10"/>
        <v>2438016.9577687751</v>
      </c>
      <c r="T117" s="8">
        <f t="shared" si="10"/>
        <v>1664657.098048311</v>
      </c>
      <c r="U117" s="8">
        <f t="shared" si="10"/>
        <v>852629.24534182344</v>
      </c>
      <c r="V117" s="8">
        <f t="shared" si="10"/>
        <v>0</v>
      </c>
      <c r="W117" s="8">
        <f t="shared" si="10"/>
        <v>0</v>
      </c>
      <c r="X117" s="8">
        <f t="shared" si="10"/>
        <v>0</v>
      </c>
      <c r="Y117" s="8">
        <f t="shared" si="10"/>
        <v>0</v>
      </c>
      <c r="Z117" s="8">
        <f t="shared" si="10"/>
        <v>0</v>
      </c>
      <c r="AA117" s="8">
        <f t="shared" si="10"/>
        <v>0</v>
      </c>
      <c r="AB117" s="8">
        <f t="shared" si="10"/>
        <v>0</v>
      </c>
      <c r="AC117" s="8">
        <f t="shared" si="10"/>
        <v>0</v>
      </c>
      <c r="AD117" s="8">
        <f t="shared" si="10"/>
        <v>0</v>
      </c>
      <c r="AE117" s="8">
        <f t="shared" si="10"/>
        <v>0</v>
      </c>
      <c r="AF117" s="8">
        <f t="shared" si="10"/>
        <v>0</v>
      </c>
      <c r="AG117" s="8">
        <f t="shared" si="10"/>
        <v>0</v>
      </c>
      <c r="AH117" s="8">
        <f t="shared" si="10"/>
        <v>0</v>
      </c>
      <c r="AI117" s="8">
        <f t="shared" si="10"/>
        <v>0</v>
      </c>
      <c r="AJ117" s="8">
        <f t="shared" si="10"/>
        <v>0</v>
      </c>
      <c r="AK117" s="32">
        <f>SUM(G117:AJ117)</f>
        <v>82728212.282671094</v>
      </c>
      <c r="AL117" s="9"/>
      <c r="AM117" s="29"/>
    </row>
    <row r="118" spans="1:39" x14ac:dyDescent="0.2">
      <c r="A118" s="2"/>
      <c r="B118" s="2"/>
      <c r="C118" s="2"/>
      <c r="D118" s="2"/>
      <c r="E118" s="31" t="s">
        <v>11</v>
      </c>
      <c r="F118" s="108"/>
      <c r="G118" s="8">
        <f>IF(G111&lt;=$F$65,DebtRecovery-DebtInterest,"")</f>
        <v>8612714.1521780603</v>
      </c>
      <c r="H118" s="8">
        <f>IF(H111&lt;=$F$65,H116-H117,0)</f>
        <v>9043349.8597869631</v>
      </c>
      <c r="I118" s="8">
        <f t="shared" ref="I118:AJ118" si="11">IF(I111&lt;=$F$65,I116-I117,0)</f>
        <v>9495517.3527763095</v>
      </c>
      <c r="J118" s="8">
        <f t="shared" si="11"/>
        <v>9970293.2204151265</v>
      </c>
      <c r="K118" s="8">
        <f t="shared" si="11"/>
        <v>10468807.881435882</v>
      </c>
      <c r="L118" s="8">
        <f t="shared" si="11"/>
        <v>10992248.275507675</v>
      </c>
      <c r="M118" s="8">
        <f t="shared" si="11"/>
        <v>11541860.689283058</v>
      </c>
      <c r="N118" s="8">
        <f t="shared" si="11"/>
        <v>12118953.723747212</v>
      </c>
      <c r="O118" s="8">
        <f t="shared" si="11"/>
        <v>12724901.409934573</v>
      </c>
      <c r="P118" s="8">
        <f t="shared" si="11"/>
        <v>13361146.4804313</v>
      </c>
      <c r="Q118" s="8">
        <f t="shared" si="11"/>
        <v>14029203.804452866</v>
      </c>
      <c r="R118" s="8">
        <f t="shared" si="11"/>
        <v>14730663.99467551</v>
      </c>
      <c r="S118" s="8">
        <f t="shared" si="11"/>
        <v>15467197.194409285</v>
      </c>
      <c r="T118" s="8">
        <f t="shared" si="11"/>
        <v>16240557.05412975</v>
      </c>
      <c r="U118" s="8">
        <f t="shared" si="11"/>
        <v>17052584.906836238</v>
      </c>
      <c r="V118" s="8">
        <f t="shared" si="11"/>
        <v>0</v>
      </c>
      <c r="W118" s="8">
        <f t="shared" si="11"/>
        <v>0</v>
      </c>
      <c r="X118" s="8">
        <f t="shared" si="11"/>
        <v>0</v>
      </c>
      <c r="Y118" s="8">
        <f t="shared" si="11"/>
        <v>0</v>
      </c>
      <c r="Z118" s="8">
        <f t="shared" si="11"/>
        <v>0</v>
      </c>
      <c r="AA118" s="8">
        <f t="shared" si="11"/>
        <v>0</v>
      </c>
      <c r="AB118" s="8">
        <f t="shared" si="11"/>
        <v>0</v>
      </c>
      <c r="AC118" s="8">
        <f t="shared" si="11"/>
        <v>0</v>
      </c>
      <c r="AD118" s="8">
        <f t="shared" si="11"/>
        <v>0</v>
      </c>
      <c r="AE118" s="8">
        <f t="shared" si="11"/>
        <v>0</v>
      </c>
      <c r="AF118" s="8">
        <f t="shared" si="11"/>
        <v>0</v>
      </c>
      <c r="AG118" s="8">
        <f t="shared" si="11"/>
        <v>0</v>
      </c>
      <c r="AH118" s="8">
        <f t="shared" si="11"/>
        <v>0</v>
      </c>
      <c r="AI118" s="8">
        <f t="shared" si="11"/>
        <v>0</v>
      </c>
      <c r="AJ118" s="8">
        <f t="shared" si="11"/>
        <v>0</v>
      </c>
      <c r="AK118" s="32">
        <f>SUM(G118:AJ118)</f>
        <v>185849999.99999979</v>
      </c>
      <c r="AL118" s="9"/>
      <c r="AM118" s="29"/>
    </row>
    <row r="119" spans="1:39" x14ac:dyDescent="0.2">
      <c r="A119" s="2"/>
      <c r="B119" s="2"/>
      <c r="C119" s="2"/>
      <c r="D119" s="2"/>
      <c r="E119" s="31" t="s">
        <v>12</v>
      </c>
      <c r="F119" s="108"/>
      <c r="G119" s="8">
        <f>IF(G111&lt;=EconomicLife,TotalDebtPrincipal-DebtPrincipalPaid,0)</f>
        <v>177237285.84782195</v>
      </c>
      <c r="H119" s="8">
        <f>IF(H111&lt;=$F$65,G119-H118,0)</f>
        <v>168193935.98803499</v>
      </c>
      <c r="I119" s="8">
        <f t="shared" ref="I119:AJ119" si="12">IF(I111&lt;=$F$65,H119-I118,0)</f>
        <v>158698418.63525867</v>
      </c>
      <c r="J119" s="8">
        <f t="shared" si="12"/>
        <v>148728125.41484356</v>
      </c>
      <c r="K119" s="8">
        <f t="shared" si="12"/>
        <v>138259317.53340769</v>
      </c>
      <c r="L119" s="8">
        <f t="shared" si="12"/>
        <v>127267069.25790001</v>
      </c>
      <c r="M119" s="8">
        <f t="shared" si="12"/>
        <v>115725208.56861696</v>
      </c>
      <c r="N119" s="8">
        <f t="shared" si="12"/>
        <v>103606254.84486975</v>
      </c>
      <c r="O119" s="8">
        <f t="shared" si="12"/>
        <v>90881353.434935182</v>
      </c>
      <c r="P119" s="8">
        <f t="shared" si="12"/>
        <v>77520206.954503879</v>
      </c>
      <c r="Q119" s="8">
        <f t="shared" si="12"/>
        <v>63491003.150051013</v>
      </c>
      <c r="R119" s="8">
        <f t="shared" si="12"/>
        <v>48760339.155375503</v>
      </c>
      <c r="S119" s="8">
        <f t="shared" si="12"/>
        <v>33293141.960966218</v>
      </c>
      <c r="T119" s="8">
        <f t="shared" si="12"/>
        <v>17052584.906836469</v>
      </c>
      <c r="U119" s="8">
        <f t="shared" si="12"/>
        <v>2.3096799850463867E-7</v>
      </c>
      <c r="V119" s="8">
        <f t="shared" si="12"/>
        <v>0</v>
      </c>
      <c r="W119" s="8">
        <f t="shared" si="12"/>
        <v>0</v>
      </c>
      <c r="X119" s="8">
        <f t="shared" si="12"/>
        <v>0</v>
      </c>
      <c r="Y119" s="8">
        <f t="shared" si="12"/>
        <v>0</v>
      </c>
      <c r="Z119" s="8">
        <f t="shared" si="12"/>
        <v>0</v>
      </c>
      <c r="AA119" s="8">
        <f t="shared" si="12"/>
        <v>0</v>
      </c>
      <c r="AB119" s="8">
        <f t="shared" si="12"/>
        <v>0</v>
      </c>
      <c r="AC119" s="8">
        <f t="shared" si="12"/>
        <v>0</v>
      </c>
      <c r="AD119" s="8">
        <f t="shared" si="12"/>
        <v>0</v>
      </c>
      <c r="AE119" s="8">
        <f t="shared" si="12"/>
        <v>0</v>
      </c>
      <c r="AF119" s="8">
        <f t="shared" si="12"/>
        <v>0</v>
      </c>
      <c r="AG119" s="8">
        <f t="shared" si="12"/>
        <v>0</v>
      </c>
      <c r="AH119" s="8">
        <f t="shared" si="12"/>
        <v>0</v>
      </c>
      <c r="AI119" s="8">
        <f t="shared" si="12"/>
        <v>0</v>
      </c>
      <c r="AJ119" s="8">
        <f t="shared" si="12"/>
        <v>0</v>
      </c>
      <c r="AK119" s="33" t="s">
        <v>27</v>
      </c>
      <c r="AL119" s="9"/>
      <c r="AM119" s="29"/>
    </row>
    <row r="120" spans="1:39" x14ac:dyDescent="0.2">
      <c r="A120" s="2"/>
      <c r="B120" s="2"/>
      <c r="C120" s="2"/>
      <c r="D120" s="2"/>
      <c r="E120" s="31" t="s">
        <v>13</v>
      </c>
      <c r="F120" s="108"/>
      <c r="G120" s="8">
        <f>IF(G111&lt;=$F$65,AnnualFeedstockCost,0)</f>
        <v>24768200.038824897</v>
      </c>
      <c r="H120" s="8">
        <f>IF(H111&lt;=$F$65,FuelCost*(1+EscalationFeedstock/100)^(H111-1),0)</f>
        <v>25288332.239640217</v>
      </c>
      <c r="I120" s="8">
        <f t="shared" ref="H120:AJ120" si="13">IF(I111&lt;=$F$65,$G$120*(1+$F$51/100)^(I111-1),0)</f>
        <v>25819387.216672659</v>
      </c>
      <c r="J120" s="8">
        <f t="shared" si="13"/>
        <v>26361594.348222781</v>
      </c>
      <c r="K120" s="8">
        <f t="shared" si="13"/>
        <v>26915187.829535455</v>
      </c>
      <c r="L120" s="8">
        <f t="shared" si="13"/>
        <v>27480406.773955695</v>
      </c>
      <c r="M120" s="8">
        <f t="shared" si="13"/>
        <v>28057495.316208765</v>
      </c>
      <c r="N120" s="8">
        <f t="shared" si="13"/>
        <v>28646702.717849147</v>
      </c>
      <c r="O120" s="8">
        <f t="shared" si="13"/>
        <v>29248283.474923972</v>
      </c>
      <c r="P120" s="8">
        <f t="shared" si="13"/>
        <v>29862497.427897371</v>
      </c>
      <c r="Q120" s="8">
        <f t="shared" si="13"/>
        <v>30489609.87388321</v>
      </c>
      <c r="R120" s="8">
        <f t="shared" si="13"/>
        <v>31129891.681234758</v>
      </c>
      <c r="S120" s="8">
        <f t="shared" si="13"/>
        <v>31783619.406540681</v>
      </c>
      <c r="T120" s="8">
        <f t="shared" si="13"/>
        <v>32451075.414078031</v>
      </c>
      <c r="U120" s="8">
        <f t="shared" si="13"/>
        <v>33132547.99777367</v>
      </c>
      <c r="V120" s="8">
        <f t="shared" si="13"/>
        <v>0</v>
      </c>
      <c r="W120" s="8">
        <f t="shared" si="13"/>
        <v>0</v>
      </c>
      <c r="X120" s="8">
        <f t="shared" si="13"/>
        <v>0</v>
      </c>
      <c r="Y120" s="8">
        <f t="shared" si="13"/>
        <v>0</v>
      </c>
      <c r="Z120" s="8">
        <f t="shared" si="13"/>
        <v>0</v>
      </c>
      <c r="AA120" s="8">
        <f t="shared" si="13"/>
        <v>0</v>
      </c>
      <c r="AB120" s="8">
        <f t="shared" si="13"/>
        <v>0</v>
      </c>
      <c r="AC120" s="8">
        <f t="shared" si="13"/>
        <v>0</v>
      </c>
      <c r="AD120" s="8">
        <f t="shared" si="13"/>
        <v>0</v>
      </c>
      <c r="AE120" s="8">
        <f t="shared" si="13"/>
        <v>0</v>
      </c>
      <c r="AF120" s="8">
        <f t="shared" si="13"/>
        <v>0</v>
      </c>
      <c r="AG120" s="8">
        <f t="shared" si="13"/>
        <v>0</v>
      </c>
      <c r="AH120" s="8">
        <f t="shared" si="13"/>
        <v>0</v>
      </c>
      <c r="AI120" s="8">
        <f t="shared" si="13"/>
        <v>0</v>
      </c>
      <c r="AJ120" s="8">
        <f t="shared" si="13"/>
        <v>0</v>
      </c>
      <c r="AK120" s="32">
        <f>SUM(G120:AJ120)</f>
        <v>431434831.75724131</v>
      </c>
      <c r="AL120" s="9"/>
      <c r="AM120" s="29"/>
    </row>
    <row r="121" spans="1:39" x14ac:dyDescent="0.2">
      <c r="A121" s="2"/>
      <c r="B121" s="2"/>
      <c r="C121" s="2"/>
      <c r="D121" s="2"/>
      <c r="E121" s="31" t="s">
        <v>136</v>
      </c>
      <c r="F121" s="108"/>
      <c r="G121" s="8">
        <f>IF(G111&lt;=$F$65,OperatingExpenses,0)</f>
        <v>8260000</v>
      </c>
      <c r="H121" s="8">
        <f>IF(H111&lt;=$F$65,NonFuelExpenses*(1+EscalationOther/100)^(H111-1),0)</f>
        <v>8433460</v>
      </c>
      <c r="I121" s="8">
        <f t="shared" ref="H121:AJ121" si="14">IF(I111&lt;=$F$65,$G$121*(1+$F$58/100)^(I111-1),0)</f>
        <v>8610562.6599999983</v>
      </c>
      <c r="J121" s="8">
        <f t="shared" si="14"/>
        <v>8791384.4758599978</v>
      </c>
      <c r="K121" s="8">
        <f t="shared" si="14"/>
        <v>8976003.5498530548</v>
      </c>
      <c r="L121" s="8">
        <f t="shared" si="14"/>
        <v>9164499.6243999694</v>
      </c>
      <c r="M121" s="8">
        <f t="shared" si="14"/>
        <v>9356954.1165123675</v>
      </c>
      <c r="N121" s="8">
        <f t="shared" si="14"/>
        <v>9553450.1529591251</v>
      </c>
      <c r="O121" s="8">
        <f t="shared" si="14"/>
        <v>9754072.6061712652</v>
      </c>
      <c r="P121" s="8">
        <f t="shared" si="14"/>
        <v>9958908.1309008598</v>
      </c>
      <c r="Q121" s="8">
        <f t="shared" si="14"/>
        <v>10168045.201649778</v>
      </c>
      <c r="R121" s="8">
        <f t="shared" si="14"/>
        <v>10381574.150884423</v>
      </c>
      <c r="S121" s="8">
        <f t="shared" si="14"/>
        <v>10599587.208052993</v>
      </c>
      <c r="T121" s="8">
        <f t="shared" si="14"/>
        <v>10822178.539422104</v>
      </c>
      <c r="U121" s="8">
        <f t="shared" si="14"/>
        <v>11049444.288749969</v>
      </c>
      <c r="V121" s="8">
        <f t="shared" si="14"/>
        <v>0</v>
      </c>
      <c r="W121" s="8">
        <f t="shared" si="14"/>
        <v>0</v>
      </c>
      <c r="X121" s="8">
        <f t="shared" si="14"/>
        <v>0</v>
      </c>
      <c r="Y121" s="8">
        <f t="shared" si="14"/>
        <v>0</v>
      </c>
      <c r="Z121" s="8">
        <f t="shared" si="14"/>
        <v>0</v>
      </c>
      <c r="AA121" s="8">
        <f t="shared" si="14"/>
        <v>0</v>
      </c>
      <c r="AB121" s="8">
        <f t="shared" si="14"/>
        <v>0</v>
      </c>
      <c r="AC121" s="8">
        <f t="shared" si="14"/>
        <v>0</v>
      </c>
      <c r="AD121" s="8">
        <f t="shared" si="14"/>
        <v>0</v>
      </c>
      <c r="AE121" s="8">
        <f t="shared" si="14"/>
        <v>0</v>
      </c>
      <c r="AF121" s="8">
        <f t="shared" si="14"/>
        <v>0</v>
      </c>
      <c r="AG121" s="8">
        <f t="shared" si="14"/>
        <v>0</v>
      </c>
      <c r="AH121" s="8">
        <f t="shared" si="14"/>
        <v>0</v>
      </c>
      <c r="AI121" s="8">
        <f t="shared" si="14"/>
        <v>0</v>
      </c>
      <c r="AJ121" s="8">
        <f t="shared" si="14"/>
        <v>0</v>
      </c>
      <c r="AK121" s="32">
        <f t="shared" ref="AK121:AK135" si="15">SUM(G121:AJ121)</f>
        <v>143880124.7054159</v>
      </c>
      <c r="AL121" s="9"/>
      <c r="AM121" s="29"/>
    </row>
    <row r="122" spans="1:39" x14ac:dyDescent="0.2">
      <c r="A122" s="2"/>
      <c r="B122" s="2"/>
      <c r="C122" s="2"/>
      <c r="D122" s="2"/>
      <c r="E122" s="31" t="s">
        <v>14</v>
      </c>
      <c r="F122" s="108"/>
      <c r="G122" s="8">
        <f>IF(G111&lt;=$F$65,DebtReserve,0)</f>
        <v>17905214.15217806</v>
      </c>
      <c r="H122" s="8">
        <f t="shared" ref="H122:AJ122" si="16">IF(OR($G$111=$F$65,H111=$F$65),-$F$77,0)</f>
        <v>0</v>
      </c>
      <c r="I122" s="8">
        <f t="shared" si="16"/>
        <v>0</v>
      </c>
      <c r="J122" s="8">
        <f t="shared" si="16"/>
        <v>0</v>
      </c>
      <c r="K122" s="8">
        <f t="shared" si="16"/>
        <v>0</v>
      </c>
      <c r="L122" s="8">
        <f t="shared" si="16"/>
        <v>0</v>
      </c>
      <c r="M122" s="8">
        <f t="shared" si="16"/>
        <v>0</v>
      </c>
      <c r="N122" s="8">
        <f t="shared" si="16"/>
        <v>0</v>
      </c>
      <c r="O122" s="8">
        <f t="shared" si="16"/>
        <v>0</v>
      </c>
      <c r="P122" s="8">
        <f t="shared" si="16"/>
        <v>0</v>
      </c>
      <c r="Q122" s="8">
        <f t="shared" si="16"/>
        <v>0</v>
      </c>
      <c r="R122" s="8">
        <f t="shared" si="16"/>
        <v>0</v>
      </c>
      <c r="S122" s="8">
        <f t="shared" si="16"/>
        <v>0</v>
      </c>
      <c r="T122" s="8">
        <f t="shared" si="16"/>
        <v>0</v>
      </c>
      <c r="U122" s="8">
        <f t="shared" si="16"/>
        <v>-17905214.15217806</v>
      </c>
      <c r="V122" s="8">
        <f t="shared" si="16"/>
        <v>0</v>
      </c>
      <c r="W122" s="8">
        <f t="shared" si="16"/>
        <v>0</v>
      </c>
      <c r="X122" s="8">
        <f t="shared" si="16"/>
        <v>0</v>
      </c>
      <c r="Y122" s="8">
        <f t="shared" si="16"/>
        <v>0</v>
      </c>
      <c r="Z122" s="8">
        <f t="shared" si="16"/>
        <v>0</v>
      </c>
      <c r="AA122" s="8">
        <f t="shared" si="16"/>
        <v>0</v>
      </c>
      <c r="AB122" s="8">
        <f t="shared" si="16"/>
        <v>0</v>
      </c>
      <c r="AC122" s="8">
        <f t="shared" si="16"/>
        <v>0</v>
      </c>
      <c r="AD122" s="8">
        <f t="shared" si="16"/>
        <v>0</v>
      </c>
      <c r="AE122" s="8">
        <f t="shared" si="16"/>
        <v>0</v>
      </c>
      <c r="AF122" s="8">
        <f t="shared" si="16"/>
        <v>0</v>
      </c>
      <c r="AG122" s="8">
        <f t="shared" si="16"/>
        <v>0</v>
      </c>
      <c r="AH122" s="8">
        <f t="shared" si="16"/>
        <v>0</v>
      </c>
      <c r="AI122" s="8">
        <f t="shared" si="16"/>
        <v>0</v>
      </c>
      <c r="AJ122" s="8">
        <f t="shared" si="16"/>
        <v>0</v>
      </c>
      <c r="AK122" s="32">
        <f t="shared" si="15"/>
        <v>0</v>
      </c>
      <c r="AL122" s="9"/>
      <c r="AM122" s="29"/>
    </row>
    <row r="123" spans="1:39" x14ac:dyDescent="0.2">
      <c r="A123" s="2"/>
      <c r="B123" s="2"/>
      <c r="C123" s="2"/>
      <c r="D123" s="2"/>
      <c r="E123" s="31" t="s">
        <v>71</v>
      </c>
      <c r="F123" s="108"/>
      <c r="G123" s="8">
        <f>IF(G111&lt;=$F$65,FuelCost+NonFuelExpenses,0)</f>
        <v>33028200.038824897</v>
      </c>
      <c r="H123" s="8">
        <f t="shared" ref="H123:AJ123" si="17">IF(H111&lt;=$F$65,SUM(H120:H121),0)</f>
        <v>33721792.239640221</v>
      </c>
      <c r="I123" s="8">
        <f t="shared" si="17"/>
        <v>34429949.876672655</v>
      </c>
      <c r="J123" s="8">
        <f t="shared" si="17"/>
        <v>35152978.824082777</v>
      </c>
      <c r="K123" s="8">
        <f t="shared" si="17"/>
        <v>35891191.379388511</v>
      </c>
      <c r="L123" s="8">
        <f t="shared" si="17"/>
        <v>36644906.398355663</v>
      </c>
      <c r="M123" s="8">
        <f t="shared" si="17"/>
        <v>37414449.432721131</v>
      </c>
      <c r="N123" s="8">
        <f t="shared" si="17"/>
        <v>38200152.870808274</v>
      </c>
      <c r="O123" s="8">
        <f t="shared" si="17"/>
        <v>39002356.081095234</v>
      </c>
      <c r="P123" s="8">
        <f t="shared" si="17"/>
        <v>39821405.558798231</v>
      </c>
      <c r="Q123" s="8">
        <f t="shared" si="17"/>
        <v>40657655.075532988</v>
      </c>
      <c r="R123" s="8">
        <f t="shared" si="17"/>
        <v>41511465.832119182</v>
      </c>
      <c r="S123" s="8">
        <f t="shared" si="17"/>
        <v>42383206.61459367</v>
      </c>
      <c r="T123" s="8">
        <f t="shared" si="17"/>
        <v>43273253.953500137</v>
      </c>
      <c r="U123" s="8">
        <f t="shared" si="17"/>
        <v>44181992.28652364</v>
      </c>
      <c r="V123" s="8">
        <f t="shared" si="17"/>
        <v>0</v>
      </c>
      <c r="W123" s="8">
        <f t="shared" si="17"/>
        <v>0</v>
      </c>
      <c r="X123" s="8">
        <f t="shared" si="17"/>
        <v>0</v>
      </c>
      <c r="Y123" s="8">
        <f t="shared" si="17"/>
        <v>0</v>
      </c>
      <c r="Z123" s="8">
        <f t="shared" si="17"/>
        <v>0</v>
      </c>
      <c r="AA123" s="8">
        <f t="shared" si="17"/>
        <v>0</v>
      </c>
      <c r="AB123" s="8">
        <f t="shared" si="17"/>
        <v>0</v>
      </c>
      <c r="AC123" s="8">
        <f t="shared" si="17"/>
        <v>0</v>
      </c>
      <c r="AD123" s="8">
        <f t="shared" si="17"/>
        <v>0</v>
      </c>
      <c r="AE123" s="8">
        <f t="shared" si="17"/>
        <v>0</v>
      </c>
      <c r="AF123" s="8">
        <f t="shared" si="17"/>
        <v>0</v>
      </c>
      <c r="AG123" s="8">
        <f t="shared" si="17"/>
        <v>0</v>
      </c>
      <c r="AH123" s="8">
        <f t="shared" si="17"/>
        <v>0</v>
      </c>
      <c r="AI123" s="8">
        <f t="shared" si="17"/>
        <v>0</v>
      </c>
      <c r="AJ123" s="8">
        <f t="shared" si="17"/>
        <v>0</v>
      </c>
      <c r="AK123" s="32">
        <f t="shared" si="15"/>
        <v>575314956.46265721</v>
      </c>
      <c r="AL123" s="9"/>
      <c r="AM123" s="29"/>
    </row>
    <row r="124" spans="1:39" x14ac:dyDescent="0.2">
      <c r="A124" s="2"/>
      <c r="B124" s="2"/>
      <c r="C124" s="2"/>
      <c r="D124" s="2"/>
      <c r="E124" s="31" t="s">
        <v>15</v>
      </c>
      <c r="F124" s="108"/>
      <c r="G124" s="8">
        <f>IF(G111&lt;=$F$65,AmountOfCapitalFinancing*G104,0)</f>
        <v>13766666.666666666</v>
      </c>
      <c r="H124" s="8">
        <f t="shared" ref="G124:AJ124" si="18">IF(H111&lt;=$F$65,$H$94*H104,0)</f>
        <v>13766666.666666666</v>
      </c>
      <c r="I124" s="8">
        <f t="shared" si="18"/>
        <v>13766666.666666666</v>
      </c>
      <c r="J124" s="8">
        <f t="shared" si="18"/>
        <v>13766666.666666666</v>
      </c>
      <c r="K124" s="8">
        <f t="shared" si="18"/>
        <v>13766666.666666666</v>
      </c>
      <c r="L124" s="8">
        <f t="shared" si="18"/>
        <v>13766666.666666666</v>
      </c>
      <c r="M124" s="8">
        <f t="shared" si="18"/>
        <v>13766666.666666666</v>
      </c>
      <c r="N124" s="8">
        <f t="shared" si="18"/>
        <v>13766666.666666666</v>
      </c>
      <c r="O124" s="8">
        <f t="shared" si="18"/>
        <v>13766666.666666666</v>
      </c>
      <c r="P124" s="8">
        <f t="shared" si="18"/>
        <v>13766666.666666666</v>
      </c>
      <c r="Q124" s="8">
        <f t="shared" si="18"/>
        <v>13766666.666666666</v>
      </c>
      <c r="R124" s="8">
        <f t="shared" si="18"/>
        <v>13766666.666666666</v>
      </c>
      <c r="S124" s="8">
        <f t="shared" si="18"/>
        <v>13766666.666666666</v>
      </c>
      <c r="T124" s="8">
        <f t="shared" si="18"/>
        <v>13766666.666666666</v>
      </c>
      <c r="U124" s="8">
        <f t="shared" si="18"/>
        <v>13766666.666666666</v>
      </c>
      <c r="V124" s="8">
        <f t="shared" si="18"/>
        <v>0</v>
      </c>
      <c r="W124" s="8">
        <f t="shared" si="18"/>
        <v>0</v>
      </c>
      <c r="X124" s="8">
        <f t="shared" si="18"/>
        <v>0</v>
      </c>
      <c r="Y124" s="8">
        <f t="shared" si="18"/>
        <v>0</v>
      </c>
      <c r="Z124" s="8">
        <f t="shared" si="18"/>
        <v>0</v>
      </c>
      <c r="AA124" s="8">
        <f t="shared" si="18"/>
        <v>0</v>
      </c>
      <c r="AB124" s="8">
        <f t="shared" si="18"/>
        <v>0</v>
      </c>
      <c r="AC124" s="8">
        <f t="shared" si="18"/>
        <v>0</v>
      </c>
      <c r="AD124" s="8">
        <f t="shared" si="18"/>
        <v>0</v>
      </c>
      <c r="AE124" s="8">
        <f t="shared" si="18"/>
        <v>0</v>
      </c>
      <c r="AF124" s="8">
        <f t="shared" si="18"/>
        <v>0</v>
      </c>
      <c r="AG124" s="8">
        <f t="shared" si="18"/>
        <v>0</v>
      </c>
      <c r="AH124" s="8">
        <f t="shared" si="18"/>
        <v>0</v>
      </c>
      <c r="AI124" s="8">
        <f t="shared" si="18"/>
        <v>0</v>
      </c>
      <c r="AJ124" s="8">
        <f t="shared" si="18"/>
        <v>0</v>
      </c>
      <c r="AK124" s="32">
        <f t="shared" si="15"/>
        <v>206499999.99999997</v>
      </c>
      <c r="AL124" s="9"/>
      <c r="AM124" s="29"/>
    </row>
    <row r="125" spans="1:39" x14ac:dyDescent="0.2">
      <c r="A125" s="2"/>
      <c r="B125" s="2"/>
      <c r="C125" s="2"/>
      <c r="D125" s="2"/>
      <c r="E125" s="31" t="s">
        <v>90</v>
      </c>
      <c r="F125" s="108"/>
      <c r="G125" s="209">
        <f>IF(G111&lt;=$F$65,ElectricalEnergy,0)</f>
        <v>2</v>
      </c>
      <c r="H125" s="209">
        <f>IF(H111&lt;=$F$65,IncomeElectricalEnergy*(1+EscalationElectricalEnergy/100)^(H111-1),0)</f>
        <v>2.0419999999999998</v>
      </c>
      <c r="I125" s="209">
        <f t="shared" ref="H125:AJ125" si="19">IF(I111&lt;=$F$65,$G$125*(1+$F$52/100)^(I111-1),0)</f>
        <v>2.0848819999999995</v>
      </c>
      <c r="J125" s="209">
        <f t="shared" si="19"/>
        <v>2.1286645219999993</v>
      </c>
      <c r="K125" s="209">
        <f t="shared" si="19"/>
        <v>2.1733664769619989</v>
      </c>
      <c r="L125" s="209">
        <f t="shared" si="19"/>
        <v>2.2190071729782006</v>
      </c>
      <c r="M125" s="209">
        <f t="shared" si="19"/>
        <v>2.2656063236107427</v>
      </c>
      <c r="N125" s="209">
        <f t="shared" si="19"/>
        <v>2.313184056406568</v>
      </c>
      <c r="O125" s="209">
        <f t="shared" si="19"/>
        <v>2.3617609215911055</v>
      </c>
      <c r="P125" s="209">
        <f t="shared" si="19"/>
        <v>2.4113579009445183</v>
      </c>
      <c r="Q125" s="209">
        <f t="shared" si="19"/>
        <v>2.4619964168643529</v>
      </c>
      <c r="R125" s="209">
        <f t="shared" si="19"/>
        <v>2.5136983416185044</v>
      </c>
      <c r="S125" s="209">
        <f t="shared" si="19"/>
        <v>2.5664860067924922</v>
      </c>
      <c r="T125" s="209">
        <f t="shared" si="19"/>
        <v>2.6203822129351342</v>
      </c>
      <c r="U125" s="209">
        <f t="shared" si="19"/>
        <v>2.675410239406772</v>
      </c>
      <c r="V125" s="8">
        <f t="shared" si="19"/>
        <v>0</v>
      </c>
      <c r="W125" s="8">
        <f t="shared" si="19"/>
        <v>0</v>
      </c>
      <c r="X125" s="8">
        <f t="shared" si="19"/>
        <v>0</v>
      </c>
      <c r="Y125" s="8">
        <f t="shared" si="19"/>
        <v>0</v>
      </c>
      <c r="Z125" s="8">
        <f t="shared" si="19"/>
        <v>0</v>
      </c>
      <c r="AA125" s="8">
        <f t="shared" si="19"/>
        <v>0</v>
      </c>
      <c r="AB125" s="8">
        <f t="shared" si="19"/>
        <v>0</v>
      </c>
      <c r="AC125" s="8">
        <f t="shared" si="19"/>
        <v>0</v>
      </c>
      <c r="AD125" s="8">
        <f t="shared" si="19"/>
        <v>0</v>
      </c>
      <c r="AE125" s="8">
        <f t="shared" si="19"/>
        <v>0</v>
      </c>
      <c r="AF125" s="8">
        <f t="shared" si="19"/>
        <v>0</v>
      </c>
      <c r="AG125" s="8">
        <f t="shared" si="19"/>
        <v>0</v>
      </c>
      <c r="AH125" s="8">
        <f t="shared" si="19"/>
        <v>0</v>
      </c>
      <c r="AI125" s="8">
        <f t="shared" si="19"/>
        <v>0</v>
      </c>
      <c r="AJ125" s="8">
        <f t="shared" si="19"/>
        <v>0</v>
      </c>
      <c r="AK125" s="32">
        <f t="shared" si="15"/>
        <v>34.837802592110393</v>
      </c>
      <c r="AL125" s="9"/>
      <c r="AM125" s="29"/>
    </row>
    <row r="126" spans="1:39" x14ac:dyDescent="0.2">
      <c r="A126" s="2"/>
      <c r="B126" s="2"/>
      <c r="C126" s="2"/>
      <c r="D126" s="2"/>
      <c r="E126" s="31" t="s">
        <v>74</v>
      </c>
      <c r="F126" s="108"/>
      <c r="G126" s="209">
        <f>IF(G111&lt;=$F$65,IF(G111&lt;=$G$36,IncentivePayments,0),0)</f>
        <v>2</v>
      </c>
      <c r="H126" s="209">
        <f>IF(H111&lt;=$F$65,IF(H111&lt;=$G$36,$G$126*(1+$F$53/100)^(H111-1),0),0)</f>
        <v>2.0419999999999998</v>
      </c>
      <c r="I126" s="209">
        <f t="shared" ref="H126:AJ126" si="20">IF(I111&lt;=$F$65,IF(I111&lt;=$G$36,$G$126*(1+$F$53/100)^(I111-1),0),0)</f>
        <v>2.0848819999999995</v>
      </c>
      <c r="J126" s="209">
        <f t="shared" si="20"/>
        <v>2.1286645219999993</v>
      </c>
      <c r="K126" s="209">
        <f t="shared" si="20"/>
        <v>2.1733664769619989</v>
      </c>
      <c r="L126" s="209">
        <f t="shared" si="20"/>
        <v>2.2190071729782006</v>
      </c>
      <c r="M126" s="209">
        <f t="shared" si="20"/>
        <v>2.2656063236107427</v>
      </c>
      <c r="N126" s="209">
        <f t="shared" si="20"/>
        <v>2.313184056406568</v>
      </c>
      <c r="O126" s="209">
        <f t="shared" si="20"/>
        <v>2.3617609215911055</v>
      </c>
      <c r="P126" s="209">
        <f t="shared" si="20"/>
        <v>2.4113579009445183</v>
      </c>
      <c r="Q126" s="209">
        <f t="shared" si="20"/>
        <v>2.4619964168643529</v>
      </c>
      <c r="R126" s="209">
        <f t="shared" si="20"/>
        <v>2.5136983416185044</v>
      </c>
      <c r="S126" s="209">
        <f t="shared" si="20"/>
        <v>2.5664860067924922</v>
      </c>
      <c r="T126" s="209">
        <f t="shared" si="20"/>
        <v>2.6203822129351342</v>
      </c>
      <c r="U126" s="209">
        <f t="shared" si="20"/>
        <v>2.675410239406772</v>
      </c>
      <c r="V126" s="8">
        <f t="shared" si="20"/>
        <v>0</v>
      </c>
      <c r="W126" s="8">
        <f t="shared" si="20"/>
        <v>0</v>
      </c>
      <c r="X126" s="8">
        <f t="shared" si="20"/>
        <v>0</v>
      </c>
      <c r="Y126" s="8">
        <f t="shared" si="20"/>
        <v>0</v>
      </c>
      <c r="Z126" s="8">
        <f t="shared" si="20"/>
        <v>0</v>
      </c>
      <c r="AA126" s="8">
        <f t="shared" si="20"/>
        <v>0</v>
      </c>
      <c r="AB126" s="8">
        <f t="shared" si="20"/>
        <v>0</v>
      </c>
      <c r="AC126" s="8">
        <f t="shared" si="20"/>
        <v>0</v>
      </c>
      <c r="AD126" s="8">
        <f t="shared" si="20"/>
        <v>0</v>
      </c>
      <c r="AE126" s="8">
        <f t="shared" si="20"/>
        <v>0</v>
      </c>
      <c r="AF126" s="8">
        <f t="shared" si="20"/>
        <v>0</v>
      </c>
      <c r="AG126" s="8">
        <f t="shared" si="20"/>
        <v>0</v>
      </c>
      <c r="AH126" s="8">
        <f t="shared" si="20"/>
        <v>0</v>
      </c>
      <c r="AI126" s="8">
        <f t="shared" si="20"/>
        <v>0</v>
      </c>
      <c r="AJ126" s="8">
        <f t="shared" si="20"/>
        <v>0</v>
      </c>
      <c r="AK126" s="32">
        <f t="shared" si="15"/>
        <v>34.837802592110393</v>
      </c>
      <c r="AL126" s="9"/>
      <c r="AM126" s="29"/>
    </row>
    <row r="127" spans="1:39" x14ac:dyDescent="0.2">
      <c r="A127" s="2"/>
      <c r="B127" s="2"/>
      <c r="C127" s="2"/>
      <c r="D127" s="2"/>
      <c r="E127" s="31" t="s">
        <v>29</v>
      </c>
      <c r="F127" s="108"/>
      <c r="G127" s="209">
        <f>IF(G111&lt;=$F$65,Capacity,0)</f>
        <v>2</v>
      </c>
      <c r="H127" s="209">
        <f t="shared" ref="H127:AJ127" si="21">IF(H111&lt;=$F$65,$G$127*(1+$F$54/100)^(H$111-1),0)</f>
        <v>2.0419999999999998</v>
      </c>
      <c r="I127" s="209">
        <f t="shared" si="21"/>
        <v>2.0848819999999995</v>
      </c>
      <c r="J127" s="209">
        <f t="shared" si="21"/>
        <v>2.1286645219999993</v>
      </c>
      <c r="K127" s="209">
        <f t="shared" si="21"/>
        <v>2.1733664769619989</v>
      </c>
      <c r="L127" s="209">
        <f t="shared" si="21"/>
        <v>2.2190071729782006</v>
      </c>
      <c r="M127" s="209">
        <f t="shared" si="21"/>
        <v>2.2656063236107427</v>
      </c>
      <c r="N127" s="209">
        <f t="shared" si="21"/>
        <v>2.313184056406568</v>
      </c>
      <c r="O127" s="209">
        <f t="shared" si="21"/>
        <v>2.3617609215911055</v>
      </c>
      <c r="P127" s="209">
        <f t="shared" si="21"/>
        <v>2.4113579009445183</v>
      </c>
      <c r="Q127" s="209">
        <f t="shared" si="21"/>
        <v>2.4619964168643529</v>
      </c>
      <c r="R127" s="209">
        <f t="shared" si="21"/>
        <v>2.5136983416185044</v>
      </c>
      <c r="S127" s="209">
        <f t="shared" si="21"/>
        <v>2.5664860067924922</v>
      </c>
      <c r="T127" s="209">
        <f t="shared" si="21"/>
        <v>2.6203822129351342</v>
      </c>
      <c r="U127" s="209">
        <f t="shared" si="21"/>
        <v>2.675410239406772</v>
      </c>
      <c r="V127" s="8">
        <f t="shared" si="21"/>
        <v>0</v>
      </c>
      <c r="W127" s="8">
        <f t="shared" si="21"/>
        <v>0</v>
      </c>
      <c r="X127" s="8">
        <f t="shared" si="21"/>
        <v>0</v>
      </c>
      <c r="Y127" s="8">
        <f t="shared" si="21"/>
        <v>0</v>
      </c>
      <c r="Z127" s="8">
        <f t="shared" si="21"/>
        <v>0</v>
      </c>
      <c r="AA127" s="8">
        <f t="shared" si="21"/>
        <v>0</v>
      </c>
      <c r="AB127" s="8">
        <f t="shared" si="21"/>
        <v>0</v>
      </c>
      <c r="AC127" s="8">
        <f t="shared" si="21"/>
        <v>0</v>
      </c>
      <c r="AD127" s="8">
        <f t="shared" si="21"/>
        <v>0</v>
      </c>
      <c r="AE127" s="8">
        <f t="shared" si="21"/>
        <v>0</v>
      </c>
      <c r="AF127" s="8">
        <f t="shared" si="21"/>
        <v>0</v>
      </c>
      <c r="AG127" s="8">
        <f t="shared" si="21"/>
        <v>0</v>
      </c>
      <c r="AH127" s="8">
        <f t="shared" si="21"/>
        <v>0</v>
      </c>
      <c r="AI127" s="8">
        <f t="shared" si="21"/>
        <v>0</v>
      </c>
      <c r="AJ127" s="8">
        <f t="shared" si="21"/>
        <v>0</v>
      </c>
      <c r="AK127" s="32">
        <f t="shared" si="15"/>
        <v>34.837802592110393</v>
      </c>
      <c r="AL127" s="9"/>
      <c r="AM127" s="29"/>
    </row>
    <row r="128" spans="1:39" x14ac:dyDescent="0.2">
      <c r="A128" s="2"/>
      <c r="B128" s="2"/>
      <c r="C128" s="2"/>
      <c r="D128" s="2"/>
      <c r="E128" s="31" t="s">
        <v>30</v>
      </c>
      <c r="F128" s="108"/>
      <c r="G128" s="209">
        <f>IF(G111&lt;=$F$65,Heat,0)</f>
        <v>2</v>
      </c>
      <c r="H128" s="209">
        <f t="shared" ref="H128:AJ128" si="22">IF(H111&lt;=$F$65,$G128*(1+$F$56/100)^(H$111-1),0)</f>
        <v>2.0419999999999998</v>
      </c>
      <c r="I128" s="209">
        <f t="shared" si="22"/>
        <v>2.0848819999999995</v>
      </c>
      <c r="J128" s="209">
        <f t="shared" si="22"/>
        <v>2.1286645219999993</v>
      </c>
      <c r="K128" s="209">
        <f t="shared" si="22"/>
        <v>2.1733664769619989</v>
      </c>
      <c r="L128" s="209">
        <f t="shared" si="22"/>
        <v>2.2190071729782006</v>
      </c>
      <c r="M128" s="209">
        <f t="shared" si="22"/>
        <v>2.2656063236107427</v>
      </c>
      <c r="N128" s="209">
        <f t="shared" si="22"/>
        <v>2.313184056406568</v>
      </c>
      <c r="O128" s="209">
        <f t="shared" si="22"/>
        <v>2.3617609215911055</v>
      </c>
      <c r="P128" s="209">
        <f t="shared" si="22"/>
        <v>2.4113579009445183</v>
      </c>
      <c r="Q128" s="209">
        <f t="shared" si="22"/>
        <v>2.4619964168643529</v>
      </c>
      <c r="R128" s="209">
        <f t="shared" si="22"/>
        <v>2.5136983416185044</v>
      </c>
      <c r="S128" s="209">
        <f t="shared" si="22"/>
        <v>2.5664860067924922</v>
      </c>
      <c r="T128" s="209">
        <f t="shared" si="22"/>
        <v>2.6203822129351342</v>
      </c>
      <c r="U128" s="209">
        <f t="shared" si="22"/>
        <v>2.675410239406772</v>
      </c>
      <c r="V128" s="8">
        <f t="shared" si="22"/>
        <v>0</v>
      </c>
      <c r="W128" s="8">
        <f t="shared" si="22"/>
        <v>0</v>
      </c>
      <c r="X128" s="8">
        <f t="shared" si="22"/>
        <v>0</v>
      </c>
      <c r="Y128" s="8">
        <f t="shared" si="22"/>
        <v>0</v>
      </c>
      <c r="Z128" s="8">
        <f t="shared" si="22"/>
        <v>0</v>
      </c>
      <c r="AA128" s="8">
        <f t="shared" si="22"/>
        <v>0</v>
      </c>
      <c r="AB128" s="8">
        <f t="shared" si="22"/>
        <v>0</v>
      </c>
      <c r="AC128" s="8">
        <f t="shared" si="22"/>
        <v>0</v>
      </c>
      <c r="AD128" s="8">
        <f t="shared" si="22"/>
        <v>0</v>
      </c>
      <c r="AE128" s="8">
        <f t="shared" si="22"/>
        <v>0</v>
      </c>
      <c r="AF128" s="8">
        <f t="shared" si="22"/>
        <v>0</v>
      </c>
      <c r="AG128" s="8">
        <f t="shared" si="22"/>
        <v>0</v>
      </c>
      <c r="AH128" s="8">
        <f t="shared" si="22"/>
        <v>0</v>
      </c>
      <c r="AI128" s="8">
        <f t="shared" si="22"/>
        <v>0</v>
      </c>
      <c r="AJ128" s="8">
        <f t="shared" si="22"/>
        <v>0</v>
      </c>
      <c r="AK128" s="32">
        <f t="shared" si="15"/>
        <v>34.837802592110393</v>
      </c>
      <c r="AL128" s="9"/>
      <c r="AM128" s="29"/>
    </row>
    <row r="129" spans="1:39" x14ac:dyDescent="0.2">
      <c r="A129" s="2"/>
      <c r="B129" s="2"/>
      <c r="C129" s="2"/>
      <c r="D129" s="2"/>
      <c r="E129" s="31" t="s">
        <v>139</v>
      </c>
      <c r="F129" s="108"/>
      <c r="G129" s="209">
        <f>IF(G111&lt;=$F$65,Residues,0)</f>
        <v>2</v>
      </c>
      <c r="H129" s="209">
        <f t="shared" ref="H129:AJ129" si="23">IF(H111&lt;=$F$65,$G$129*(1+$F$57/100)^(H$111-1),0)</f>
        <v>2.0419999999999998</v>
      </c>
      <c r="I129" s="209">
        <f t="shared" si="23"/>
        <v>2.0848819999999995</v>
      </c>
      <c r="J129" s="209">
        <f t="shared" si="23"/>
        <v>2.1286645219999993</v>
      </c>
      <c r="K129" s="209">
        <f t="shared" si="23"/>
        <v>2.1733664769619989</v>
      </c>
      <c r="L129" s="209">
        <f t="shared" si="23"/>
        <v>2.2190071729782006</v>
      </c>
      <c r="M129" s="209">
        <f t="shared" si="23"/>
        <v>2.2656063236107427</v>
      </c>
      <c r="N129" s="209">
        <f t="shared" si="23"/>
        <v>2.313184056406568</v>
      </c>
      <c r="O129" s="209">
        <f t="shared" si="23"/>
        <v>2.3617609215911055</v>
      </c>
      <c r="P129" s="209">
        <f t="shared" si="23"/>
        <v>2.4113579009445183</v>
      </c>
      <c r="Q129" s="209">
        <f t="shared" si="23"/>
        <v>2.4619964168643529</v>
      </c>
      <c r="R129" s="209">
        <f t="shared" si="23"/>
        <v>2.5136983416185044</v>
      </c>
      <c r="S129" s="209">
        <f t="shared" si="23"/>
        <v>2.5664860067924922</v>
      </c>
      <c r="T129" s="209">
        <f t="shared" si="23"/>
        <v>2.6203822129351342</v>
      </c>
      <c r="U129" s="209">
        <f t="shared" si="23"/>
        <v>2.675410239406772</v>
      </c>
      <c r="V129" s="8">
        <f t="shared" si="23"/>
        <v>0</v>
      </c>
      <c r="W129" s="8">
        <f t="shared" si="23"/>
        <v>0</v>
      </c>
      <c r="X129" s="8">
        <f t="shared" si="23"/>
        <v>0</v>
      </c>
      <c r="Y129" s="8">
        <f t="shared" si="23"/>
        <v>0</v>
      </c>
      <c r="Z129" s="8">
        <f t="shared" si="23"/>
        <v>0</v>
      </c>
      <c r="AA129" s="8">
        <f t="shared" si="23"/>
        <v>0</v>
      </c>
      <c r="AB129" s="8">
        <f t="shared" si="23"/>
        <v>0</v>
      </c>
      <c r="AC129" s="8">
        <f t="shared" si="23"/>
        <v>0</v>
      </c>
      <c r="AD129" s="8">
        <f t="shared" si="23"/>
        <v>0</v>
      </c>
      <c r="AE129" s="8">
        <f t="shared" si="23"/>
        <v>0</v>
      </c>
      <c r="AF129" s="8">
        <f t="shared" si="23"/>
        <v>0</v>
      </c>
      <c r="AG129" s="8">
        <f t="shared" si="23"/>
        <v>0</v>
      </c>
      <c r="AH129" s="8">
        <f t="shared" si="23"/>
        <v>0</v>
      </c>
      <c r="AI129" s="8">
        <f t="shared" si="23"/>
        <v>0</v>
      </c>
      <c r="AJ129" s="8">
        <f t="shared" si="23"/>
        <v>0</v>
      </c>
      <c r="AK129" s="32">
        <f t="shared" si="15"/>
        <v>34.837802592110393</v>
      </c>
      <c r="AL129" s="9"/>
      <c r="AM129" s="29"/>
    </row>
    <row r="130" spans="1:39" x14ac:dyDescent="0.2">
      <c r="A130" s="2"/>
      <c r="B130" s="2"/>
      <c r="C130" s="2"/>
      <c r="D130" s="2"/>
      <c r="E130" s="31" t="s">
        <v>16</v>
      </c>
      <c r="F130" s="108"/>
      <c r="G130" s="8">
        <f>IF(G111&lt;=$F$65,AnnualDebtReserveInterest,0)</f>
        <v>358104.28304356121</v>
      </c>
      <c r="H130" s="8">
        <f t="shared" ref="G130:AJ130" si="24">IF(H111&lt;=$F$65,$F$91,0)</f>
        <v>358104.28304356121</v>
      </c>
      <c r="I130" s="8">
        <f t="shared" si="24"/>
        <v>358104.28304356121</v>
      </c>
      <c r="J130" s="8">
        <f t="shared" si="24"/>
        <v>358104.28304356121</v>
      </c>
      <c r="K130" s="8">
        <f t="shared" si="24"/>
        <v>358104.28304356121</v>
      </c>
      <c r="L130" s="8">
        <f t="shared" si="24"/>
        <v>358104.28304356121</v>
      </c>
      <c r="M130" s="8">
        <f t="shared" si="24"/>
        <v>358104.28304356121</v>
      </c>
      <c r="N130" s="8">
        <f t="shared" si="24"/>
        <v>358104.28304356121</v>
      </c>
      <c r="O130" s="8">
        <f t="shared" si="24"/>
        <v>358104.28304356121</v>
      </c>
      <c r="P130" s="8">
        <f t="shared" si="24"/>
        <v>358104.28304356121</v>
      </c>
      <c r="Q130" s="8">
        <f t="shared" si="24"/>
        <v>358104.28304356121</v>
      </c>
      <c r="R130" s="8">
        <f t="shared" si="24"/>
        <v>358104.28304356121</v>
      </c>
      <c r="S130" s="8">
        <f t="shared" si="24"/>
        <v>358104.28304356121</v>
      </c>
      <c r="T130" s="8">
        <f t="shared" si="24"/>
        <v>358104.28304356121</v>
      </c>
      <c r="U130" s="8">
        <f t="shared" si="24"/>
        <v>358104.28304356121</v>
      </c>
      <c r="V130" s="8">
        <f t="shared" si="24"/>
        <v>0</v>
      </c>
      <c r="W130" s="8">
        <f t="shared" si="24"/>
        <v>0</v>
      </c>
      <c r="X130" s="8">
        <f t="shared" si="24"/>
        <v>0</v>
      </c>
      <c r="Y130" s="8">
        <f t="shared" si="24"/>
        <v>0</v>
      </c>
      <c r="Z130" s="8">
        <f t="shared" si="24"/>
        <v>0</v>
      </c>
      <c r="AA130" s="8">
        <f t="shared" si="24"/>
        <v>0</v>
      </c>
      <c r="AB130" s="8">
        <f t="shared" si="24"/>
        <v>0</v>
      </c>
      <c r="AC130" s="8">
        <f t="shared" si="24"/>
        <v>0</v>
      </c>
      <c r="AD130" s="8">
        <f t="shared" si="24"/>
        <v>0</v>
      </c>
      <c r="AE130" s="8">
        <f t="shared" si="24"/>
        <v>0</v>
      </c>
      <c r="AF130" s="8">
        <f t="shared" si="24"/>
        <v>0</v>
      </c>
      <c r="AG130" s="8">
        <f t="shared" si="24"/>
        <v>0</v>
      </c>
      <c r="AH130" s="8">
        <f t="shared" si="24"/>
        <v>0</v>
      </c>
      <c r="AI130" s="8">
        <f t="shared" si="24"/>
        <v>0</v>
      </c>
      <c r="AJ130" s="8">
        <f t="shared" si="24"/>
        <v>0</v>
      </c>
      <c r="AK130" s="32">
        <f t="shared" si="15"/>
        <v>5371564.2456534179</v>
      </c>
      <c r="AL130" s="9"/>
      <c r="AM130" s="29"/>
    </row>
    <row r="131" spans="1:39" x14ac:dyDescent="0.2">
      <c r="A131" s="2"/>
      <c r="B131" s="2"/>
      <c r="C131" s="2"/>
      <c r="D131" s="2"/>
      <c r="E131" s="31" t="s">
        <v>72</v>
      </c>
      <c r="F131" s="108"/>
      <c r="G131" s="8">
        <f>IF(G111&lt;=$F$65,(($F$47/100)/(1-(CombinedTaxRate/100)))*(EquityPrincipalPaid+DebtPrincipalPaid+EquityInterest-Depreciation+DebtReserve1),0)</f>
        <v>10917737.001676362</v>
      </c>
      <c r="H131" s="8">
        <f t="shared" ref="H131:AJ131" si="25">IF(H111&lt;=$F$65,(($F$47/100)/(1-($F$47/100)))*(H$114+H$118+H$113-H$124+H$122),0)</f>
        <v>-799122.26811277075</v>
      </c>
      <c r="I131" s="8">
        <f t="shared" si="25"/>
        <v>-495939.9682630098</v>
      </c>
      <c r="J131" s="8">
        <f t="shared" si="25"/>
        <v>-177598.55342075852</v>
      </c>
      <c r="K131" s="8">
        <f t="shared" si="25"/>
        <v>156659.93216360389</v>
      </c>
      <c r="L131" s="8">
        <f t="shared" si="25"/>
        <v>507631.34202718415</v>
      </c>
      <c r="M131" s="8">
        <f t="shared" si="25"/>
        <v>876151.32238394325</v>
      </c>
      <c r="N131" s="8">
        <f t="shared" si="25"/>
        <v>1263097.3017585434</v>
      </c>
      <c r="O131" s="8">
        <f t="shared" si="25"/>
        <v>1669390.5801018709</v>
      </c>
      <c r="P131" s="8">
        <f t="shared" si="25"/>
        <v>2095998.522362364</v>
      </c>
      <c r="Q131" s="8">
        <f t="shared" si="25"/>
        <v>2543936.8617358841</v>
      </c>
      <c r="R131" s="8">
        <f t="shared" si="25"/>
        <v>3014272.1180780786</v>
      </c>
      <c r="S131" s="8">
        <f t="shared" si="25"/>
        <v>3508124.1372373831</v>
      </c>
      <c r="T131" s="8">
        <f t="shared" si="25"/>
        <v>4026668.7573546506</v>
      </c>
      <c r="U131" s="8">
        <f t="shared" si="25"/>
        <v>-7434463.7087873118</v>
      </c>
      <c r="V131" s="8">
        <f t="shared" si="25"/>
        <v>0</v>
      </c>
      <c r="W131" s="8">
        <f t="shared" si="25"/>
        <v>0</v>
      </c>
      <c r="X131" s="8">
        <f t="shared" si="25"/>
        <v>0</v>
      </c>
      <c r="Y131" s="8">
        <f t="shared" si="25"/>
        <v>0</v>
      </c>
      <c r="Z131" s="8">
        <f t="shared" si="25"/>
        <v>0</v>
      </c>
      <c r="AA131" s="8">
        <f t="shared" si="25"/>
        <v>0</v>
      </c>
      <c r="AB131" s="8">
        <f t="shared" si="25"/>
        <v>0</v>
      </c>
      <c r="AC131" s="8">
        <f t="shared" si="25"/>
        <v>0</v>
      </c>
      <c r="AD131" s="8">
        <f t="shared" si="25"/>
        <v>0</v>
      </c>
      <c r="AE131" s="8">
        <f t="shared" si="25"/>
        <v>0</v>
      </c>
      <c r="AF131" s="8">
        <f t="shared" si="25"/>
        <v>0</v>
      </c>
      <c r="AG131" s="8">
        <f t="shared" si="25"/>
        <v>0</v>
      </c>
      <c r="AH131" s="8">
        <f t="shared" si="25"/>
        <v>0</v>
      </c>
      <c r="AI131" s="8">
        <f t="shared" si="25"/>
        <v>0</v>
      </c>
      <c r="AJ131" s="8">
        <f t="shared" si="25"/>
        <v>0</v>
      </c>
      <c r="AK131" s="32">
        <f>SUM(G131:AJ131)</f>
        <v>21672543.378296018</v>
      </c>
      <c r="AL131" s="9"/>
      <c r="AM131" s="29"/>
    </row>
    <row r="132" spans="1:39" x14ac:dyDescent="0.2">
      <c r="A132" s="2"/>
      <c r="B132" s="2"/>
      <c r="C132" s="2"/>
      <c r="D132" s="2"/>
      <c r="E132" s="31" t="s">
        <v>24</v>
      </c>
      <c r="F132" s="108"/>
      <c r="G132" s="8">
        <f>IF(G111&lt;=$F$65,AnnualHydrogenEnergy*ProductionTaxCredit*G108/100,0)</f>
        <v>674308.79999999981</v>
      </c>
      <c r="H132" s="8">
        <f>IF(H111&lt;=$F$65,AnnualHydrogenEnergy*$F$45*((1+$F$55/100)^(H111-1))*H108/100,0)</f>
        <v>688469.28479999979</v>
      </c>
      <c r="I132" s="8">
        <f t="shared" ref="H132:AJ132" si="26">IF(I111&lt;=$F$65,$F$17*$F$45*((1+$F$55/100)^(I111-1))*I108/100,0)</f>
        <v>702927.13978079963</v>
      </c>
      <c r="J132" s="8">
        <f t="shared" si="26"/>
        <v>717688.60971619631</v>
      </c>
      <c r="K132" s="8">
        <f t="shared" si="26"/>
        <v>732760.07052023639</v>
      </c>
      <c r="L132" s="8">
        <f t="shared" si="26"/>
        <v>0</v>
      </c>
      <c r="M132" s="8">
        <f t="shared" si="26"/>
        <v>0</v>
      </c>
      <c r="N132" s="8">
        <f t="shared" si="26"/>
        <v>0</v>
      </c>
      <c r="O132" s="8">
        <f t="shared" si="26"/>
        <v>0</v>
      </c>
      <c r="P132" s="8">
        <f t="shared" si="26"/>
        <v>0</v>
      </c>
      <c r="Q132" s="8">
        <f t="shared" si="26"/>
        <v>0</v>
      </c>
      <c r="R132" s="8">
        <f t="shared" si="26"/>
        <v>0</v>
      </c>
      <c r="S132" s="8">
        <f t="shared" si="26"/>
        <v>0</v>
      </c>
      <c r="T132" s="8">
        <f t="shared" si="26"/>
        <v>0</v>
      </c>
      <c r="U132" s="8">
        <f t="shared" si="26"/>
        <v>0</v>
      </c>
      <c r="V132" s="8">
        <f t="shared" si="26"/>
        <v>0</v>
      </c>
      <c r="W132" s="8">
        <f t="shared" si="26"/>
        <v>0</v>
      </c>
      <c r="X132" s="8">
        <f t="shared" si="26"/>
        <v>0</v>
      </c>
      <c r="Y132" s="8">
        <f t="shared" si="26"/>
        <v>0</v>
      </c>
      <c r="Z132" s="8">
        <f t="shared" si="26"/>
        <v>0</v>
      </c>
      <c r="AA132" s="8">
        <f t="shared" si="26"/>
        <v>0</v>
      </c>
      <c r="AB132" s="8">
        <f t="shared" si="26"/>
        <v>0</v>
      </c>
      <c r="AC132" s="8">
        <f t="shared" si="26"/>
        <v>0</v>
      </c>
      <c r="AD132" s="8">
        <f t="shared" si="26"/>
        <v>0</v>
      </c>
      <c r="AE132" s="8">
        <f t="shared" si="26"/>
        <v>0</v>
      </c>
      <c r="AF132" s="8">
        <f t="shared" si="26"/>
        <v>0</v>
      </c>
      <c r="AG132" s="8">
        <f t="shared" si="26"/>
        <v>0</v>
      </c>
      <c r="AH132" s="8">
        <f t="shared" si="26"/>
        <v>0</v>
      </c>
      <c r="AI132" s="8">
        <f t="shared" si="26"/>
        <v>0</v>
      </c>
      <c r="AJ132" s="8">
        <f t="shared" si="26"/>
        <v>0</v>
      </c>
      <c r="AK132" s="32">
        <f t="shared" si="15"/>
        <v>3516153.9048172319</v>
      </c>
      <c r="AL132" s="9"/>
      <c r="AM132" s="29"/>
    </row>
    <row r="133" spans="1:39" x14ac:dyDescent="0.2">
      <c r="A133" s="2"/>
      <c r="B133" s="2"/>
      <c r="C133" s="2"/>
      <c r="D133" s="2"/>
      <c r="E133" s="31" t="s">
        <v>98</v>
      </c>
      <c r="F133" s="138" t="str">
        <f>F46</f>
        <v>Yes</v>
      </c>
      <c r="G133" s="8">
        <f>IF(G111&lt;=$F$65,IF((TaxesWoCredit-TaxCredit)&lt;0,IF(OR(LEFT($F$46,1)="Y",LEFT($F$46,1)="y"),((CombinedTaxRate/100)/(1-(CombinedTaxRate/100)))*(EquityPrincipalPaid+DebtPrincipalPaid+EquityInterest-Depreciation+DebtReserve1-TaxCredit),0),((CombinedTaxRate/100)/(1-(CombinedTaxRate/100)))*(EquityPrincipalPaid+DebtPrincipalPaid+EquityInterest-Depreciation+DebtReserve1-TaxCredit)),0)</f>
        <v>10465606.992415061</v>
      </c>
      <c r="H133" s="8">
        <f t="shared" ref="H133:AJ133" si="27">IF(H111&lt;=$F$65,IF((H131-H132)&lt;0,IF(OR(LEFT($F$46,1)="Y",LEFT($F$46,1)="y"),(($F$47/100)/(1-($F$47/100)))*(H$114+H$118+H$113-H$124+H$122-H$132),0),(($F$47/100)/(1-($F$47/100)))*(H$114+H$118+H$113-H$124+H$122-H$132)),0)</f>
        <v>-1260747.0075685591</v>
      </c>
      <c r="I133" s="8">
        <f t="shared" si="27"/>
        <v>-967258.82724736957</v>
      </c>
      <c r="J133" s="8">
        <f t="shared" si="27"/>
        <v>-658815.10844378977</v>
      </c>
      <c r="K133" s="8">
        <f t="shared" si="27"/>
        <v>-334662.17051491101</v>
      </c>
      <c r="L133" s="8">
        <f t="shared" si="27"/>
        <v>507631.34202718415</v>
      </c>
      <c r="M133" s="8">
        <f t="shared" si="27"/>
        <v>876151.32238394325</v>
      </c>
      <c r="N133" s="8">
        <f t="shared" si="27"/>
        <v>1263097.3017585434</v>
      </c>
      <c r="O133" s="8">
        <f t="shared" si="27"/>
        <v>1669390.5801018709</v>
      </c>
      <c r="P133" s="8">
        <f t="shared" si="27"/>
        <v>2095998.522362364</v>
      </c>
      <c r="Q133" s="8">
        <f t="shared" si="27"/>
        <v>2543936.8617358841</v>
      </c>
      <c r="R133" s="8">
        <f t="shared" si="27"/>
        <v>3014272.1180780786</v>
      </c>
      <c r="S133" s="8">
        <f t="shared" si="27"/>
        <v>3508124.1372373831</v>
      </c>
      <c r="T133" s="8">
        <f t="shared" si="27"/>
        <v>4026668.7573546506</v>
      </c>
      <c r="U133" s="8">
        <f t="shared" si="27"/>
        <v>-7434463.7087873118</v>
      </c>
      <c r="V133" s="8">
        <f t="shared" si="27"/>
        <v>0</v>
      </c>
      <c r="W133" s="8">
        <f t="shared" si="27"/>
        <v>0</v>
      </c>
      <c r="X133" s="8">
        <f t="shared" si="27"/>
        <v>0</v>
      </c>
      <c r="Y133" s="8">
        <f t="shared" si="27"/>
        <v>0</v>
      </c>
      <c r="Z133" s="8">
        <f t="shared" si="27"/>
        <v>0</v>
      </c>
      <c r="AA133" s="8">
        <f t="shared" si="27"/>
        <v>0</v>
      </c>
      <c r="AB133" s="8">
        <f t="shared" si="27"/>
        <v>0</v>
      </c>
      <c r="AC133" s="8">
        <f t="shared" si="27"/>
        <v>0</v>
      </c>
      <c r="AD133" s="8">
        <f t="shared" si="27"/>
        <v>0</v>
      </c>
      <c r="AE133" s="8">
        <f t="shared" si="27"/>
        <v>0</v>
      </c>
      <c r="AF133" s="8">
        <f t="shared" si="27"/>
        <v>0</v>
      </c>
      <c r="AG133" s="8">
        <f t="shared" si="27"/>
        <v>0</v>
      </c>
      <c r="AH133" s="8">
        <f t="shared" si="27"/>
        <v>0</v>
      </c>
      <c r="AI133" s="8">
        <f t="shared" si="27"/>
        <v>0</v>
      </c>
      <c r="AJ133" s="8">
        <f t="shared" si="27"/>
        <v>0</v>
      </c>
      <c r="AK133" s="32">
        <f t="shared" si="15"/>
        <v>19314931.112893023</v>
      </c>
      <c r="AL133" s="9"/>
      <c r="AM133" s="29"/>
    </row>
    <row r="134" spans="1:39" x14ac:dyDescent="0.2">
      <c r="A134" s="2"/>
      <c r="B134" s="2"/>
      <c r="C134" s="2"/>
      <c r="D134" s="2"/>
      <c r="E134" s="34" t="s">
        <v>141</v>
      </c>
      <c r="F134" s="126"/>
      <c r="G134" s="35">
        <f>IF(G111&lt;=$F$65,EquityRecovery+DebtRecovery+FuelCost+NonFuelExpenses+DebtReserve1+Taxes-G125-G126-G127-G128-G129-InterestOnDebtReserve,0)</f>
        <v>82477623.189698637</v>
      </c>
      <c r="H134" s="35">
        <f t="shared" ref="H134:AJ134" si="28">IF(H111&lt;=$F$65,H112+H116+H120+H121+H122+H133-H125-H126-H127-H128-H129-H130,0)</f>
        <v>53539647.028352261</v>
      </c>
      <c r="I134" s="35">
        <f t="shared" si="28"/>
        <v>54541292.631295912</v>
      </c>
      <c r="J134" s="35">
        <f t="shared" si="28"/>
        <v>55572765.078596987</v>
      </c>
      <c r="K134" s="35">
        <f t="shared" si="28"/>
        <v>56635130.348321818</v>
      </c>
      <c r="L134" s="35">
        <f t="shared" si="28"/>
        <v>58231138.651627608</v>
      </c>
      <c r="M134" s="35">
        <f t="shared" si="28"/>
        <v>59369201.43335408</v>
      </c>
      <c r="N134" s="35">
        <f t="shared" si="28"/>
        <v>60541850.612927169</v>
      </c>
      <c r="O134" s="35">
        <f t="shared" si="28"/>
        <v>61750346.858673111</v>
      </c>
      <c r="P134" s="35">
        <f t="shared" si="28"/>
        <v>62996004.030651703</v>
      </c>
      <c r="Q134" s="35">
        <f t="shared" si="28"/>
        <v>64280191.633567415</v>
      </c>
      <c r="R134" s="35">
        <f t="shared" si="28"/>
        <v>65604337.387986176</v>
      </c>
      <c r="S134" s="35">
        <f t="shared" si="28"/>
        <v>66969929.925681666</v>
      </c>
      <c r="T134" s="35">
        <f t="shared" si="28"/>
        <v>68378521.615224302</v>
      </c>
      <c r="U134" s="35">
        <f t="shared" si="28"/>
        <v>39920913.054787673</v>
      </c>
      <c r="V134" s="35">
        <f t="shared" si="28"/>
        <v>0</v>
      </c>
      <c r="W134" s="35">
        <f t="shared" si="28"/>
        <v>0</v>
      </c>
      <c r="X134" s="35">
        <f t="shared" si="28"/>
        <v>0</v>
      </c>
      <c r="Y134" s="35">
        <f t="shared" si="28"/>
        <v>0</v>
      </c>
      <c r="Z134" s="35">
        <f t="shared" si="28"/>
        <v>0</v>
      </c>
      <c r="AA134" s="35">
        <f t="shared" si="28"/>
        <v>0</v>
      </c>
      <c r="AB134" s="35">
        <f t="shared" si="28"/>
        <v>0</v>
      </c>
      <c r="AC134" s="35">
        <f t="shared" si="28"/>
        <v>0</v>
      </c>
      <c r="AD134" s="35">
        <f t="shared" si="28"/>
        <v>0</v>
      </c>
      <c r="AE134" s="35">
        <f t="shared" si="28"/>
        <v>0</v>
      </c>
      <c r="AF134" s="35">
        <f t="shared" si="28"/>
        <v>0</v>
      </c>
      <c r="AG134" s="35">
        <f t="shared" si="28"/>
        <v>0</v>
      </c>
      <c r="AH134" s="35">
        <f t="shared" si="28"/>
        <v>0</v>
      </c>
      <c r="AI134" s="35">
        <f t="shared" si="28"/>
        <v>0</v>
      </c>
      <c r="AJ134" s="35">
        <f t="shared" si="28"/>
        <v>0</v>
      </c>
      <c r="AK134" s="151">
        <f t="shared" si="15"/>
        <v>910808893.48074651</v>
      </c>
      <c r="AL134" s="9"/>
      <c r="AM134" s="29"/>
    </row>
    <row r="135" spans="1:39" x14ac:dyDescent="0.2">
      <c r="A135" s="2"/>
      <c r="B135" s="2"/>
      <c r="C135" s="2"/>
      <c r="D135" s="2"/>
      <c r="E135" s="105" t="s">
        <v>143</v>
      </c>
      <c r="F135" s="125"/>
      <c r="G135" s="106">
        <f>IF(G111&lt;=$F$65,G134*(1+$F$64/100)^-G111,0)</f>
        <v>71719672.33886838</v>
      </c>
      <c r="H135" s="106">
        <f>IF(H111&lt;=$F$65,H134*(1+$F$64/100)^-H111,0)</f>
        <v>40483665.049793772</v>
      </c>
      <c r="I135" s="106">
        <f t="shared" ref="I135:AJ135" si="29">IF(I111&lt;=$F$65,I134*(1+$F$64/100)^-I111,0)</f>
        <v>35861785.242900252</v>
      </c>
      <c r="J135" s="106">
        <f t="shared" si="29"/>
        <v>31773908.800267015</v>
      </c>
      <c r="K135" s="106">
        <f t="shared" si="29"/>
        <v>28157669.209771741</v>
      </c>
      <c r="L135" s="106">
        <f t="shared" si="29"/>
        <v>25174928.180450678</v>
      </c>
      <c r="M135" s="106">
        <f t="shared" si="29"/>
        <v>22319081.849452965</v>
      </c>
      <c r="N135" s="106">
        <f t="shared" si="29"/>
        <v>19791238.357295576</v>
      </c>
      <c r="O135" s="106">
        <f t="shared" si="29"/>
        <v>17553302.542362057</v>
      </c>
      <c r="P135" s="106">
        <f t="shared" si="29"/>
        <v>15571648.743168518</v>
      </c>
      <c r="Q135" s="106">
        <f t="shared" si="29"/>
        <v>13816591.546435289</v>
      </c>
      <c r="R135" s="106">
        <f t="shared" si="29"/>
        <v>12261919.741073046</v>
      </c>
      <c r="S135" s="106">
        <f t="shared" si="29"/>
        <v>10884485.870095555</v>
      </c>
      <c r="T135" s="106">
        <f t="shared" si="29"/>
        <v>9663844.6949557085</v>
      </c>
      <c r="U135" s="106">
        <f t="shared" si="29"/>
        <v>4906060.058795128</v>
      </c>
      <c r="V135" s="106">
        <f t="shared" si="29"/>
        <v>0</v>
      </c>
      <c r="W135" s="106">
        <f t="shared" si="29"/>
        <v>0</v>
      </c>
      <c r="X135" s="106">
        <f t="shared" si="29"/>
        <v>0</v>
      </c>
      <c r="Y135" s="106">
        <f t="shared" si="29"/>
        <v>0</v>
      </c>
      <c r="Z135" s="106">
        <f t="shared" si="29"/>
        <v>0</v>
      </c>
      <c r="AA135" s="106">
        <f t="shared" si="29"/>
        <v>0</v>
      </c>
      <c r="AB135" s="106">
        <f t="shared" si="29"/>
        <v>0</v>
      </c>
      <c r="AC135" s="106">
        <f t="shared" si="29"/>
        <v>0</v>
      </c>
      <c r="AD135" s="106">
        <f t="shared" si="29"/>
        <v>0</v>
      </c>
      <c r="AE135" s="106">
        <f t="shared" si="29"/>
        <v>0</v>
      </c>
      <c r="AF135" s="106">
        <f t="shared" si="29"/>
        <v>0</v>
      </c>
      <c r="AG135" s="106">
        <f t="shared" si="29"/>
        <v>0</v>
      </c>
      <c r="AH135" s="106">
        <f t="shared" si="29"/>
        <v>0</v>
      </c>
      <c r="AI135" s="106">
        <f t="shared" si="29"/>
        <v>0</v>
      </c>
      <c r="AJ135" s="106">
        <f t="shared" si="29"/>
        <v>0</v>
      </c>
      <c r="AK135" s="32">
        <f t="shared" si="15"/>
        <v>359939802.22568578</v>
      </c>
      <c r="AL135" s="9"/>
      <c r="AM135" s="29"/>
    </row>
    <row r="136" spans="1:39" x14ac:dyDescent="0.2">
      <c r="A136" s="2"/>
      <c r="B136" s="2"/>
      <c r="C136" s="2"/>
      <c r="D136" s="2"/>
      <c r="E136" s="105" t="s">
        <v>144</v>
      </c>
      <c r="F136" s="107">
        <f>SUM(G135:AJ135)</f>
        <v>359939802.22568578</v>
      </c>
      <c r="G136" s="152" t="str">
        <f>IF(F136&lt;&gt;AK135,"  Error on sum","  No error on sum")</f>
        <v xml:space="preserve">  No error on sum</v>
      </c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54"/>
      <c r="AK136" s="130"/>
      <c r="AL136" s="9"/>
    </row>
    <row r="137" spans="1:39" x14ac:dyDescent="0.2">
      <c r="A137" s="2"/>
      <c r="B137" s="2"/>
      <c r="C137" s="2"/>
      <c r="D137" s="2"/>
      <c r="E137" s="105" t="s">
        <v>142</v>
      </c>
      <c r="F137" s="107">
        <f>F136*CapitalRecoveryFactorEquity</f>
        <v>61555844.106729306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7"/>
      <c r="AA137" s="7"/>
      <c r="AB137" s="7"/>
      <c r="AC137" s="8"/>
      <c r="AD137" s="8"/>
      <c r="AE137" s="8"/>
      <c r="AF137" s="8"/>
      <c r="AG137" s="8"/>
      <c r="AH137" s="8"/>
      <c r="AI137" s="8"/>
      <c r="AJ137" s="153"/>
      <c r="AK137" s="153"/>
      <c r="AL137" s="9"/>
    </row>
    <row r="138" spans="1:39" x14ac:dyDescent="0.2">
      <c r="A138" s="2"/>
      <c r="B138" s="2"/>
      <c r="C138" s="2"/>
      <c r="D138" s="2"/>
      <c r="E138" s="105" t="s">
        <v>145</v>
      </c>
      <c r="F138" s="107">
        <f>F136*CapitalRecoveryFactorEquityConstant</f>
        <v>54650187.41767966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7"/>
      <c r="AA138" s="7"/>
      <c r="AB138" s="7"/>
      <c r="AC138" s="8"/>
      <c r="AD138" s="8"/>
      <c r="AE138" s="8"/>
      <c r="AF138" s="8"/>
      <c r="AG138" s="8"/>
      <c r="AH138" s="8"/>
      <c r="AI138" s="8"/>
      <c r="AJ138" s="153"/>
      <c r="AK138" s="153"/>
      <c r="AL138" s="9"/>
    </row>
    <row r="139" spans="1:39" x14ac:dyDescent="0.2">
      <c r="A139" s="2"/>
      <c r="B139" s="2"/>
      <c r="C139" s="2"/>
      <c r="D139" s="2"/>
      <c r="E139" s="105" t="s">
        <v>146</v>
      </c>
      <c r="F139" s="155">
        <f>F137/F16</f>
        <v>1.1660768565768804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7"/>
      <c r="AA139" s="7"/>
      <c r="AB139" s="7"/>
      <c r="AC139" s="8"/>
      <c r="AD139" s="8"/>
      <c r="AE139" s="8"/>
      <c r="AF139" s="8"/>
      <c r="AG139" s="8"/>
      <c r="AH139" s="8"/>
      <c r="AI139" s="8"/>
      <c r="AJ139" s="153"/>
      <c r="AK139" s="153"/>
      <c r="AL139" s="9"/>
    </row>
    <row r="140" spans="1:39" x14ac:dyDescent="0.2">
      <c r="A140" s="2"/>
      <c r="B140" s="2"/>
      <c r="C140" s="2"/>
      <c r="D140" s="2"/>
      <c r="E140" s="105" t="s">
        <v>147</v>
      </c>
      <c r="F140" s="155">
        <f>F138/F16</f>
        <v>1.0352602531914381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7"/>
      <c r="AA140" s="7"/>
      <c r="AB140" s="7"/>
      <c r="AC140" s="8"/>
      <c r="AD140" s="8"/>
      <c r="AE140" s="8"/>
      <c r="AF140" s="8"/>
      <c r="AG140" s="8"/>
      <c r="AH140" s="8"/>
      <c r="AI140" s="8"/>
      <c r="AJ140" s="153"/>
      <c r="AK140" s="153"/>
      <c r="AL140" s="9"/>
    </row>
    <row r="141" spans="1:39" x14ac:dyDescent="0.2">
      <c r="A141" s="2"/>
      <c r="B141" s="2"/>
      <c r="C141" s="2"/>
      <c r="D141" s="2"/>
      <c r="E141" s="105" t="s">
        <v>148</v>
      </c>
      <c r="F141" s="155">
        <f>F137/F17</f>
        <v>8.2158589204317654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7"/>
      <c r="AA141" s="7"/>
      <c r="AB141" s="7"/>
      <c r="AC141" s="8"/>
      <c r="AD141" s="8"/>
      <c r="AE141" s="8"/>
      <c r="AF141" s="8"/>
      <c r="AG141" s="8"/>
      <c r="AH141" s="8"/>
      <c r="AI141" s="8"/>
      <c r="AJ141" s="153"/>
      <c r="AK141" s="153"/>
      <c r="AL141" s="9"/>
    </row>
    <row r="142" spans="1:39" x14ac:dyDescent="0.2">
      <c r="A142" s="2"/>
      <c r="B142" s="2"/>
      <c r="C142" s="2"/>
      <c r="D142" s="2"/>
      <c r="E142" s="105" t="s">
        <v>149</v>
      </c>
      <c r="F142" s="155">
        <f>F138/F17</f>
        <v>7.2941608764280854</v>
      </c>
      <c r="G142" s="131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6"/>
      <c r="AA142" s="36"/>
      <c r="AB142" s="36"/>
      <c r="AC142" s="35"/>
      <c r="AD142" s="35"/>
      <c r="AE142" s="35"/>
      <c r="AF142" s="35"/>
      <c r="AG142" s="35"/>
      <c r="AH142" s="35"/>
      <c r="AI142" s="35"/>
      <c r="AJ142" s="132"/>
      <c r="AK142" s="132"/>
      <c r="AL142" s="9"/>
    </row>
    <row r="143" spans="1:39" x14ac:dyDescent="0.2">
      <c r="A143" s="2"/>
      <c r="B143" s="2"/>
      <c r="C143" s="2"/>
      <c r="D143" s="2"/>
      <c r="E143" s="2"/>
      <c r="F143" s="9"/>
      <c r="G143" s="9"/>
      <c r="H143" s="9"/>
      <c r="I143" s="9"/>
      <c r="J143" s="2"/>
      <c r="K143" s="9" t="str">
        <f>""</f>
        <v/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2"/>
      <c r="AA143" s="2"/>
      <c r="AB143" s="2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spans="1:39" x14ac:dyDescent="0.2">
      <c r="A144" s="2"/>
      <c r="B144" s="2"/>
      <c r="C144" s="2"/>
      <c r="D144" s="2"/>
      <c r="E144" s="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9"/>
      <c r="AE144" s="9"/>
      <c r="AF144" s="9"/>
      <c r="AG144" s="9"/>
      <c r="AH144" s="9"/>
      <c r="AI144" s="9"/>
      <c r="AJ144" s="9"/>
      <c r="AK144" s="9"/>
      <c r="AL144" s="9"/>
      <c r="AM144" s="29"/>
    </row>
    <row r="145" spans="1:39" s="30" customFormat="1" x14ac:dyDescent="0.2">
      <c r="A145" s="11"/>
      <c r="B145" s="11"/>
      <c r="C145" s="11"/>
      <c r="D145" s="11"/>
      <c r="E145" s="136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65"/>
      <c r="AE145" s="65"/>
      <c r="AF145" s="65"/>
      <c r="AG145" s="65"/>
      <c r="AH145" s="65"/>
      <c r="AI145" s="65"/>
      <c r="AJ145" s="65"/>
      <c r="AK145" s="65"/>
      <c r="AL145" s="65"/>
      <c r="AM145" s="137"/>
    </row>
    <row r="146" spans="1:39" ht="22.5" customHeight="1" thickBot="1" x14ac:dyDescent="0.25">
      <c r="A146" s="2"/>
      <c r="B146" s="135"/>
      <c r="C146" s="135"/>
      <c r="D146" s="135"/>
      <c r="E146" s="2"/>
      <c r="F146" s="198" t="s">
        <v>31</v>
      </c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200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9"/>
      <c r="AE146" s="9"/>
      <c r="AF146" s="9"/>
      <c r="AG146" s="9"/>
      <c r="AH146" s="9"/>
      <c r="AI146" s="9"/>
      <c r="AJ146" s="9"/>
      <c r="AK146" s="9"/>
      <c r="AL146" s="9"/>
      <c r="AM146" s="28"/>
    </row>
    <row r="147" spans="1:39" ht="12" thickBot="1" x14ac:dyDescent="0.25">
      <c r="A147" s="2"/>
      <c r="B147" s="2"/>
      <c r="C147" s="2"/>
      <c r="D147" s="2"/>
      <c r="E147" s="2"/>
      <c r="F147" s="201" t="s">
        <v>32</v>
      </c>
      <c r="G147" s="202"/>
      <c r="H147" s="202"/>
      <c r="I147" s="202"/>
      <c r="J147" s="202"/>
      <c r="K147" s="203"/>
      <c r="L147" s="9"/>
      <c r="M147" s="201" t="s">
        <v>32</v>
      </c>
      <c r="N147" s="202"/>
      <c r="O147" s="202"/>
      <c r="P147" s="202"/>
      <c r="Q147" s="202"/>
      <c r="R147" s="203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9"/>
      <c r="AH147" s="2"/>
      <c r="AI147" s="2"/>
      <c r="AJ147" s="2"/>
      <c r="AK147" s="2"/>
      <c r="AL147" s="2"/>
      <c r="AM147" s="12"/>
    </row>
    <row r="148" spans="1:39" x14ac:dyDescent="0.2">
      <c r="A148" s="2"/>
      <c r="B148" s="2"/>
      <c r="C148" s="2"/>
      <c r="D148" s="2"/>
      <c r="E148" s="2"/>
      <c r="F148" s="175" t="s">
        <v>25</v>
      </c>
      <c r="G148" s="176"/>
      <c r="H148" s="177" t="s">
        <v>95</v>
      </c>
      <c r="I148" s="177"/>
      <c r="J148" s="178">
        <f>F66</f>
        <v>206500000</v>
      </c>
      <c r="K148" s="179"/>
      <c r="L148" s="2"/>
      <c r="M148" s="175" t="s">
        <v>33</v>
      </c>
      <c r="N148" s="176"/>
      <c r="O148" s="177" t="s">
        <v>96</v>
      </c>
      <c r="P148" s="177"/>
      <c r="Q148" s="178">
        <f>$F$61</f>
        <v>90</v>
      </c>
      <c r="R148" s="179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12"/>
    </row>
    <row r="149" spans="1:39" ht="45" x14ac:dyDescent="0.2">
      <c r="A149" s="2"/>
      <c r="B149" s="2"/>
      <c r="C149" s="2"/>
      <c r="D149" s="2"/>
      <c r="E149" s="134"/>
      <c r="F149" s="37" t="s">
        <v>35</v>
      </c>
      <c r="G149" s="38" t="s">
        <v>36</v>
      </c>
      <c r="H149" s="38" t="s">
        <v>25</v>
      </c>
      <c r="I149" s="38" t="s">
        <v>154</v>
      </c>
      <c r="J149" s="38" t="s">
        <v>156</v>
      </c>
      <c r="K149" s="39" t="s">
        <v>157</v>
      </c>
      <c r="L149" s="2"/>
      <c r="M149" s="37" t="s">
        <v>35</v>
      </c>
      <c r="N149" s="38" t="s">
        <v>36</v>
      </c>
      <c r="O149" s="38" t="s">
        <v>33</v>
      </c>
      <c r="P149" s="38" t="s">
        <v>154</v>
      </c>
      <c r="Q149" s="38" t="s">
        <v>156</v>
      </c>
      <c r="R149" s="39" t="s">
        <v>157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12"/>
    </row>
    <row r="150" spans="1:39" x14ac:dyDescent="0.2">
      <c r="A150" s="2"/>
      <c r="B150" s="2"/>
      <c r="C150" s="2"/>
      <c r="D150" s="2"/>
      <c r="E150" s="134"/>
      <c r="F150" s="37"/>
      <c r="G150" s="38" t="s">
        <v>37</v>
      </c>
      <c r="H150" s="38" t="s">
        <v>28</v>
      </c>
      <c r="I150" s="38" t="s">
        <v>155</v>
      </c>
      <c r="J150" s="38" t="s">
        <v>155</v>
      </c>
      <c r="K150" s="27" t="s">
        <v>37</v>
      </c>
      <c r="L150" s="2"/>
      <c r="M150" s="37"/>
      <c r="N150" s="38" t="s">
        <v>37</v>
      </c>
      <c r="O150" s="38" t="s">
        <v>37</v>
      </c>
      <c r="P150" s="38" t="s">
        <v>155</v>
      </c>
      <c r="Q150" s="38" t="s">
        <v>155</v>
      </c>
      <c r="R150" s="27" t="s">
        <v>37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12"/>
    </row>
    <row r="151" spans="1:39" ht="22.5" x14ac:dyDescent="0.2">
      <c r="A151" s="2"/>
      <c r="B151" s="2"/>
      <c r="C151" s="2"/>
      <c r="D151" s="2"/>
      <c r="E151" s="134"/>
      <c r="F151" s="40" t="s">
        <v>38</v>
      </c>
      <c r="G151" s="41"/>
      <c r="H151" s="41"/>
      <c r="I151" s="157">
        <f>F139</f>
        <v>1.1660768565768804</v>
      </c>
      <c r="J151" s="157">
        <f>F140</f>
        <v>1.0352602531914381</v>
      </c>
      <c r="K151" s="42"/>
      <c r="L151" s="2"/>
      <c r="M151" s="40" t="s">
        <v>38</v>
      </c>
      <c r="N151" s="41"/>
      <c r="O151" s="41"/>
      <c r="P151" s="157">
        <f>F139</f>
        <v>1.1660768565768804</v>
      </c>
      <c r="Q151" s="157">
        <f>F140</f>
        <v>1.0352602531914381</v>
      </c>
      <c r="R151" s="4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12"/>
    </row>
    <row r="152" spans="1:39" x14ac:dyDescent="0.2">
      <c r="A152" s="2"/>
      <c r="B152" s="2"/>
      <c r="C152" s="2"/>
      <c r="D152" s="2"/>
      <c r="E152" s="2"/>
      <c r="F152" s="43">
        <f t="shared" ref="F152:F159" si="30">F153-1</f>
        <v>-10</v>
      </c>
      <c r="G152" s="44">
        <f>IF(ISERROR((H152-H162)/H162*100),"error",(H152-H162)/H162*100)</f>
        <v>-75.786924939467312</v>
      </c>
      <c r="H152" s="45">
        <v>50000000</v>
      </c>
      <c r="I152" s="23">
        <f t="dataTable" ref="I152:J172" dt2D="0" dtr="0" r1="F66" ca="1"/>
        <v>0.80158958289650872</v>
      </c>
      <c r="J152" s="23">
        <v>0.7116630690889163</v>
      </c>
      <c r="K152" s="46">
        <f>(J152-J162)/J162*100</f>
        <v>-31.257568626338728</v>
      </c>
      <c r="L152" s="2"/>
      <c r="M152" s="43">
        <f t="shared" ref="M152:M159" si="31">M153-1</f>
        <v>-10</v>
      </c>
      <c r="N152" s="44">
        <f t="shared" ref="N152:N172" si="32">IF(ISERROR((O152-O$162)/O$162*100),"error",(O152-O$162)/O$162*100)</f>
        <v>-100</v>
      </c>
      <c r="O152" s="1">
        <v>0</v>
      </c>
      <c r="P152" s="23">
        <f t="dataTable" ref="P152:Q172" dt2D="0" dtr="0" r1="F61"/>
        <v>1.627827558471824</v>
      </c>
      <c r="Q152" s="23">
        <v>1.4452093451907324</v>
      </c>
      <c r="R152" s="46">
        <f>(Q152-Q162)/Q162*100</f>
        <v>39.598650748498059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12"/>
    </row>
    <row r="153" spans="1:39" x14ac:dyDescent="0.2">
      <c r="A153" s="2"/>
      <c r="B153" s="2"/>
      <c r="C153" s="2"/>
      <c r="D153" s="2"/>
      <c r="E153" s="2"/>
      <c r="F153" s="43">
        <f t="shared" si="30"/>
        <v>-9</v>
      </c>
      <c r="G153" s="44">
        <f>IF(ISERROR((H153-H162)/H162*100),"error",(H153-H162)/H162*100)</f>
        <v>-68.208232445520579</v>
      </c>
      <c r="H153" s="44">
        <f>H162+F153*(H162-H152)/10</f>
        <v>65650000</v>
      </c>
      <c r="I153" s="23">
        <v>0.83803831026454556</v>
      </c>
      <c r="J153" s="23">
        <v>0.74402278749916817</v>
      </c>
      <c r="K153" s="46">
        <f>(J153-J162)/J162*100</f>
        <v>-28.131811763704885</v>
      </c>
      <c r="L153" s="2"/>
      <c r="M153" s="43">
        <f t="shared" si="31"/>
        <v>-9</v>
      </c>
      <c r="N153" s="44">
        <f t="shared" si="32"/>
        <v>-90</v>
      </c>
      <c r="O153" s="44">
        <f>O162+M153*(O162-O152)/10</f>
        <v>9</v>
      </c>
      <c r="P153" s="23">
        <v>1.5816524882823293</v>
      </c>
      <c r="Q153" s="23">
        <v>1.4042144359908026</v>
      </c>
      <c r="R153" s="46">
        <f>(Q153-Q162)/Q162*100</f>
        <v>35.638785673648222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12"/>
    </row>
    <row r="154" spans="1:39" x14ac:dyDescent="0.2">
      <c r="A154" s="2"/>
      <c r="B154" s="2"/>
      <c r="C154" s="2"/>
      <c r="D154" s="2"/>
      <c r="E154" s="2"/>
      <c r="F154" s="43">
        <f t="shared" si="30"/>
        <v>-8</v>
      </c>
      <c r="G154" s="44">
        <f>IF(ISERROR((H154-H162)/H162*100),"error",(H154-H162)/H162*100)</f>
        <v>-60.629539951573854</v>
      </c>
      <c r="H154" s="44">
        <f>H162+F154*(H162-H152)/10</f>
        <v>81300000</v>
      </c>
      <c r="I154" s="23">
        <v>0.87448703763258284</v>
      </c>
      <c r="J154" s="23">
        <v>0.77638250590942059</v>
      </c>
      <c r="K154" s="46">
        <f>(J154-J162)/J162*100</f>
        <v>-25.006054901070986</v>
      </c>
      <c r="L154" s="2"/>
      <c r="M154" s="43">
        <f t="shared" si="31"/>
        <v>-8</v>
      </c>
      <c r="N154" s="44">
        <f t="shared" si="32"/>
        <v>-80</v>
      </c>
      <c r="O154" s="44">
        <f>O162+M154*(O162-O152)/10</f>
        <v>18</v>
      </c>
      <c r="P154" s="23">
        <v>1.5354774180928346</v>
      </c>
      <c r="Q154" s="23">
        <v>1.3632195267908731</v>
      </c>
      <c r="R154" s="46">
        <f>(Q154-Q162)/Q162*100</f>
        <v>31.678920598798406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12"/>
    </row>
    <row r="155" spans="1:39" x14ac:dyDescent="0.2">
      <c r="A155" s="2"/>
      <c r="B155" s="2"/>
      <c r="C155" s="2"/>
      <c r="D155" s="2"/>
      <c r="E155" s="2"/>
      <c r="F155" s="43">
        <f t="shared" si="30"/>
        <v>-7</v>
      </c>
      <c r="G155" s="44">
        <f>IF(ISERROR((H155-H162)/H162*100),"error",(H155-H162)/H162*100)</f>
        <v>-53.050847457627114</v>
      </c>
      <c r="H155" s="44">
        <f>H162+F155*(H162-H152)/10</f>
        <v>96950000</v>
      </c>
      <c r="I155" s="23">
        <v>0.9109357650006199</v>
      </c>
      <c r="J155" s="23">
        <v>0.80874222431967258</v>
      </c>
      <c r="K155" s="46">
        <f>(J155-J162)/J162*100</f>
        <v>-21.880298038437132</v>
      </c>
      <c r="L155" s="2"/>
      <c r="M155" s="43">
        <f t="shared" si="31"/>
        <v>-7</v>
      </c>
      <c r="N155" s="44">
        <f t="shared" si="32"/>
        <v>-70</v>
      </c>
      <c r="O155" s="44">
        <f>O162+M155*(O162-O152)/10</f>
        <v>27</v>
      </c>
      <c r="P155" s="23">
        <v>1.4893023479033407</v>
      </c>
      <c r="Q155" s="23">
        <v>1.322224617590944</v>
      </c>
      <c r="R155" s="46">
        <f>(Q155-Q162)/Q162*100</f>
        <v>27.719055523948633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12"/>
    </row>
    <row r="156" spans="1:39" x14ac:dyDescent="0.2">
      <c r="A156" s="2"/>
      <c r="B156" s="2"/>
      <c r="C156" s="2"/>
      <c r="D156" s="2"/>
      <c r="E156" s="2"/>
      <c r="F156" s="43">
        <f t="shared" si="30"/>
        <v>-6</v>
      </c>
      <c r="G156" s="44">
        <f>IF(ISERROR((H156-H162)/H162*100),"error",(H156-H162)/H162*100)</f>
        <v>-45.472154963680389</v>
      </c>
      <c r="H156" s="44">
        <f>H162+F156*(H162-H152)/10</f>
        <v>112600000</v>
      </c>
      <c r="I156" s="23">
        <v>0.9473844923686574</v>
      </c>
      <c r="J156" s="23">
        <v>0.84110194272992511</v>
      </c>
      <c r="K156" s="46">
        <f>(J156-J162)/J162*100</f>
        <v>-18.754541175803226</v>
      </c>
      <c r="L156" s="2"/>
      <c r="M156" s="43">
        <f t="shared" si="31"/>
        <v>-6</v>
      </c>
      <c r="N156" s="44">
        <f t="shared" si="32"/>
        <v>-60</v>
      </c>
      <c r="O156" s="44">
        <f>O162+M156*(O162-O152)/10</f>
        <v>36</v>
      </c>
      <c r="P156" s="23">
        <v>1.4431272777138464</v>
      </c>
      <c r="Q156" s="23">
        <v>1.2812297083910142</v>
      </c>
      <c r="R156" s="46">
        <f>(Q156-Q162)/Q162*100</f>
        <v>23.759190449098792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12"/>
    </row>
    <row r="157" spans="1:39" x14ac:dyDescent="0.2">
      <c r="A157" s="2"/>
      <c r="B157" s="2"/>
      <c r="C157" s="2"/>
      <c r="D157" s="2"/>
      <c r="E157" s="2"/>
      <c r="F157" s="43">
        <f t="shared" si="30"/>
        <v>-5</v>
      </c>
      <c r="G157" s="44">
        <f>IF(ISERROR((H157-H162)/H162*100),"error",(H157-H162)/H162*100)</f>
        <v>-37.893462469733656</v>
      </c>
      <c r="H157" s="44">
        <f>H162+F157*(H162-H152)/10</f>
        <v>128250000</v>
      </c>
      <c r="I157" s="23">
        <v>0.98383321973669446</v>
      </c>
      <c r="J157" s="23">
        <v>0.87346166114017709</v>
      </c>
      <c r="K157" s="46">
        <f>(J157-J162)/J162*100</f>
        <v>-15.628784313169373</v>
      </c>
      <c r="L157" s="2"/>
      <c r="M157" s="43">
        <f t="shared" si="31"/>
        <v>-5</v>
      </c>
      <c r="N157" s="44">
        <f t="shared" si="32"/>
        <v>-50</v>
      </c>
      <c r="O157" s="44">
        <f>O162+M157*(O162-O152)/10</f>
        <v>45</v>
      </c>
      <c r="P157" s="23">
        <v>1.3969522075243523</v>
      </c>
      <c r="Q157" s="23">
        <v>1.2402347991910854</v>
      </c>
      <c r="R157" s="46">
        <f>(Q157-Q162)/Q162*100</f>
        <v>19.79932537424904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12"/>
    </row>
    <row r="158" spans="1:39" x14ac:dyDescent="0.2">
      <c r="A158" s="2"/>
      <c r="B158" s="2"/>
      <c r="C158" s="2"/>
      <c r="D158" s="2"/>
      <c r="E158" s="2"/>
      <c r="F158" s="43">
        <f t="shared" si="30"/>
        <v>-4</v>
      </c>
      <c r="G158" s="44">
        <f>IF(ISERROR((H158-H162)/H162*100),"error",(H158-H162)/H162*100)</f>
        <v>-30.314769975786927</v>
      </c>
      <c r="H158" s="44">
        <f>H162+F158*(H162-H152)/10</f>
        <v>143900000</v>
      </c>
      <c r="I158" s="23">
        <v>1.0202819471047315</v>
      </c>
      <c r="J158" s="23">
        <v>0.9058213795504293</v>
      </c>
      <c r="K158" s="46">
        <f>(J158-J162)/J162*100</f>
        <v>-12.503027450535498</v>
      </c>
      <c r="L158" s="2"/>
      <c r="M158" s="43">
        <f t="shared" si="31"/>
        <v>-4</v>
      </c>
      <c r="N158" s="44">
        <f t="shared" si="32"/>
        <v>-40</v>
      </c>
      <c r="O158" s="44">
        <f>O162+M158*(O162-O152)/10</f>
        <v>54</v>
      </c>
      <c r="P158" s="23">
        <v>1.3507771373348578</v>
      </c>
      <c r="Q158" s="23">
        <v>1.1992398899911558</v>
      </c>
      <c r="R158" s="46">
        <f>(Q158-Q162)/Q162*100</f>
        <v>15.839460299399224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12"/>
    </row>
    <row r="159" spans="1:39" x14ac:dyDescent="0.2">
      <c r="A159" s="2"/>
      <c r="B159" s="2"/>
      <c r="C159" s="2"/>
      <c r="D159" s="2"/>
      <c r="E159" s="2"/>
      <c r="F159" s="43">
        <f t="shared" si="30"/>
        <v>-3</v>
      </c>
      <c r="G159" s="44">
        <f>IF(ISERROR((H159-H162)/H162*100),"error",(H159-H162)/H162*100)</f>
        <v>-22.736077481840194</v>
      </c>
      <c r="H159" s="44">
        <f>H162+F159*(H162-H152)/10</f>
        <v>159550000</v>
      </c>
      <c r="I159" s="23">
        <v>1.0567306744727687</v>
      </c>
      <c r="J159" s="23">
        <v>0.9381810979606815</v>
      </c>
      <c r="K159" s="46">
        <f>(J159-J162)/J162*100</f>
        <v>-9.3772705879016236</v>
      </c>
      <c r="L159" s="2"/>
      <c r="M159" s="43">
        <f t="shared" si="31"/>
        <v>-3</v>
      </c>
      <c r="N159" s="44">
        <f t="shared" si="32"/>
        <v>-30</v>
      </c>
      <c r="O159" s="44">
        <f>O162+M159*(O162-O152)/10</f>
        <v>63</v>
      </c>
      <c r="P159" s="23">
        <v>1.3046020671453635</v>
      </c>
      <c r="Q159" s="23">
        <v>1.1582449807912263</v>
      </c>
      <c r="R159" s="46">
        <f>(Q159-Q162)/Q162*100</f>
        <v>11.879595224549407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12"/>
    </row>
    <row r="160" spans="1:39" x14ac:dyDescent="0.2">
      <c r="A160" s="2"/>
      <c r="B160" s="2"/>
      <c r="C160" s="2"/>
      <c r="D160" s="2"/>
      <c r="E160" s="2"/>
      <c r="F160" s="43">
        <f>F161-1</f>
        <v>-2</v>
      </c>
      <c r="G160" s="44">
        <f>IF(ISERROR((H160-H162)/H162*100),"error",(H160-H162)/H162*100)</f>
        <v>-15.157384987893463</v>
      </c>
      <c r="H160" s="44">
        <f>H162+F160*(H162-H152)/10</f>
        <v>175200000</v>
      </c>
      <c r="I160" s="23">
        <v>1.0931794018408061</v>
      </c>
      <c r="J160" s="23">
        <v>0.97054081637093359</v>
      </c>
      <c r="K160" s="46">
        <f>(J160-J162)/J162*100</f>
        <v>-6.2515137252677597</v>
      </c>
      <c r="L160" s="2"/>
      <c r="M160" s="43">
        <f>M161-1</f>
        <v>-2</v>
      </c>
      <c r="N160" s="44">
        <f t="shared" si="32"/>
        <v>-20</v>
      </c>
      <c r="O160" s="44">
        <f>O162+M160*(O162-O152)/10</f>
        <v>72</v>
      </c>
      <c r="P160" s="23">
        <v>1.258426996955869</v>
      </c>
      <c r="Q160" s="23">
        <v>1.1172500715912967</v>
      </c>
      <c r="R160" s="46">
        <f>(Q160-Q162)/Q162*100</f>
        <v>7.91973014969959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12"/>
    </row>
    <row r="161" spans="1:39" x14ac:dyDescent="0.2">
      <c r="A161" s="2"/>
      <c r="B161" s="2"/>
      <c r="C161" s="2"/>
      <c r="D161" s="2"/>
      <c r="E161" s="2"/>
      <c r="F161" s="43">
        <v>-1</v>
      </c>
      <c r="G161" s="44">
        <f>IF(ISERROR((H161-H162)/H162*100),"error",(H161-H162)/H162*100)</f>
        <v>-7.5786924939467317</v>
      </c>
      <c r="H161" s="44">
        <f>H162+F161*(H162-H152)/10</f>
        <v>190850000</v>
      </c>
      <c r="I161" s="23">
        <v>1.1296281292088428</v>
      </c>
      <c r="J161" s="23">
        <v>1.0029005347811857</v>
      </c>
      <c r="K161" s="46">
        <f>(J161-J162)/J162*100</f>
        <v>-3.1257568626338958</v>
      </c>
      <c r="L161" s="2"/>
      <c r="M161" s="43">
        <v>-1</v>
      </c>
      <c r="N161" s="44">
        <f t="shared" si="32"/>
        <v>-10</v>
      </c>
      <c r="O161" s="44">
        <f>O162+M161*(O162-O152)/10</f>
        <v>81</v>
      </c>
      <c r="P161" s="23">
        <v>1.2122519267663745</v>
      </c>
      <c r="Q161" s="23">
        <v>1.0762551623913674</v>
      </c>
      <c r="R161" s="46">
        <f>(Q161-Q162)/Q162*100</f>
        <v>3.959865074849795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12"/>
    </row>
    <row r="162" spans="1:39" x14ac:dyDescent="0.2">
      <c r="A162" s="2"/>
      <c r="B162" s="2"/>
      <c r="C162" s="2"/>
      <c r="D162" s="2"/>
      <c r="E162" s="2"/>
      <c r="F162" s="43" t="s">
        <v>39</v>
      </c>
      <c r="G162" s="44">
        <f>IF(ISERROR((H162-H162)/H162*100),"error",(H162-H162)/H162*100)</f>
        <v>0</v>
      </c>
      <c r="H162" s="45">
        <v>206500000</v>
      </c>
      <c r="I162" s="23">
        <v>1.1660768565768804</v>
      </c>
      <c r="J162" s="23">
        <v>1.0352602531914381</v>
      </c>
      <c r="K162" s="46">
        <f>(J162-J162)/J162*100</f>
        <v>0</v>
      </c>
      <c r="L162" s="2"/>
      <c r="M162" s="43" t="s">
        <v>39</v>
      </c>
      <c r="N162" s="44">
        <f t="shared" si="32"/>
        <v>0</v>
      </c>
      <c r="O162" s="45">
        <v>90</v>
      </c>
      <c r="P162" s="23">
        <v>1.1660768565768804</v>
      </c>
      <c r="Q162" s="23">
        <v>1.0352602531914381</v>
      </c>
      <c r="R162" s="46">
        <f>(Q162-Q162)/Q162*100</f>
        <v>0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12"/>
    </row>
    <row r="163" spans="1:39" x14ac:dyDescent="0.2">
      <c r="A163" s="2"/>
      <c r="B163" s="2"/>
      <c r="C163" s="2"/>
      <c r="D163" s="2"/>
      <c r="E163" s="2"/>
      <c r="F163" s="43">
        <v>1</v>
      </c>
      <c r="G163" s="44">
        <f>IF(ISERROR((H163-H162)/H162*100),"error",(H163-H162)/H162*100)</f>
        <v>14.213075060532688</v>
      </c>
      <c r="H163" s="44">
        <f>H162+F163*(H172-H162)/10</f>
        <v>235850000</v>
      </c>
      <c r="I163" s="23">
        <v>1.2344327765929755</v>
      </c>
      <c r="J163" s="23">
        <v>1.0959476484208883</v>
      </c>
      <c r="K163" s="46">
        <f>(J163-J162)/J162*100</f>
        <v>5.8620424228947998</v>
      </c>
      <c r="L163" s="2"/>
      <c r="M163" s="43">
        <v>1</v>
      </c>
      <c r="N163" s="44">
        <f t="shared" si="32"/>
        <v>0.88888888888888573</v>
      </c>
      <c r="O163" s="44">
        <f>O162+M163*(O172-O162)/10</f>
        <v>90.8</v>
      </c>
      <c r="P163" s="23">
        <v>1.16197240589337</v>
      </c>
      <c r="Q163" s="23">
        <v>1.0316162612625557</v>
      </c>
      <c r="R163" s="46">
        <f>(Q163-Q162)/Q162*100</f>
        <v>-0.35198800665329794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12"/>
    </row>
    <row r="164" spans="1:39" x14ac:dyDescent="0.2">
      <c r="A164" s="2"/>
      <c r="B164" s="2"/>
      <c r="C164" s="2"/>
      <c r="D164" s="2"/>
      <c r="E164" s="2"/>
      <c r="F164" s="43">
        <f>F163+1</f>
        <v>2</v>
      </c>
      <c r="G164" s="44">
        <f>IF(ISERROR((H164-H162)/H162*100),"error",(H164-H162)/H162*100)</f>
        <v>28.426150121065376</v>
      </c>
      <c r="H164" s="44">
        <f>H162+F164*(H172-H162)/10</f>
        <v>265200000</v>
      </c>
      <c r="I164" s="23">
        <v>1.3027886966090709</v>
      </c>
      <c r="J164" s="23">
        <v>1.1566350436503392</v>
      </c>
      <c r="K164" s="46">
        <f>(J164-J162)/J162*100</f>
        <v>11.724084845789664</v>
      </c>
      <c r="L164" s="2"/>
      <c r="M164" s="43">
        <f>M163+1</f>
        <v>2</v>
      </c>
      <c r="N164" s="44">
        <f t="shared" si="32"/>
        <v>1.7777777777777715</v>
      </c>
      <c r="O164" s="44">
        <f>O162+M164*(O172-O162)/10</f>
        <v>91.6</v>
      </c>
      <c r="P164" s="23">
        <v>1.157867955209859</v>
      </c>
      <c r="Q164" s="23">
        <v>1.0279722693336726</v>
      </c>
      <c r="R164" s="46">
        <f>(Q164-Q162)/Q162*100</f>
        <v>-0.70397601330666026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12"/>
    </row>
    <row r="165" spans="1:39" x14ac:dyDescent="0.2">
      <c r="A165" s="2"/>
      <c r="B165" s="2"/>
      <c r="C165" s="2"/>
      <c r="D165" s="2"/>
      <c r="E165" s="2"/>
      <c r="F165" s="43">
        <f t="shared" ref="F165:F172" si="33">F164+1</f>
        <v>3</v>
      </c>
      <c r="G165" s="44">
        <f>IF(ISERROR((H165-H162)/H162*100),"error",(H165-H162)/H162*100)</f>
        <v>42.639225181598064</v>
      </c>
      <c r="H165" s="44">
        <f>H162+F165*(H172-H162)/10</f>
        <v>294550000</v>
      </c>
      <c r="I165" s="23">
        <v>1.3711446166251662</v>
      </c>
      <c r="J165" s="23">
        <v>1.2173224388797899</v>
      </c>
      <c r="K165" s="46">
        <f>(J165-J162)/J162*100</f>
        <v>17.586127268684507</v>
      </c>
      <c r="L165" s="2"/>
      <c r="M165" s="43">
        <f t="shared" ref="M165:M172" si="34">M164+1</f>
        <v>3</v>
      </c>
      <c r="N165" s="44">
        <f t="shared" si="32"/>
        <v>2.6666666666666732</v>
      </c>
      <c r="O165" s="44">
        <f>O162+M165*(O172-O162)/10</f>
        <v>92.4</v>
      </c>
      <c r="P165" s="23">
        <v>1.1537635045263483</v>
      </c>
      <c r="Q165" s="23">
        <v>1.0243282774047902</v>
      </c>
      <c r="R165" s="46">
        <f>(Q165-Q162)/Q162*100</f>
        <v>-1.0559640199599583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12"/>
    </row>
    <row r="166" spans="1:39" x14ac:dyDescent="0.2">
      <c r="A166" s="2"/>
      <c r="B166" s="2"/>
      <c r="C166" s="2"/>
      <c r="D166" s="2"/>
      <c r="E166" s="2"/>
      <c r="F166" s="43">
        <f t="shared" si="33"/>
        <v>4</v>
      </c>
      <c r="G166" s="44">
        <f>IF(ISERROR((H166-H162)/H162*100),"error",(H166-H162)/H162*100)</f>
        <v>56.852300242130752</v>
      </c>
      <c r="H166" s="44">
        <f>H162+F166*(H172-H162)/10</f>
        <v>323900000</v>
      </c>
      <c r="I166" s="23">
        <v>1.4395005366412617</v>
      </c>
      <c r="J166" s="23">
        <v>1.2780098341092405</v>
      </c>
      <c r="K166" s="46">
        <f>(J166-J162)/J162*100</f>
        <v>23.448169691579348</v>
      </c>
      <c r="L166" s="2"/>
      <c r="M166" s="43">
        <f t="shared" si="34"/>
        <v>4</v>
      </c>
      <c r="N166" s="44">
        <f t="shared" si="32"/>
        <v>3.5555555555555589</v>
      </c>
      <c r="O166" s="44">
        <f>O162+M166*(O172-O162)/10</f>
        <v>93.2</v>
      </c>
      <c r="P166" s="23">
        <v>1.1496590538428377</v>
      </c>
      <c r="Q166" s="23">
        <v>1.0206842854759075</v>
      </c>
      <c r="R166" s="46">
        <f>(Q166-Q162)/Q162*100</f>
        <v>-1.4079520266132777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12"/>
    </row>
    <row r="167" spans="1:39" x14ac:dyDescent="0.2">
      <c r="A167" s="2"/>
      <c r="B167" s="2"/>
      <c r="C167" s="2"/>
      <c r="D167" s="2"/>
      <c r="E167" s="2"/>
      <c r="F167" s="43">
        <f t="shared" si="33"/>
        <v>5</v>
      </c>
      <c r="G167" s="44">
        <f>IF(ISERROR((H167-H162)/H162*100),"error",(H167-H162)/H162*100)</f>
        <v>71.06537530266344</v>
      </c>
      <c r="H167" s="44">
        <f>H162+F167*(H172-H162)/10</f>
        <v>353250000</v>
      </c>
      <c r="I167" s="23">
        <v>1.5078564566573569</v>
      </c>
      <c r="J167" s="23">
        <v>1.338697229338691</v>
      </c>
      <c r="K167" s="46">
        <f>(J167-J162)/J162*100</f>
        <v>29.310212114474172</v>
      </c>
      <c r="L167" s="2"/>
      <c r="M167" s="43">
        <f t="shared" si="34"/>
        <v>5</v>
      </c>
      <c r="N167" s="44">
        <f t="shared" si="32"/>
        <v>4.4444444444444446</v>
      </c>
      <c r="O167" s="44">
        <f>O162+M167*(O172-O162)/10</f>
        <v>94</v>
      </c>
      <c r="P167" s="23">
        <v>1.1455546031593276</v>
      </c>
      <c r="Q167" s="23">
        <v>1.0170402935470251</v>
      </c>
      <c r="R167" s="46">
        <f>(Q167-Q162)/Q162*100</f>
        <v>-1.7599400332665758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12"/>
    </row>
    <row r="168" spans="1:39" x14ac:dyDescent="0.2">
      <c r="A168" s="2"/>
      <c r="B168" s="2"/>
      <c r="C168" s="2"/>
      <c r="D168" s="2"/>
      <c r="E168" s="2"/>
      <c r="F168" s="43">
        <f t="shared" si="33"/>
        <v>6</v>
      </c>
      <c r="G168" s="44">
        <f>IF(ISERROR((H168-H162)/H162*100),"error",(H168-H162)/H162*100)</f>
        <v>85.278450363196129</v>
      </c>
      <c r="H168" s="44">
        <f>H162+F168*(H172-H162)/10</f>
        <v>382600000</v>
      </c>
      <c r="I168" s="23">
        <v>1.5762123766734522</v>
      </c>
      <c r="J168" s="23">
        <v>1.3993846245681416</v>
      </c>
      <c r="K168" s="46">
        <f>(J168-J162)/J162*100</f>
        <v>35.172254537369014</v>
      </c>
      <c r="L168" s="2"/>
      <c r="M168" s="43">
        <f t="shared" si="34"/>
        <v>6</v>
      </c>
      <c r="N168" s="44">
        <f t="shared" si="32"/>
        <v>5.3333333333333304</v>
      </c>
      <c r="O168" s="44">
        <f>O162+M168*(O172-O162)/10</f>
        <v>94.8</v>
      </c>
      <c r="P168" s="23">
        <v>1.1414501524758167</v>
      </c>
      <c r="Q168" s="23">
        <v>1.0133963016181422</v>
      </c>
      <c r="R168" s="46">
        <f>(Q168-Q162)/Q162*100</f>
        <v>-2.1119280399199165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12"/>
    </row>
    <row r="169" spans="1:39" x14ac:dyDescent="0.2">
      <c r="A169" s="2"/>
      <c r="B169" s="2"/>
      <c r="C169" s="2"/>
      <c r="D169" s="2"/>
      <c r="E169" s="2"/>
      <c r="F169" s="43">
        <f t="shared" si="33"/>
        <v>7</v>
      </c>
      <c r="G169" s="44">
        <f>IF(ISERROR((H169-H162)/H162*100),"error",(H169-H162)/H162*100)</f>
        <v>99.491525423728817</v>
      </c>
      <c r="H169" s="44">
        <f>H162+F169*(H172-H162)/10</f>
        <v>411950000</v>
      </c>
      <c r="I169" s="23">
        <v>1.6445682966895472</v>
      </c>
      <c r="J169" s="23">
        <v>1.460072019797592</v>
      </c>
      <c r="K169" s="46">
        <f>(J169-J162)/J162*100</f>
        <v>41.034296960263831</v>
      </c>
      <c r="L169" s="2"/>
      <c r="M169" s="43">
        <f t="shared" si="34"/>
        <v>7</v>
      </c>
      <c r="N169" s="44">
        <f t="shared" si="32"/>
        <v>6.2222222222222161</v>
      </c>
      <c r="O169" s="44">
        <f>O162+M169*(O172-O162)/10</f>
        <v>95.6</v>
      </c>
      <c r="P169" s="23">
        <v>1.1373457017923061</v>
      </c>
      <c r="Q169" s="23">
        <v>1.0097523096892598</v>
      </c>
      <c r="R169" s="46">
        <f>(Q169-Q162)/Q162*100</f>
        <v>-2.4639160465732144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12"/>
    </row>
    <row r="170" spans="1:39" x14ac:dyDescent="0.2">
      <c r="A170" s="2"/>
      <c r="B170" s="2"/>
      <c r="C170" s="2"/>
      <c r="D170" s="2"/>
      <c r="E170" s="2"/>
      <c r="F170" s="43">
        <f t="shared" si="33"/>
        <v>8</v>
      </c>
      <c r="G170" s="44">
        <f>IF(ISERROR((H170-H162)/H162*100),"error",(H170-H162)/H162*100)</f>
        <v>113.7046004842615</v>
      </c>
      <c r="H170" s="44">
        <f>H162+F170*(H172-H162)/10</f>
        <v>441300000</v>
      </c>
      <c r="I170" s="23">
        <v>1.712924216705642</v>
      </c>
      <c r="J170" s="23">
        <v>1.5207594150270423</v>
      </c>
      <c r="K170" s="46">
        <f>(J170-J162)/J162*100</f>
        <v>46.896339383158633</v>
      </c>
      <c r="L170" s="2"/>
      <c r="M170" s="43">
        <f t="shared" si="34"/>
        <v>8</v>
      </c>
      <c r="N170" s="44">
        <f t="shared" si="32"/>
        <v>7.1111111111111178</v>
      </c>
      <c r="O170" s="44">
        <f>O162+M170*(O172-O162)/10</f>
        <v>96.4</v>
      </c>
      <c r="P170" s="23">
        <v>1.1332412511087955</v>
      </c>
      <c r="Q170" s="23">
        <v>1.0061083177603771</v>
      </c>
      <c r="R170" s="46">
        <f>(Q170-Q162)/Q162*100</f>
        <v>-2.815904053226534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12"/>
    </row>
    <row r="171" spans="1:39" x14ac:dyDescent="0.2">
      <c r="A171" s="2"/>
      <c r="B171" s="2"/>
      <c r="C171" s="2"/>
      <c r="D171" s="2"/>
      <c r="E171" s="2"/>
      <c r="F171" s="43">
        <f t="shared" si="33"/>
        <v>9</v>
      </c>
      <c r="G171" s="44">
        <f>IF(ISERROR((H171-H162)/H162*100),"error",(H171-H162)/H162*100)</f>
        <v>127.91767554479418</v>
      </c>
      <c r="H171" s="44">
        <f>H162+F171*(H172-H162)/10</f>
        <v>470650000</v>
      </c>
      <c r="I171" s="23">
        <v>1.7812801367217375</v>
      </c>
      <c r="J171" s="23">
        <v>1.5814468102564929</v>
      </c>
      <c r="K171" s="46">
        <f>(J171-J162)/J162*100</f>
        <v>52.758381806053478</v>
      </c>
      <c r="L171" s="2"/>
      <c r="M171" s="43">
        <f t="shared" si="34"/>
        <v>9</v>
      </c>
      <c r="N171" s="44">
        <f t="shared" si="32"/>
        <v>8.0000000000000036</v>
      </c>
      <c r="O171" s="44">
        <f>O162+M171*(O172-O162)/10</f>
        <v>97.2</v>
      </c>
      <c r="P171" s="23">
        <v>1.1291368004252849</v>
      </c>
      <c r="Q171" s="23">
        <v>1.0024643258314943</v>
      </c>
      <c r="R171" s="46">
        <f>(Q171-Q162)/Q162*100</f>
        <v>-3.1678920598798745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12"/>
    </row>
    <row r="172" spans="1:39" ht="12" thickBot="1" x14ac:dyDescent="0.25">
      <c r="A172" s="2"/>
      <c r="B172" s="2"/>
      <c r="C172" s="2"/>
      <c r="D172" s="2"/>
      <c r="E172" s="2"/>
      <c r="F172" s="49">
        <f t="shared" si="33"/>
        <v>10</v>
      </c>
      <c r="G172" s="50">
        <f>IF(ISERROR((H172-H162)/H162*100),"error",(H172-H162)/H162*100)</f>
        <v>142.13075060532688</v>
      </c>
      <c r="H172" s="51">
        <v>500000000</v>
      </c>
      <c r="I172" s="158">
        <v>1.8496360567378332</v>
      </c>
      <c r="J172" s="158">
        <v>1.6421342054859438</v>
      </c>
      <c r="K172" s="52">
        <f>(J172-J162)/J162*100</f>
        <v>58.620424228948345</v>
      </c>
      <c r="L172" s="2"/>
      <c r="M172" s="49">
        <f t="shared" si="34"/>
        <v>10</v>
      </c>
      <c r="N172" s="50">
        <f t="shared" si="32"/>
        <v>8.8888888888888893</v>
      </c>
      <c r="O172" s="51">
        <v>98</v>
      </c>
      <c r="P172" s="158">
        <v>1.1250323497417747</v>
      </c>
      <c r="Q172" s="158">
        <v>0.99882033390261216</v>
      </c>
      <c r="R172" s="52">
        <f>(Q172-Q162)/Q162*100</f>
        <v>-3.5198800665331405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12"/>
    </row>
    <row r="173" spans="1:39" x14ac:dyDescent="0.2">
      <c r="A173" s="2"/>
      <c r="B173" s="2"/>
      <c r="C173" s="2"/>
      <c r="D173" s="2"/>
      <c r="E173" s="2"/>
      <c r="F173" s="159"/>
      <c r="G173" s="164"/>
      <c r="H173" s="164"/>
      <c r="I173" s="167"/>
      <c r="J173" s="167"/>
      <c r="K173" s="164"/>
      <c r="L173" s="2"/>
      <c r="M173" s="9"/>
      <c r="N173" s="9"/>
      <c r="O173" s="9"/>
      <c r="P173" s="9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12"/>
    </row>
    <row r="174" spans="1:39" ht="12" thickBot="1" x14ac:dyDescent="0.25">
      <c r="A174" s="2"/>
      <c r="B174" s="2"/>
      <c r="C174" s="2"/>
      <c r="D174" s="2"/>
      <c r="E174" s="2"/>
      <c r="F174" s="9"/>
      <c r="G174" s="9"/>
      <c r="H174" s="9"/>
      <c r="I174" s="9"/>
      <c r="J174" s="2"/>
      <c r="K174" s="2"/>
      <c r="L174" s="2"/>
      <c r="M174" s="9"/>
      <c r="N174" s="9"/>
      <c r="O174" s="9"/>
      <c r="P174" s="9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12"/>
    </row>
    <row r="175" spans="1:39" ht="12" thickBot="1" x14ac:dyDescent="0.25">
      <c r="A175" s="2"/>
      <c r="B175" s="2"/>
      <c r="C175" s="2"/>
      <c r="D175" s="2"/>
      <c r="E175" s="2"/>
      <c r="F175" s="172" t="s">
        <v>32</v>
      </c>
      <c r="G175" s="173"/>
      <c r="H175" s="173"/>
      <c r="I175" s="173"/>
      <c r="J175" s="173"/>
      <c r="K175" s="174"/>
      <c r="L175" s="2"/>
      <c r="M175" s="172" t="s">
        <v>32</v>
      </c>
      <c r="N175" s="173"/>
      <c r="O175" s="173"/>
      <c r="P175" s="173"/>
      <c r="Q175" s="173"/>
      <c r="R175" s="174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12"/>
    </row>
    <row r="176" spans="1:39" x14ac:dyDescent="0.2">
      <c r="A176" s="2"/>
      <c r="B176" s="2"/>
      <c r="C176" s="2"/>
      <c r="D176" s="2"/>
      <c r="E176" s="2"/>
      <c r="F176" s="175" t="s">
        <v>94</v>
      </c>
      <c r="G176" s="176"/>
      <c r="H176" s="177" t="s">
        <v>158</v>
      </c>
      <c r="I176" s="177"/>
      <c r="J176" s="190">
        <f>F28</f>
        <v>38.700000000000003</v>
      </c>
      <c r="K176" s="191"/>
      <c r="L176" s="2"/>
      <c r="M176" s="175" t="s">
        <v>97</v>
      </c>
      <c r="N176" s="176"/>
      <c r="O176" s="177" t="s">
        <v>96</v>
      </c>
      <c r="P176" s="177"/>
      <c r="Q176" s="178">
        <f>$F$62</f>
        <v>5</v>
      </c>
      <c r="R176" s="179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12"/>
    </row>
    <row r="177" spans="1:39" ht="45" x14ac:dyDescent="0.2">
      <c r="A177" s="2"/>
      <c r="B177" s="2"/>
      <c r="C177" s="2"/>
      <c r="D177" s="2"/>
      <c r="E177" s="2"/>
      <c r="F177" s="37" t="s">
        <v>35</v>
      </c>
      <c r="G177" s="38" t="s">
        <v>36</v>
      </c>
      <c r="H177" s="38" t="s">
        <v>50</v>
      </c>
      <c r="I177" s="38" t="s">
        <v>154</v>
      </c>
      <c r="J177" s="38" t="s">
        <v>156</v>
      </c>
      <c r="K177" s="39" t="s">
        <v>157</v>
      </c>
      <c r="L177" s="2"/>
      <c r="M177" s="37" t="s">
        <v>35</v>
      </c>
      <c r="N177" s="38" t="s">
        <v>36</v>
      </c>
      <c r="O177" s="38" t="s">
        <v>34</v>
      </c>
      <c r="P177" s="38" t="s">
        <v>154</v>
      </c>
      <c r="Q177" s="38" t="s">
        <v>156</v>
      </c>
      <c r="R177" s="39" t="s">
        <v>157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12"/>
    </row>
    <row r="178" spans="1:39" x14ac:dyDescent="0.2">
      <c r="A178" s="2"/>
      <c r="B178" s="2"/>
      <c r="C178" s="2"/>
      <c r="D178" s="2"/>
      <c r="E178" s="2"/>
      <c r="F178" s="37"/>
      <c r="G178" s="38" t="s">
        <v>37</v>
      </c>
      <c r="H178" s="38" t="s">
        <v>42</v>
      </c>
      <c r="I178" s="38" t="s">
        <v>155</v>
      </c>
      <c r="J178" s="38" t="s">
        <v>155</v>
      </c>
      <c r="K178" s="27" t="s">
        <v>37</v>
      </c>
      <c r="L178" s="2"/>
      <c r="M178" s="37"/>
      <c r="N178" s="38" t="s">
        <v>37</v>
      </c>
      <c r="O178" s="38" t="s">
        <v>37</v>
      </c>
      <c r="P178" s="38" t="s">
        <v>155</v>
      </c>
      <c r="Q178" s="38" t="s">
        <v>155</v>
      </c>
      <c r="R178" s="27" t="s">
        <v>37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12"/>
    </row>
    <row r="179" spans="1:39" ht="22.5" customHeight="1" x14ac:dyDescent="0.2">
      <c r="A179" s="2"/>
      <c r="B179" s="2"/>
      <c r="C179" s="2"/>
      <c r="D179" s="2"/>
      <c r="E179" s="2"/>
      <c r="F179" s="40" t="s">
        <v>38</v>
      </c>
      <c r="G179" s="41"/>
      <c r="H179" s="41"/>
      <c r="I179" s="157">
        <f>F139</f>
        <v>1.1660768565768804</v>
      </c>
      <c r="J179" s="157">
        <f>F140</f>
        <v>1.0352602531914381</v>
      </c>
      <c r="K179" s="42"/>
      <c r="L179" s="2"/>
      <c r="M179" s="40" t="s">
        <v>38</v>
      </c>
      <c r="N179" s="41"/>
      <c r="O179" s="41"/>
      <c r="P179" s="157">
        <f>F139</f>
        <v>1.1660768565768804</v>
      </c>
      <c r="Q179" s="157">
        <f>F140</f>
        <v>1.0352602531914381</v>
      </c>
      <c r="R179" s="4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12"/>
    </row>
    <row r="180" spans="1:39" x14ac:dyDescent="0.2">
      <c r="A180" s="2"/>
      <c r="B180" s="2"/>
      <c r="C180" s="2"/>
      <c r="D180" s="2"/>
      <c r="E180" s="2"/>
      <c r="F180" s="43">
        <f t="shared" ref="F180:F187" si="35">F181-1</f>
        <v>-10</v>
      </c>
      <c r="G180" s="44">
        <f t="shared" ref="G180:G200" si="36">IF(ISERROR((H180-H$190)/H$190*100),"error",(H180-H$190)/H$190*100)</f>
        <v>-100</v>
      </c>
      <c r="H180" s="168">
        <v>0</v>
      </c>
      <c r="I180" s="23">
        <f t="dataTable" ref="I180:J200" dt2D="0" dtr="0" r1="F28" ca="1"/>
        <v>0.64846498945481879</v>
      </c>
      <c r="J180" s="23">
        <v>0.57571679377937945</v>
      </c>
      <c r="K180" s="46">
        <f>(J180-J190)/J190*100</f>
        <v>-44.389172480582126</v>
      </c>
      <c r="L180" s="2"/>
      <c r="M180" s="43">
        <f t="shared" ref="M180:M187" si="37">M181-1</f>
        <v>-10</v>
      </c>
      <c r="N180" s="44">
        <f t="shared" ref="N180:N200" si="38">IF(ISERROR((O180-O$190)/O$190*100),"error",(O180-O$190)/O$190*100)</f>
        <v>-80</v>
      </c>
      <c r="O180" s="47">
        <v>1</v>
      </c>
      <c r="P180" s="23">
        <f t="dataTable" ref="P180:Q200" dt2D="0" dtr="0" r1="F62" ca="1"/>
        <v>1.0786234020110002</v>
      </c>
      <c r="Q180" s="23">
        <v>0.95761778476777126</v>
      </c>
      <c r="R180" s="46">
        <f>(Q180-Q190)/Q190*100</f>
        <v>-7.4998019275168071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12"/>
    </row>
    <row r="181" spans="1:39" x14ac:dyDescent="0.2">
      <c r="A181" s="2"/>
      <c r="B181" s="2"/>
      <c r="C181" s="2"/>
      <c r="D181" s="2"/>
      <c r="E181" s="2"/>
      <c r="F181" s="43">
        <f t="shared" si="35"/>
        <v>-9</v>
      </c>
      <c r="G181" s="44">
        <f t="shared" si="36"/>
        <v>-89.999999999999986</v>
      </c>
      <c r="H181" s="169">
        <f>H190+F181*(H190-H180)/10</f>
        <v>3.8700000000000045</v>
      </c>
      <c r="I181" s="23">
        <v>0.7002261761670252</v>
      </c>
      <c r="J181" s="23">
        <v>0.62167113972058552</v>
      </c>
      <c r="K181" s="46">
        <f>(J181-J190)/J190*100</f>
        <v>-39.950255232523887</v>
      </c>
      <c r="L181" s="2"/>
      <c r="M181" s="43">
        <f t="shared" si="37"/>
        <v>-9</v>
      </c>
      <c r="N181" s="44">
        <f t="shared" si="38"/>
        <v>-72</v>
      </c>
      <c r="O181" s="48">
        <f>O190+M181*(O190-O180)/10</f>
        <v>1.4</v>
      </c>
      <c r="P181" s="23">
        <v>1.0865885579387793</v>
      </c>
      <c r="Q181" s="23">
        <v>0.96468936782509107</v>
      </c>
      <c r="R181" s="46">
        <f>(Q181-Q190)/Q190*100</f>
        <v>-6.8167289479911313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12"/>
    </row>
    <row r="182" spans="1:39" x14ac:dyDescent="0.2">
      <c r="A182" s="2"/>
      <c r="B182" s="2"/>
      <c r="C182" s="2"/>
      <c r="D182" s="2"/>
      <c r="E182" s="2"/>
      <c r="F182" s="43">
        <f t="shared" si="35"/>
        <v>-8</v>
      </c>
      <c r="G182" s="44">
        <f t="shared" si="36"/>
        <v>-80</v>
      </c>
      <c r="H182" s="169">
        <f>H190+F182*(H190-H180)/10</f>
        <v>7.740000000000002</v>
      </c>
      <c r="I182" s="23">
        <v>0.75198736287923107</v>
      </c>
      <c r="J182" s="23">
        <v>0.66762548566179114</v>
      </c>
      <c r="K182" s="46">
        <f>(J182-J190)/J190*100</f>
        <v>-35.511337984465705</v>
      </c>
      <c r="L182" s="2"/>
      <c r="M182" s="43">
        <f t="shared" si="37"/>
        <v>-8</v>
      </c>
      <c r="N182" s="44">
        <f t="shared" si="38"/>
        <v>-64</v>
      </c>
      <c r="O182" s="48">
        <f>O190+M182*(O190-O180)/10</f>
        <v>1.7999999999999998</v>
      </c>
      <c r="P182" s="23">
        <v>1.0947304426524835</v>
      </c>
      <c r="Q182" s="23">
        <v>0.97191785330837999</v>
      </c>
      <c r="R182" s="46">
        <f>(Q182-Q190)/Q190*100</f>
        <v>-6.1185001247551014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12"/>
    </row>
    <row r="183" spans="1:39" x14ac:dyDescent="0.2">
      <c r="A183" s="2"/>
      <c r="B183" s="2"/>
      <c r="C183" s="2"/>
      <c r="D183" s="2"/>
      <c r="E183" s="2"/>
      <c r="F183" s="43">
        <f t="shared" si="35"/>
        <v>-7</v>
      </c>
      <c r="G183" s="44">
        <f t="shared" si="36"/>
        <v>-70</v>
      </c>
      <c r="H183" s="169">
        <f>H190+F183*(H190-H180)/10</f>
        <v>11.61</v>
      </c>
      <c r="I183" s="23">
        <v>0.80374854959143727</v>
      </c>
      <c r="J183" s="23">
        <v>0.71357983160299709</v>
      </c>
      <c r="K183" s="46">
        <f>(J183-J190)/J190*100</f>
        <v>-31.07242073640748</v>
      </c>
      <c r="L183" s="2"/>
      <c r="M183" s="43">
        <f t="shared" si="37"/>
        <v>-7</v>
      </c>
      <c r="N183" s="44">
        <f t="shared" si="38"/>
        <v>-55.999999999999993</v>
      </c>
      <c r="O183" s="48">
        <f>O190+M183*(O190-O180)/10</f>
        <v>2.2000000000000002</v>
      </c>
      <c r="P183" s="23">
        <v>1.1030479848778036</v>
      </c>
      <c r="Q183" s="23">
        <v>0.97930229012448589</v>
      </c>
      <c r="R183" s="46">
        <f>(Q183-Q190)/Q190*100</f>
        <v>-5.4052073277659769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12"/>
    </row>
    <row r="184" spans="1:39" x14ac:dyDescent="0.2">
      <c r="A184" s="2"/>
      <c r="B184" s="2"/>
      <c r="C184" s="2"/>
      <c r="D184" s="2"/>
      <c r="E184" s="2"/>
      <c r="F184" s="43">
        <f t="shared" si="35"/>
        <v>-6</v>
      </c>
      <c r="G184" s="44">
        <f t="shared" si="36"/>
        <v>-60</v>
      </c>
      <c r="H184" s="169">
        <f>H190+F184*(H190-H180)/10</f>
        <v>15.48</v>
      </c>
      <c r="I184" s="23">
        <v>0.85550973630364335</v>
      </c>
      <c r="J184" s="23">
        <v>0.75953417754420283</v>
      </c>
      <c r="K184" s="46">
        <f>(J184-J190)/J190*100</f>
        <v>-26.63350348834928</v>
      </c>
      <c r="L184" s="2"/>
      <c r="M184" s="43">
        <f t="shared" si="37"/>
        <v>-6</v>
      </c>
      <c r="N184" s="44">
        <f t="shared" si="38"/>
        <v>-48</v>
      </c>
      <c r="O184" s="48">
        <f>O190+M184*(O190-O180)/10</f>
        <v>2.6</v>
      </c>
      <c r="P184" s="23">
        <v>1.1115400017778367</v>
      </c>
      <c r="Q184" s="23">
        <v>0.9868416281333392</v>
      </c>
      <c r="R184" s="46">
        <f>(Q184-Q190)/Q190*100</f>
        <v>-4.6769519943257629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12"/>
    </row>
    <row r="185" spans="1:39" x14ac:dyDescent="0.2">
      <c r="A185" s="2"/>
      <c r="B185" s="2"/>
      <c r="C185" s="2"/>
      <c r="D185" s="2"/>
      <c r="E185" s="2"/>
      <c r="F185" s="43">
        <f t="shared" si="35"/>
        <v>-5</v>
      </c>
      <c r="G185" s="44">
        <f t="shared" si="36"/>
        <v>-50</v>
      </c>
      <c r="H185" s="169">
        <f>H190+F185*(H190-H180)/10</f>
        <v>19.350000000000001</v>
      </c>
      <c r="I185" s="23">
        <v>0.90727092301584944</v>
      </c>
      <c r="J185" s="23">
        <v>0.80548852348540856</v>
      </c>
      <c r="K185" s="46">
        <f>(J185-J190)/J190*100</f>
        <v>-22.194586240291084</v>
      </c>
      <c r="L185" s="2"/>
      <c r="M185" s="43">
        <f t="shared" si="37"/>
        <v>-5</v>
      </c>
      <c r="N185" s="44">
        <f t="shared" si="38"/>
        <v>-40</v>
      </c>
      <c r="O185" s="48">
        <f>O190+M185*(O190-O180)/10</f>
        <v>3</v>
      </c>
      <c r="P185" s="23">
        <v>1.1202052031212437</v>
      </c>
      <c r="Q185" s="23">
        <v>0.99453472184850356</v>
      </c>
      <c r="R185" s="46">
        <f>(Q185-Q190)/Q190*100</f>
        <v>-3.9338447716299672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12"/>
    </row>
    <row r="186" spans="1:39" x14ac:dyDescent="0.2">
      <c r="A186" s="2"/>
      <c r="B186" s="2"/>
      <c r="C186" s="2"/>
      <c r="D186" s="2"/>
      <c r="E186" s="2"/>
      <c r="F186" s="43">
        <f t="shared" si="35"/>
        <v>-4</v>
      </c>
      <c r="G186" s="44">
        <f t="shared" si="36"/>
        <v>-40</v>
      </c>
      <c r="H186" s="169">
        <f>H190+F186*(H190-H180)/10</f>
        <v>23.220000000000002</v>
      </c>
      <c r="I186" s="23">
        <v>0.95903210972805586</v>
      </c>
      <c r="J186" s="23">
        <v>0.85144286942661462</v>
      </c>
      <c r="K186" s="46">
        <f>(J186-J190)/J190*100</f>
        <v>-17.755668992232852</v>
      </c>
      <c r="L186" s="2"/>
      <c r="M186" s="43">
        <f t="shared" si="37"/>
        <v>-4</v>
      </c>
      <c r="N186" s="44">
        <f t="shared" si="38"/>
        <v>-32</v>
      </c>
      <c r="O186" s="48">
        <f>O190+M186*(O190-O180)/10</f>
        <v>3.4</v>
      </c>
      <c r="P186" s="23">
        <v>1.1290421956080481</v>
      </c>
      <c r="Q186" s="23">
        <v>1.0023803342776845</v>
      </c>
      <c r="R186" s="46">
        <f>(Q186-Q190)/Q190*100</f>
        <v>-3.1760051457972427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12"/>
    </row>
    <row r="187" spans="1:39" x14ac:dyDescent="0.2">
      <c r="A187" s="2"/>
      <c r="B187" s="2"/>
      <c r="C187" s="2"/>
      <c r="D187" s="2"/>
      <c r="E187" s="2"/>
      <c r="F187" s="43">
        <f t="shared" si="35"/>
        <v>-3</v>
      </c>
      <c r="G187" s="44">
        <f t="shared" si="36"/>
        <v>-30</v>
      </c>
      <c r="H187" s="169">
        <f>H190+F187*(H190-H180)/10</f>
        <v>27.090000000000003</v>
      </c>
      <c r="I187" s="23">
        <v>1.0107932964402619</v>
      </c>
      <c r="J187" s="23">
        <v>0.89739721536782047</v>
      </c>
      <c r="K187" s="46">
        <f>(J187-J190)/J190*100</f>
        <v>-13.31675174417464</v>
      </c>
      <c r="L187" s="2"/>
      <c r="M187" s="43">
        <f t="shared" si="37"/>
        <v>-3</v>
      </c>
      <c r="N187" s="44">
        <f t="shared" si="38"/>
        <v>-24.000000000000004</v>
      </c>
      <c r="O187" s="48">
        <f>O190+M187*(O190-O180)/10</f>
        <v>3.8</v>
      </c>
      <c r="P187" s="23">
        <v>1.1380494873321978</v>
      </c>
      <c r="Q187" s="23">
        <v>1.0103771408846576</v>
      </c>
      <c r="R187" s="46">
        <f>(Q187-Q190)/Q190*100</f>
        <v>-2.4035610591706158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12"/>
    </row>
    <row r="188" spans="1:39" x14ac:dyDescent="0.2">
      <c r="A188" s="2"/>
      <c r="B188" s="2"/>
      <c r="C188" s="2"/>
      <c r="D188" s="2"/>
      <c r="E188" s="2"/>
      <c r="F188" s="43">
        <f>F189-1</f>
        <v>-2</v>
      </c>
      <c r="G188" s="44">
        <f t="shared" si="36"/>
        <v>-20.000000000000004</v>
      </c>
      <c r="H188" s="169">
        <f>H190+F188*(H190-H180)/10</f>
        <v>30.96</v>
      </c>
      <c r="I188" s="23">
        <v>1.0625544831524678</v>
      </c>
      <c r="J188" s="23">
        <v>0.94335156130902598</v>
      </c>
      <c r="K188" s="46">
        <f>(J188-J190)/J190*100</f>
        <v>-8.8778344961164635</v>
      </c>
      <c r="L188" s="2"/>
      <c r="M188" s="43">
        <f>M189-1</f>
        <v>-2</v>
      </c>
      <c r="N188" s="44">
        <f t="shared" si="38"/>
        <v>-15.999999999999998</v>
      </c>
      <c r="O188" s="48">
        <f>O190+M188*(O190-O180)/10</f>
        <v>4.2</v>
      </c>
      <c r="P188" s="23">
        <v>1.1472254923601752</v>
      </c>
      <c r="Q188" s="23">
        <v>1.0185237336542257</v>
      </c>
      <c r="R188" s="46">
        <f>(Q188-Q190)/Q190*100</f>
        <v>-1.6166485176667518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12"/>
    </row>
    <row r="189" spans="1:39" x14ac:dyDescent="0.2">
      <c r="A189" s="2"/>
      <c r="B189" s="2"/>
      <c r="C189" s="2"/>
      <c r="D189" s="2"/>
      <c r="E189" s="2"/>
      <c r="F189" s="43">
        <v>-1</v>
      </c>
      <c r="G189" s="44">
        <f t="shared" si="36"/>
        <v>-9.9999999999999929</v>
      </c>
      <c r="H189" s="169">
        <f>H190+F189*(H190-H180)/10</f>
        <v>34.830000000000005</v>
      </c>
      <c r="I189" s="23">
        <v>1.1143156698646741</v>
      </c>
      <c r="J189" s="23">
        <v>0.98930590725023215</v>
      </c>
      <c r="K189" s="46">
        <f>(J189-J190)/J190*100</f>
        <v>-4.4389172480582211</v>
      </c>
      <c r="L189" s="2"/>
      <c r="M189" s="43">
        <v>-1</v>
      </c>
      <c r="N189" s="44">
        <f t="shared" si="38"/>
        <v>-8.0000000000000071</v>
      </c>
      <c r="O189" s="48">
        <f>O190+M189*(O190-O180)/10</f>
        <v>4.5999999999999996</v>
      </c>
      <c r="P189" s="23">
        <v>1.1565685354051887</v>
      </c>
      <c r="Q189" s="23">
        <v>1.0268186252420355</v>
      </c>
      <c r="R189" s="46">
        <f>(Q189-Q190)/Q190*100</f>
        <v>-0.81541118992825967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12"/>
    </row>
    <row r="190" spans="1:39" x14ac:dyDescent="0.2">
      <c r="A190" s="2"/>
      <c r="B190" s="2"/>
      <c r="C190" s="2"/>
      <c r="D190" s="2"/>
      <c r="E190" s="2"/>
      <c r="F190" s="43" t="s">
        <v>39</v>
      </c>
      <c r="G190" s="44">
        <f t="shared" si="36"/>
        <v>0</v>
      </c>
      <c r="H190" s="168">
        <v>38.700000000000003</v>
      </c>
      <c r="I190" s="23">
        <v>1.1660768565768804</v>
      </c>
      <c r="J190" s="23">
        <v>1.0352602531914381</v>
      </c>
      <c r="K190" s="46">
        <f>(J190-J190)/J190*100</f>
        <v>0</v>
      </c>
      <c r="L190" s="2"/>
      <c r="M190" s="43" t="s">
        <v>39</v>
      </c>
      <c r="N190" s="44">
        <f t="shared" si="38"/>
        <v>0</v>
      </c>
      <c r="O190" s="47">
        <v>5</v>
      </c>
      <c r="P190" s="23">
        <v>1.1660768565768804</v>
      </c>
      <c r="Q190" s="23">
        <v>1.0352602531914381</v>
      </c>
      <c r="R190" s="46">
        <f>(Q190-Q190)/Q190*100</f>
        <v>0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12"/>
    </row>
    <row r="191" spans="1:39" x14ac:dyDescent="0.2">
      <c r="A191" s="2"/>
      <c r="B191" s="2"/>
      <c r="C191" s="2"/>
      <c r="D191" s="2"/>
      <c r="E191" s="2"/>
      <c r="F191" s="43">
        <v>1</v>
      </c>
      <c r="G191" s="44">
        <f t="shared" si="36"/>
        <v>15.839793281653753</v>
      </c>
      <c r="H191" s="169">
        <f>H190+F191*(H200-H190)/10</f>
        <v>44.830000000000005</v>
      </c>
      <c r="I191" s="23">
        <v>1.2480655063303232</v>
      </c>
      <c r="J191" s="23">
        <v>1.1080509872016684</v>
      </c>
      <c r="K191" s="46">
        <f>(J191-J190)/J190*100</f>
        <v>7.0311531603609216</v>
      </c>
      <c r="L191" s="2"/>
      <c r="M191" s="43">
        <v>1</v>
      </c>
      <c r="N191" s="44">
        <f t="shared" si="38"/>
        <v>20</v>
      </c>
      <c r="O191" s="48">
        <f>O190+M191*(O200-O190)/10</f>
        <v>6</v>
      </c>
      <c r="P191" s="23">
        <v>1.1905584950916823</v>
      </c>
      <c r="Q191" s="23">
        <v>1.056995413395009</v>
      </c>
      <c r="R191" s="46">
        <f>(Q191-Q190)/Q190*100</f>
        <v>2.0994875575071164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12"/>
    </row>
    <row r="192" spans="1:39" x14ac:dyDescent="0.2">
      <c r="A192" s="2"/>
      <c r="B192" s="2"/>
      <c r="C192" s="2"/>
      <c r="D192" s="2"/>
      <c r="E192" s="2"/>
      <c r="F192" s="43">
        <f>F191+1</f>
        <v>2</v>
      </c>
      <c r="G192" s="44">
        <f t="shared" si="36"/>
        <v>31.679586563307488</v>
      </c>
      <c r="H192" s="169">
        <f>H190+F192*(H200-H190)/10</f>
        <v>50.96</v>
      </c>
      <c r="I192" s="23">
        <v>1.3300541560837658</v>
      </c>
      <c r="J192" s="23">
        <v>1.1808417212118987</v>
      </c>
      <c r="K192" s="46">
        <f>(J192-J190)/J190*100</f>
        <v>14.062306320721843</v>
      </c>
      <c r="L192" s="2"/>
      <c r="M192" s="43">
        <f>M191+1</f>
        <v>2</v>
      </c>
      <c r="N192" s="44">
        <f t="shared" si="38"/>
        <v>40</v>
      </c>
      <c r="O192" s="48">
        <f>O190+M192*(O200-O190)/10</f>
        <v>7</v>
      </c>
      <c r="P192" s="23">
        <v>1.2160307238824442</v>
      </c>
      <c r="Q192" s="23">
        <v>1.0796100342740196</v>
      </c>
      <c r="R192" s="46">
        <f>(Q192-Q190)/Q190*100</f>
        <v>4.2839257999003282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12"/>
    </row>
    <row r="193" spans="1:39" x14ac:dyDescent="0.2">
      <c r="A193" s="2"/>
      <c r="B193" s="2"/>
      <c r="C193" s="2"/>
      <c r="D193" s="2"/>
      <c r="E193" s="2"/>
      <c r="F193" s="43">
        <f t="shared" ref="F193:F200" si="39">F192+1</f>
        <v>3</v>
      </c>
      <c r="G193" s="44">
        <f t="shared" si="36"/>
        <v>47.519379844961243</v>
      </c>
      <c r="H193" s="169">
        <f>H190+F193*(H200-H190)/10</f>
        <v>57.09</v>
      </c>
      <c r="I193" s="23">
        <v>1.4120428058372085</v>
      </c>
      <c r="J193" s="23">
        <v>1.2536324552221292</v>
      </c>
      <c r="K193" s="46">
        <f>(J193-J190)/J190*100</f>
        <v>21.093459481082789</v>
      </c>
      <c r="L193" s="2"/>
      <c r="M193" s="43">
        <f t="shared" ref="M193:M200" si="40">M192+1</f>
        <v>3</v>
      </c>
      <c r="N193" s="44">
        <f t="shared" si="38"/>
        <v>60</v>
      </c>
      <c r="O193" s="48">
        <f>O190+M193*(O200-O190)/10</f>
        <v>8</v>
      </c>
      <c r="P193" s="23">
        <v>1.2424603937806142</v>
      </c>
      <c r="Q193" s="23">
        <v>1.1030746855071021</v>
      </c>
      <c r="R193" s="46">
        <f>(Q193-Q190)/Q190*100</f>
        <v>6.5504719326961238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12"/>
    </row>
    <row r="194" spans="1:39" x14ac:dyDescent="0.2">
      <c r="A194" s="2"/>
      <c r="B194" s="2"/>
      <c r="C194" s="2"/>
      <c r="D194" s="2"/>
      <c r="E194" s="2"/>
      <c r="F194" s="43">
        <f t="shared" si="39"/>
        <v>4</v>
      </c>
      <c r="G194" s="44">
        <f t="shared" si="36"/>
        <v>63.359173126614976</v>
      </c>
      <c r="H194" s="169">
        <f>H190+F194*(H200-H190)/10</f>
        <v>63.22</v>
      </c>
      <c r="I194" s="23">
        <v>1.4940314555906511</v>
      </c>
      <c r="J194" s="23">
        <v>1.3264231892323595</v>
      </c>
      <c r="K194" s="46">
        <f>(J194-J190)/J190*100</f>
        <v>28.124612641443708</v>
      </c>
      <c r="L194" s="2"/>
      <c r="M194" s="43">
        <f t="shared" si="40"/>
        <v>4</v>
      </c>
      <c r="N194" s="44">
        <f t="shared" si="38"/>
        <v>80</v>
      </c>
      <c r="O194" s="48">
        <f>O190+M194*(O200-O190)/10</f>
        <v>9</v>
      </c>
      <c r="P194" s="23">
        <v>1.2698123690803766</v>
      </c>
      <c r="Q194" s="23">
        <v>1.1273581730957702</v>
      </c>
      <c r="R194" s="46">
        <f>(Q194-Q190)/Q190*100</f>
        <v>8.8961128006622694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12"/>
    </row>
    <row r="195" spans="1:39" x14ac:dyDescent="0.2">
      <c r="A195" s="2"/>
      <c r="B195" s="2"/>
      <c r="C195" s="2"/>
      <c r="D195" s="2"/>
      <c r="E195" s="2"/>
      <c r="F195" s="43">
        <f t="shared" si="39"/>
        <v>5</v>
      </c>
      <c r="G195" s="44">
        <f t="shared" si="36"/>
        <v>79.198966408268703</v>
      </c>
      <c r="H195" s="169">
        <f>H190+F195*(H200-H190)/10</f>
        <v>69.349999999999994</v>
      </c>
      <c r="I195" s="23">
        <v>1.5760201053440941</v>
      </c>
      <c r="J195" s="23">
        <v>1.39921392324259</v>
      </c>
      <c r="K195" s="46">
        <f>(J195-J190)/J190*100</f>
        <v>35.155765801804655</v>
      </c>
      <c r="L195" s="2"/>
      <c r="M195" s="43">
        <f t="shared" si="40"/>
        <v>5</v>
      </c>
      <c r="N195" s="44">
        <f t="shared" si="38"/>
        <v>100</v>
      </c>
      <c r="O195" s="48">
        <f>O190+M195*(O200-O190)/10</f>
        <v>10</v>
      </c>
      <c r="P195" s="23">
        <v>1.2980499806741843</v>
      </c>
      <c r="Q195" s="23">
        <v>1.1524279416648369</v>
      </c>
      <c r="R195" s="46">
        <f>(Q195-Q190)/Q190*100</f>
        <v>11.317703747651979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12"/>
    </row>
    <row r="196" spans="1:39" x14ac:dyDescent="0.2">
      <c r="A196" s="2"/>
      <c r="B196" s="2"/>
      <c r="C196" s="2"/>
      <c r="D196" s="2"/>
      <c r="E196" s="2"/>
      <c r="F196" s="43">
        <f t="shared" si="39"/>
        <v>6</v>
      </c>
      <c r="G196" s="44">
        <f t="shared" si="36"/>
        <v>95.038759689922443</v>
      </c>
      <c r="H196" s="169">
        <f>H190+F196*(H200-H190)/10</f>
        <v>75.47999999999999</v>
      </c>
      <c r="I196" s="23">
        <v>1.6580087550975371</v>
      </c>
      <c r="J196" s="23">
        <v>1.4720046572528207</v>
      </c>
      <c r="K196" s="46">
        <f>(J196-J190)/J190*100</f>
        <v>42.18691896216562</v>
      </c>
      <c r="L196" s="2"/>
      <c r="M196" s="43">
        <f t="shared" si="40"/>
        <v>6</v>
      </c>
      <c r="N196" s="44">
        <f t="shared" si="38"/>
        <v>120</v>
      </c>
      <c r="O196" s="48">
        <f>O190+M196*(O200-O190)/10</f>
        <v>11</v>
      </c>
      <c r="P196" s="23">
        <v>1.3271354572243863</v>
      </c>
      <c r="Q196" s="23">
        <v>1.1782504572629504</v>
      </c>
      <c r="R196" s="46">
        <f>(Q196-Q190)/Q190*100</f>
        <v>13.812005592865242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12"/>
    </row>
    <row r="197" spans="1:39" x14ac:dyDescent="0.2">
      <c r="A197" s="2"/>
      <c r="B197" s="2"/>
      <c r="C197" s="2"/>
      <c r="D197" s="2"/>
      <c r="E197" s="2"/>
      <c r="F197" s="43">
        <f t="shared" si="39"/>
        <v>7</v>
      </c>
      <c r="G197" s="44">
        <f t="shared" si="36"/>
        <v>110.8785529715762</v>
      </c>
      <c r="H197" s="169">
        <f>H190+F197*(H200-H190)/10</f>
        <v>81.61</v>
      </c>
      <c r="I197" s="23">
        <v>1.7399974048509799</v>
      </c>
      <c r="J197" s="23">
        <v>1.544795391263051</v>
      </c>
      <c r="K197" s="46">
        <f>(J197-J190)/J190*100</f>
        <v>49.218072122526543</v>
      </c>
      <c r="L197" s="2"/>
      <c r="M197" s="43">
        <f t="shared" si="40"/>
        <v>7</v>
      </c>
      <c r="N197" s="44">
        <f t="shared" si="38"/>
        <v>140</v>
      </c>
      <c r="O197" s="48">
        <f>O190+M197*(O200-O190)/10</f>
        <v>12</v>
      </c>
      <c r="P197" s="23">
        <v>1.3570303284224321</v>
      </c>
      <c r="Q197" s="23">
        <v>1.2047915653820735</v>
      </c>
      <c r="R197" s="46">
        <f>(Q197-Q190)/Q190*100</f>
        <v>16.375719213406921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12"/>
    </row>
    <row r="198" spans="1:39" x14ac:dyDescent="0.2">
      <c r="A198" s="2"/>
      <c r="B198" s="2"/>
      <c r="C198" s="2"/>
      <c r="D198" s="2"/>
      <c r="E198" s="2"/>
      <c r="F198" s="43">
        <f t="shared" si="39"/>
        <v>8</v>
      </c>
      <c r="G198" s="44">
        <f t="shared" si="36"/>
        <v>126.71834625322998</v>
      </c>
      <c r="H198" s="169">
        <f>H190+F198*(H200-H190)/10</f>
        <v>87.740000000000009</v>
      </c>
      <c r="I198" s="23">
        <v>1.8219860546044226</v>
      </c>
      <c r="J198" s="23">
        <v>1.6175861252732813</v>
      </c>
      <c r="K198" s="46">
        <f>(J198-J190)/J190*100</f>
        <v>56.249225282887458</v>
      </c>
      <c r="L198" s="2"/>
      <c r="M198" s="43">
        <f t="shared" si="40"/>
        <v>8</v>
      </c>
      <c r="N198" s="44">
        <f t="shared" si="38"/>
        <v>160</v>
      </c>
      <c r="O198" s="48">
        <f>O190+M198*(O200-O190)/10</f>
        <v>13</v>
      </c>
      <c r="P198" s="23">
        <v>1.3876957958973319</v>
      </c>
      <c r="Q198" s="23">
        <v>1.2320168202554906</v>
      </c>
      <c r="R198" s="46">
        <f>(Q198-Q190)/Q190*100</f>
        <v>19.005517352521089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12"/>
    </row>
    <row r="199" spans="1:39" x14ac:dyDescent="0.2">
      <c r="A199" s="2"/>
      <c r="B199" s="2"/>
      <c r="C199" s="2"/>
      <c r="D199" s="2"/>
      <c r="E199" s="2"/>
      <c r="F199" s="43">
        <f t="shared" si="39"/>
        <v>9</v>
      </c>
      <c r="G199" s="44">
        <f t="shared" si="36"/>
        <v>142.55813953488371</v>
      </c>
      <c r="H199" s="169">
        <f>H190+F199*(H200-H190)/10</f>
        <v>93.87</v>
      </c>
      <c r="I199" s="23">
        <v>1.9039747043578652</v>
      </c>
      <c r="J199" s="23">
        <v>1.6903768592835113</v>
      </c>
      <c r="K199" s="46">
        <f>(J199-J190)/J190*100</f>
        <v>63.280378443248367</v>
      </c>
      <c r="L199" s="2"/>
      <c r="M199" s="43">
        <f t="shared" si="40"/>
        <v>9</v>
      </c>
      <c r="N199" s="44">
        <f t="shared" si="38"/>
        <v>180</v>
      </c>
      <c r="O199" s="48">
        <f>O190+M199*(O200-O190)/10</f>
        <v>14</v>
      </c>
      <c r="P199" s="23">
        <v>1.4190930687650201</v>
      </c>
      <c r="Q199" s="23">
        <v>1.2598917827634877</v>
      </c>
      <c r="R199" s="46">
        <f>(Q199-Q190)/Q190*100</f>
        <v>21.698073395512772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12"/>
    </row>
    <row r="200" spans="1:39" ht="12" thickBot="1" x14ac:dyDescent="0.25">
      <c r="A200" s="2"/>
      <c r="B200" s="2"/>
      <c r="C200" s="2"/>
      <c r="D200" s="2"/>
      <c r="E200" s="2"/>
      <c r="F200" s="49">
        <f t="shared" si="39"/>
        <v>10</v>
      </c>
      <c r="G200" s="50">
        <f t="shared" si="36"/>
        <v>158.39793281653743</v>
      </c>
      <c r="H200" s="170">
        <v>100</v>
      </c>
      <c r="I200" s="158">
        <v>1.985963354111308</v>
      </c>
      <c r="J200" s="158">
        <v>1.7631675932937421</v>
      </c>
      <c r="K200" s="52">
        <f>(J200-J190)/J190*100</f>
        <v>70.311531603609339</v>
      </c>
      <c r="L200" s="2"/>
      <c r="M200" s="49">
        <f t="shared" si="40"/>
        <v>10</v>
      </c>
      <c r="N200" s="50">
        <f t="shared" si="38"/>
        <v>200</v>
      </c>
      <c r="O200" s="53">
        <v>15</v>
      </c>
      <c r="P200" s="158">
        <v>1.45118366211558</v>
      </c>
      <c r="Q200" s="158">
        <v>1.2883822854347187</v>
      </c>
      <c r="R200" s="52">
        <f>(Q200-Q190)/Q190*100</f>
        <v>24.450086967308092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12"/>
    </row>
    <row r="201" spans="1:39" ht="12" thickBot="1" x14ac:dyDescent="0.25">
      <c r="A201" s="2"/>
      <c r="B201" s="2"/>
      <c r="C201" s="2"/>
      <c r="D201" s="2"/>
      <c r="E201" s="2"/>
      <c r="F201" s="159"/>
      <c r="G201" s="164"/>
      <c r="H201" s="164"/>
      <c r="I201" s="165"/>
      <c r="J201" s="166"/>
      <c r="K201" s="16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12"/>
    </row>
    <row r="202" spans="1:39" ht="12" thickBot="1" x14ac:dyDescent="0.25">
      <c r="A202" s="2"/>
      <c r="B202" s="2"/>
      <c r="C202" s="2"/>
      <c r="D202" s="2"/>
      <c r="E202" s="2"/>
      <c r="F202" s="172" t="s">
        <v>32</v>
      </c>
      <c r="G202" s="173"/>
      <c r="H202" s="173"/>
      <c r="I202" s="173"/>
      <c r="J202" s="173"/>
      <c r="K202" s="174"/>
      <c r="L202" s="2"/>
      <c r="M202" s="172" t="s">
        <v>32</v>
      </c>
      <c r="N202" s="173"/>
      <c r="O202" s="173"/>
      <c r="P202" s="173"/>
      <c r="Q202" s="173"/>
      <c r="R202" s="174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12"/>
    </row>
    <row r="203" spans="1:39" x14ac:dyDescent="0.2">
      <c r="A203" s="2"/>
      <c r="B203" s="2"/>
      <c r="C203" s="2"/>
      <c r="D203" s="2"/>
      <c r="E203" s="2"/>
      <c r="F203" s="175" t="s">
        <v>159</v>
      </c>
      <c r="G203" s="176"/>
      <c r="H203" s="177" t="s">
        <v>96</v>
      </c>
      <c r="I203" s="177"/>
      <c r="J203" s="190">
        <f>F8</f>
        <v>60.5</v>
      </c>
      <c r="K203" s="191"/>
      <c r="L203" s="2"/>
      <c r="M203" s="175" t="s">
        <v>163</v>
      </c>
      <c r="N203" s="176"/>
      <c r="O203" s="177" t="s">
        <v>96</v>
      </c>
      <c r="P203" s="177"/>
      <c r="Q203" s="178">
        <f>F64</f>
        <v>15</v>
      </c>
      <c r="R203" s="179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12"/>
    </row>
    <row r="204" spans="1:39" ht="45" x14ac:dyDescent="0.2">
      <c r="A204" s="2"/>
      <c r="B204" s="2"/>
      <c r="C204" s="2"/>
      <c r="D204" s="2"/>
      <c r="E204" s="2"/>
      <c r="F204" s="37" t="s">
        <v>35</v>
      </c>
      <c r="G204" s="38" t="s">
        <v>36</v>
      </c>
      <c r="H204" s="38" t="s">
        <v>159</v>
      </c>
      <c r="I204" s="38" t="s">
        <v>154</v>
      </c>
      <c r="J204" s="38" t="s">
        <v>156</v>
      </c>
      <c r="K204" s="39" t="s">
        <v>157</v>
      </c>
      <c r="L204" s="2"/>
      <c r="M204" s="37" t="s">
        <v>35</v>
      </c>
      <c r="N204" s="38" t="s">
        <v>36</v>
      </c>
      <c r="O204" s="38" t="s">
        <v>163</v>
      </c>
      <c r="P204" s="38" t="s">
        <v>154</v>
      </c>
      <c r="Q204" s="38" t="s">
        <v>156</v>
      </c>
      <c r="R204" s="39" t="s">
        <v>157</v>
      </c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12"/>
    </row>
    <row r="205" spans="1:39" x14ac:dyDescent="0.2">
      <c r="A205" s="2"/>
      <c r="B205" s="2"/>
      <c r="C205" s="2"/>
      <c r="D205" s="2"/>
      <c r="E205" s="2"/>
      <c r="F205" s="37"/>
      <c r="G205" s="38" t="s">
        <v>37</v>
      </c>
      <c r="H205" s="38" t="s">
        <v>37</v>
      </c>
      <c r="I205" s="38" t="s">
        <v>155</v>
      </c>
      <c r="J205" s="38" t="s">
        <v>155</v>
      </c>
      <c r="K205" s="27" t="s">
        <v>37</v>
      </c>
      <c r="L205" s="2"/>
      <c r="M205" s="37"/>
      <c r="N205" s="38" t="s">
        <v>37</v>
      </c>
      <c r="O205" s="38" t="s">
        <v>37</v>
      </c>
      <c r="P205" s="38" t="s">
        <v>155</v>
      </c>
      <c r="Q205" s="38" t="s">
        <v>155</v>
      </c>
      <c r="R205" s="27" t="s">
        <v>37</v>
      </c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12"/>
    </row>
    <row r="206" spans="1:39" ht="22.5" x14ac:dyDescent="0.2">
      <c r="A206" s="2"/>
      <c r="B206" s="2"/>
      <c r="C206" s="2"/>
      <c r="D206" s="2"/>
      <c r="E206" s="2"/>
      <c r="F206" s="40" t="s">
        <v>38</v>
      </c>
      <c r="G206" s="41"/>
      <c r="H206" s="41"/>
      <c r="I206" s="157">
        <f>F139</f>
        <v>1.1660768565768804</v>
      </c>
      <c r="J206" s="157">
        <f>F140</f>
        <v>1.0352602531914381</v>
      </c>
      <c r="K206" s="42"/>
      <c r="L206" s="2"/>
      <c r="M206" s="40" t="s">
        <v>38</v>
      </c>
      <c r="N206" s="41"/>
      <c r="O206" s="41"/>
      <c r="P206" s="157">
        <f>F139</f>
        <v>1.1660768565768804</v>
      </c>
      <c r="Q206" s="157">
        <f>F140</f>
        <v>1.0352602531914381</v>
      </c>
      <c r="R206" s="4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12"/>
    </row>
    <row r="207" spans="1:39" x14ac:dyDescent="0.2">
      <c r="A207" s="2"/>
      <c r="B207" s="2"/>
      <c r="C207" s="2"/>
      <c r="D207" s="2"/>
      <c r="E207" s="2"/>
      <c r="F207" s="43">
        <f t="shared" ref="F207:F214" si="41">F208-1</f>
        <v>-10</v>
      </c>
      <c r="G207" s="44">
        <f t="shared" ref="G207:G216" si="42">IF(ISERROR((H207-H$217)/H$217*100),"error",(H207-H$217)/H$217*100)</f>
        <v>-80.165289256198349</v>
      </c>
      <c r="H207" s="168">
        <v>12</v>
      </c>
      <c r="I207" s="23">
        <f t="dataTable" ref="I207:J227" dt2D="0" dtr="0" r1="F8" ca="1"/>
        <v>3.2580914861952119</v>
      </c>
      <c r="J207" s="23">
        <v>2.892581734981841</v>
      </c>
      <c r="K207" s="46">
        <f>(J207-J217)/J217*100</f>
        <v>179.40623877568601</v>
      </c>
      <c r="L207" s="2"/>
      <c r="M207" s="43">
        <f t="shared" ref="M207:M214" si="43">M208-1</f>
        <v>-10</v>
      </c>
      <c r="N207" s="44">
        <f t="shared" ref="N207:N216" si="44">IF(ISERROR((O207-O$217)/O$217*100),"error",(O207-O$217)/O$217*100)</f>
        <v>-99.333333333333343</v>
      </c>
      <c r="O207" s="47">
        <v>0.1</v>
      </c>
      <c r="P207" s="23">
        <f t="dataTable" ref="P207:Q227" dt2D="0" dtr="0" r1="F64" ca="1"/>
        <v>1.0825042789178061</v>
      </c>
      <c r="Q207" s="23">
        <v>0.9133611239989623</v>
      </c>
      <c r="R207" s="46">
        <f>(Q207-Q217)/Q217*100</f>
        <v>-11.77473285743295</v>
      </c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12"/>
    </row>
    <row r="208" spans="1:39" x14ac:dyDescent="0.2">
      <c r="A208" s="2"/>
      <c r="B208" s="2"/>
      <c r="C208" s="2"/>
      <c r="D208" s="2"/>
      <c r="E208" s="2"/>
      <c r="F208" s="43">
        <f t="shared" si="41"/>
        <v>-9</v>
      </c>
      <c r="G208" s="44">
        <f t="shared" si="42"/>
        <v>-72.148760330578511</v>
      </c>
      <c r="H208" s="169">
        <f>H217+F208*(H217-H207)/10</f>
        <v>16.850000000000001</v>
      </c>
      <c r="I208" s="23">
        <v>2.5069527022669678</v>
      </c>
      <c r="J208" s="23">
        <v>2.2257096302440402</v>
      </c>
      <c r="K208" s="46">
        <f>(J208-J217)/J217*100</f>
        <v>114.99034888886696</v>
      </c>
      <c r="L208" s="2"/>
      <c r="M208" s="43">
        <f t="shared" si="43"/>
        <v>-9</v>
      </c>
      <c r="N208" s="44">
        <f t="shared" si="44"/>
        <v>-89.4</v>
      </c>
      <c r="O208" s="48">
        <f>O217+M208*(O217-O207)/10</f>
        <v>1.5899999999999999</v>
      </c>
      <c r="P208" s="23">
        <v>1.0892517444595942</v>
      </c>
      <c r="Q208" s="23">
        <v>0.9243339402086338</v>
      </c>
      <c r="R208" s="46">
        <f>(Q208-Q217)/Q217*100</f>
        <v>-10.714823894846473</v>
      </c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12"/>
    </row>
    <row r="209" spans="1:39" x14ac:dyDescent="0.2">
      <c r="A209" s="2"/>
      <c r="B209" s="2"/>
      <c r="C209" s="2"/>
      <c r="D209" s="2"/>
      <c r="E209" s="2"/>
      <c r="F209" s="43">
        <f t="shared" si="41"/>
        <v>-8</v>
      </c>
      <c r="G209" s="44">
        <f t="shared" si="42"/>
        <v>-64.132231404958674</v>
      </c>
      <c r="H209" s="169">
        <f>H217+F209*(H217-H207)/10</f>
        <v>21.700000000000003</v>
      </c>
      <c r="I209" s="23">
        <v>2.0915764162236994</v>
      </c>
      <c r="J209" s="23">
        <v>1.8569324294673759</v>
      </c>
      <c r="K209" s="46">
        <f>(J209-J217)/J217*100</f>
        <v>79.36865862887484</v>
      </c>
      <c r="L209" s="2"/>
      <c r="M209" s="43">
        <f t="shared" si="43"/>
        <v>-8</v>
      </c>
      <c r="N209" s="44">
        <f t="shared" si="44"/>
        <v>-79.466666666666669</v>
      </c>
      <c r="O209" s="48">
        <f>O217+M209*(O217-O207)/10</f>
        <v>3.08</v>
      </c>
      <c r="P209" s="23">
        <v>1.0963655967000721</v>
      </c>
      <c r="Q209" s="23">
        <v>0.93562807795125968</v>
      </c>
      <c r="R209" s="46">
        <f>(Q209-Q217)/Q217*100</f>
        <v>-9.6238771780369561</v>
      </c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12"/>
    </row>
    <row r="210" spans="1:39" x14ac:dyDescent="0.2">
      <c r="A210" s="2"/>
      <c r="B210" s="2"/>
      <c r="C210" s="2"/>
      <c r="D210" s="2"/>
      <c r="E210" s="2"/>
      <c r="F210" s="43">
        <f t="shared" si="41"/>
        <v>-7</v>
      </c>
      <c r="G210" s="44">
        <f t="shared" si="42"/>
        <v>-56.11570247933885</v>
      </c>
      <c r="H210" s="169">
        <f>H217+F210*(H217-H207)/10</f>
        <v>26.549999999999997</v>
      </c>
      <c r="I210" s="23">
        <v>1.827957191371381</v>
      </c>
      <c r="J210" s="23">
        <v>1.6228873886731474</v>
      </c>
      <c r="K210" s="46">
        <f>(J210-J217)/J217*100</f>
        <v>56.761295883832851</v>
      </c>
      <c r="L210" s="2"/>
      <c r="M210" s="43">
        <f t="shared" si="43"/>
        <v>-7</v>
      </c>
      <c r="N210" s="44">
        <f t="shared" si="44"/>
        <v>-69.533333333333331</v>
      </c>
      <c r="O210" s="48">
        <f>O217+M210*(O217-O207)/10</f>
        <v>4.57</v>
      </c>
      <c r="P210" s="23">
        <v>1.1038500843444259</v>
      </c>
      <c r="Q210" s="23">
        <v>0.94722794409702271</v>
      </c>
      <c r="R210" s="46">
        <f>(Q210-Q217)/Q217*100</f>
        <v>-8.5033989108569248</v>
      </c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12"/>
    </row>
    <row r="211" spans="1:39" x14ac:dyDescent="0.2">
      <c r="A211" s="2"/>
      <c r="B211" s="2"/>
      <c r="C211" s="2"/>
      <c r="D211" s="2"/>
      <c r="E211" s="2"/>
      <c r="F211" s="43">
        <f t="shared" si="41"/>
        <v>-6</v>
      </c>
      <c r="G211" s="44">
        <f t="shared" si="42"/>
        <v>-48.099173553719012</v>
      </c>
      <c r="H211" s="169">
        <f>H217+F211*(H217-H207)/10</f>
        <v>31.4</v>
      </c>
      <c r="I211" s="23">
        <v>1.6457744786549695</v>
      </c>
      <c r="J211" s="23">
        <v>1.4611428859586644</v>
      </c>
      <c r="K211" s="46">
        <f>(J211-J217)/J217*100</f>
        <v>41.137736279775147</v>
      </c>
      <c r="L211" s="2"/>
      <c r="M211" s="43">
        <f t="shared" si="43"/>
        <v>-6</v>
      </c>
      <c r="N211" s="44">
        <f t="shared" si="44"/>
        <v>-59.600000000000009</v>
      </c>
      <c r="O211" s="48">
        <f>O217+M211*(O217-O207)/10</f>
        <v>6.0599999999999987</v>
      </c>
      <c r="P211" s="23">
        <v>1.1117045755108406</v>
      </c>
      <c r="Q211" s="23">
        <v>0.95911528379009081</v>
      </c>
      <c r="R211" s="46">
        <f>(Q211-Q217)/Q217*100</f>
        <v>-7.3551524041043939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12"/>
    </row>
    <row r="212" spans="1:39" x14ac:dyDescent="0.2">
      <c r="A212" s="2"/>
      <c r="B212" s="2"/>
      <c r="C212" s="2"/>
      <c r="D212" s="2"/>
      <c r="E212" s="2"/>
      <c r="F212" s="43">
        <f t="shared" si="41"/>
        <v>-5</v>
      </c>
      <c r="G212" s="44">
        <f t="shared" si="42"/>
        <v>-40.082644628099175</v>
      </c>
      <c r="H212" s="169">
        <f>H217+F212*(H217-H207)/10</f>
        <v>36.25</v>
      </c>
      <c r="I212" s="23">
        <v>1.5123413469964659</v>
      </c>
      <c r="J212" s="23">
        <v>1.3426789812119182</v>
      </c>
      <c r="K212" s="46">
        <f>(J212-J217)/J217*100</f>
        <v>29.694825728389368</v>
      </c>
      <c r="L212" s="2"/>
      <c r="M212" s="43">
        <f t="shared" si="43"/>
        <v>-5</v>
      </c>
      <c r="N212" s="44">
        <f t="shared" si="44"/>
        <v>-49.666666666666671</v>
      </c>
      <c r="O212" s="48">
        <f>O217+M212*(O217-O207)/10</f>
        <v>7.55</v>
      </c>
      <c r="P212" s="23">
        <v>1.1199239922837889</v>
      </c>
      <c r="Q212" s="23">
        <v>0.97126974254158338</v>
      </c>
      <c r="R212" s="46">
        <f>(Q212-Q217)/Q217*100</f>
        <v>-6.1811037806762714</v>
      </c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12"/>
    </row>
    <row r="213" spans="1:39" x14ac:dyDescent="0.2">
      <c r="A213" s="2"/>
      <c r="B213" s="2"/>
      <c r="C213" s="2"/>
      <c r="D213" s="2"/>
      <c r="E213" s="2"/>
      <c r="F213" s="43">
        <f t="shared" si="41"/>
        <v>-4</v>
      </c>
      <c r="G213" s="44">
        <f t="shared" si="42"/>
        <v>-32.066115702479337</v>
      </c>
      <c r="H213" s="169">
        <f>H217+F213*(H217-H207)/10</f>
        <v>41.1</v>
      </c>
      <c r="I213" s="23">
        <v>1.4103997330286557</v>
      </c>
      <c r="J213" s="23">
        <v>1.2521737109187838</v>
      </c>
      <c r="K213" s="46">
        <f>(J213-J217)/J217*100</f>
        <v>20.9525534336567</v>
      </c>
      <c r="L213" s="2"/>
      <c r="M213" s="43">
        <f t="shared" si="43"/>
        <v>-4</v>
      </c>
      <c r="N213" s="44">
        <f t="shared" si="44"/>
        <v>-39.733333333333334</v>
      </c>
      <c r="O213" s="48">
        <f>O217+M213*(O217-O207)/10</f>
        <v>9.0399999999999991</v>
      </c>
      <c r="P213" s="23">
        <v>1.1284993429275998</v>
      </c>
      <c r="Q213" s="23">
        <v>0.98366944312888838</v>
      </c>
      <c r="R213" s="46">
        <f>(Q213-Q217)/Q217*100</f>
        <v>-4.9833662505161076</v>
      </c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12"/>
    </row>
    <row r="214" spans="1:39" x14ac:dyDescent="0.2">
      <c r="A214" s="2"/>
      <c r="B214" s="2"/>
      <c r="C214" s="2"/>
      <c r="D214" s="2"/>
      <c r="E214" s="2"/>
      <c r="F214" s="43">
        <f t="shared" si="41"/>
        <v>-3</v>
      </c>
      <c r="G214" s="44">
        <f t="shared" si="42"/>
        <v>-24.049586776859499</v>
      </c>
      <c r="H214" s="169">
        <f>H217+F214*(H217-H207)/10</f>
        <v>45.95</v>
      </c>
      <c r="I214" s="23">
        <v>1.3299778939354441</v>
      </c>
      <c r="J214" s="23">
        <v>1.1807740145504251</v>
      </c>
      <c r="K214" s="46">
        <f>(J214-J217)/J217*100</f>
        <v>14.055766258813268</v>
      </c>
      <c r="L214" s="2"/>
      <c r="M214" s="43">
        <f t="shared" si="43"/>
        <v>-3</v>
      </c>
      <c r="N214" s="44">
        <f t="shared" si="44"/>
        <v>-29.800000000000004</v>
      </c>
      <c r="O214" s="48">
        <f>O217+M214*(O217-O207)/10</f>
        <v>10.53</v>
      </c>
      <c r="P214" s="23">
        <v>1.1374183137463372</v>
      </c>
      <c r="Q214" s="23">
        <v>0.99629154942872988</v>
      </c>
      <c r="R214" s="46">
        <f>(Q214-Q217)/Q217*100</f>
        <v>-3.7641456476840336</v>
      </c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12"/>
    </row>
    <row r="215" spans="1:39" x14ac:dyDescent="0.2">
      <c r="A215" s="2"/>
      <c r="B215" s="2"/>
      <c r="C215" s="2"/>
      <c r="D215" s="2"/>
      <c r="E215" s="2"/>
      <c r="F215" s="43">
        <f>F216-1</f>
        <v>-2</v>
      </c>
      <c r="G215" s="44">
        <f t="shared" si="42"/>
        <v>-16.033057851239676</v>
      </c>
      <c r="H215" s="169">
        <f>H217+F215*(H217-H207)/10</f>
        <v>50.8</v>
      </c>
      <c r="I215" s="23">
        <v>1.264912193409242</v>
      </c>
      <c r="J215" s="23">
        <v>1.1230077247720867</v>
      </c>
      <c r="K215" s="46">
        <f>(J215-J217)/J217*100</f>
        <v>8.4758852964890643</v>
      </c>
      <c r="L215" s="2"/>
      <c r="M215" s="43">
        <f>M216-1</f>
        <v>-2</v>
      </c>
      <c r="N215" s="44">
        <f t="shared" si="44"/>
        <v>-19.866666666666667</v>
      </c>
      <c r="O215" s="48">
        <f>O217+M215*(O217-O207)/10</f>
        <v>12.02</v>
      </c>
      <c r="P215" s="23">
        <v>1.1466658853553149</v>
      </c>
      <c r="Q215" s="23">
        <v>1.0091127941036577</v>
      </c>
      <c r="R215" s="46">
        <f>(Q215-Q217)/Q217*100</f>
        <v>-2.525689458971748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12"/>
    </row>
    <row r="216" spans="1:39" x14ac:dyDescent="0.2">
      <c r="A216" s="2"/>
      <c r="B216" s="2"/>
      <c r="C216" s="2"/>
      <c r="D216" s="2"/>
      <c r="E216" s="2"/>
      <c r="F216" s="43">
        <v>-1</v>
      </c>
      <c r="G216" s="44">
        <f t="shared" si="42"/>
        <v>-8.0165289256198378</v>
      </c>
      <c r="H216" s="169">
        <f>H217+F216*(H217-H207)/10</f>
        <v>55.65</v>
      </c>
      <c r="I216" s="23">
        <v>1.2111876841697284</v>
      </c>
      <c r="J216" s="23">
        <v>1.0753103120979695</v>
      </c>
      <c r="K216" s="46">
        <f>(J216-J217)/J217*100</f>
        <v>3.8685981407155769</v>
      </c>
      <c r="L216" s="2"/>
      <c r="M216" s="43">
        <v>-1</v>
      </c>
      <c r="N216" s="44">
        <f t="shared" si="44"/>
        <v>-9.9333333333333336</v>
      </c>
      <c r="O216" s="48">
        <f>O217+M216*(O217-O207)/10</f>
        <v>13.51</v>
      </c>
      <c r="P216" s="23">
        <v>1.1562249429949452</v>
      </c>
      <c r="Q216" s="23">
        <v>1.0221099527686175</v>
      </c>
      <c r="R216" s="46">
        <f>(Q216-Q217)/Q217*100</f>
        <v>-1.2702410222242821</v>
      </c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12"/>
    </row>
    <row r="217" spans="1:39" x14ac:dyDescent="0.2">
      <c r="A217" s="2"/>
      <c r="B217" s="2"/>
      <c r="C217" s="2"/>
      <c r="D217" s="2"/>
      <c r="E217" s="2"/>
      <c r="F217" s="43" t="s">
        <v>39</v>
      </c>
      <c r="G217" s="44">
        <f>IF(ISERROR((H217-H$217)/H$217*100),"error",(H217-H$217)/H$217*100)</f>
        <v>0</v>
      </c>
      <c r="H217" s="168">
        <v>60.5</v>
      </c>
      <c r="I217" s="23">
        <v>1.1660768565768804</v>
      </c>
      <c r="J217" s="23">
        <v>1.0352602531914381</v>
      </c>
      <c r="K217" s="46">
        <f>(J217-J217)/J217*100</f>
        <v>0</v>
      </c>
      <c r="L217" s="2"/>
      <c r="M217" s="43" t="s">
        <v>39</v>
      </c>
      <c r="N217" s="44">
        <f>IF(ISERROR((O217-O$217)/O$217*100),"error",(O217-O$217)/O$217*100)</f>
        <v>0</v>
      </c>
      <c r="O217" s="47">
        <v>15</v>
      </c>
      <c r="P217" s="23">
        <v>1.1660768565768804</v>
      </c>
      <c r="Q217" s="23">
        <v>1.0352602531914381</v>
      </c>
      <c r="R217" s="46">
        <f>(Q217-Q217)/Q217*100</f>
        <v>0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12"/>
    </row>
    <row r="218" spans="1:39" x14ac:dyDescent="0.2">
      <c r="A218" s="2"/>
      <c r="B218" s="2"/>
      <c r="C218" s="2"/>
      <c r="D218" s="2"/>
      <c r="E218" s="2"/>
      <c r="F218" s="43">
        <v>1</v>
      </c>
      <c r="G218" s="44">
        <f>IF(ISERROR((H218-H$217)/H$217*100),"error",(H218-H$217)/H$217*100)</f>
        <v>2.3966942148760375</v>
      </c>
      <c r="H218" s="169">
        <f>H217+F218*(H227-H217)/10</f>
        <v>61.95</v>
      </c>
      <c r="I218" s="23">
        <v>1.153961647419059</v>
      </c>
      <c r="J218" s="23">
        <v>1.0245041915909938</v>
      </c>
      <c r="K218" s="46">
        <f>(J218-J217)/J217*100</f>
        <v>-1.0389717529757516</v>
      </c>
      <c r="L218" s="2"/>
      <c r="M218" s="43">
        <v>1</v>
      </c>
      <c r="N218" s="44">
        <f t="shared" ref="N218:N227" si="45">IF(ISERROR((O218-O$217)/O$217*100),"error",(O218-O$217)/O$217*100)</f>
        <v>20</v>
      </c>
      <c r="O218" s="48">
        <f>O217+M218*(O227-O217)/10</f>
        <v>18</v>
      </c>
      <c r="P218" s="23">
        <v>1.1867212210908242</v>
      </c>
      <c r="Q218" s="23">
        <v>1.0621138222543294</v>
      </c>
      <c r="R218" s="46">
        <f>(Q218-Q217)/Q217*100</f>
        <v>2.5938954944043009</v>
      </c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12"/>
    </row>
    <row r="219" spans="1:39" x14ac:dyDescent="0.2">
      <c r="A219" s="2"/>
      <c r="B219" s="2"/>
      <c r="C219" s="2"/>
      <c r="D219" s="2"/>
      <c r="E219" s="2"/>
      <c r="F219" s="43">
        <f>F218+1</f>
        <v>2</v>
      </c>
      <c r="G219" s="44">
        <f t="shared" ref="G219:G227" si="46">IF(ISERROR((H219-H$217)/H$217*100),"error",(H219-H$217)/H$217*100)</f>
        <v>4.7933884297520635</v>
      </c>
      <c r="H219" s="169">
        <f>H217+F219*(H227-H217)/10</f>
        <v>63.4</v>
      </c>
      <c r="I219" s="23">
        <v>1.1424006039798142</v>
      </c>
      <c r="J219" s="23">
        <v>1.0142401264990883</v>
      </c>
      <c r="K219" s="46">
        <f>(J219-J217)/J217*100</f>
        <v>-2.030419561414647</v>
      </c>
      <c r="L219" s="2"/>
      <c r="M219" s="43">
        <f>M218+1</f>
        <v>2</v>
      </c>
      <c r="N219" s="44">
        <f t="shared" si="45"/>
        <v>40</v>
      </c>
      <c r="O219" s="48">
        <f>O217+M219*(O227-O217)/10</f>
        <v>21</v>
      </c>
      <c r="P219" s="23">
        <v>1.2083088308527163</v>
      </c>
      <c r="Q219" s="23">
        <v>1.0893349316609788</v>
      </c>
      <c r="R219" s="46">
        <f>(Q219-Q217)/Q217*100</f>
        <v>5.2232932060168018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12"/>
    </row>
    <row r="220" spans="1:39" x14ac:dyDescent="0.2">
      <c r="A220" s="2"/>
      <c r="B220" s="2"/>
      <c r="C220" s="2"/>
      <c r="D220" s="2"/>
      <c r="E220" s="2"/>
      <c r="F220" s="43">
        <f t="shared" ref="F220:F227" si="47">F219+1</f>
        <v>3</v>
      </c>
      <c r="G220" s="44">
        <f t="shared" si="46"/>
        <v>7.1900826446280899</v>
      </c>
      <c r="H220" s="169">
        <f>H217+F220*(H227-H217)/10</f>
        <v>64.849999999999994</v>
      </c>
      <c r="I220" s="23">
        <v>1.1313565540020001</v>
      </c>
      <c r="J220" s="23">
        <v>1.0044350558368895</v>
      </c>
      <c r="K220" s="46">
        <f>(J220-J217)/J217*100</f>
        <v>-2.9775312303860328</v>
      </c>
      <c r="L220" s="2"/>
      <c r="M220" s="43">
        <f t="shared" ref="M220:M227" si="48">M219+1</f>
        <v>3</v>
      </c>
      <c r="N220" s="44">
        <f t="shared" si="45"/>
        <v>60</v>
      </c>
      <c r="O220" s="48">
        <f>O217+M220*(O227-O217)/10</f>
        <v>24</v>
      </c>
      <c r="P220" s="23">
        <v>1.2306791298899826</v>
      </c>
      <c r="Q220" s="23">
        <v>1.1167807013481585</v>
      </c>
      <c r="R220" s="46">
        <f>(Q220-Q217)/Q217*100</f>
        <v>7.8743917681968467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12"/>
    </row>
    <row r="221" spans="1:39" x14ac:dyDescent="0.2">
      <c r="A221" s="2"/>
      <c r="B221" s="2"/>
      <c r="C221" s="2"/>
      <c r="D221" s="2"/>
      <c r="E221" s="2"/>
      <c r="F221" s="43">
        <f t="shared" si="47"/>
        <v>4</v>
      </c>
      <c r="G221" s="44">
        <f t="shared" si="46"/>
        <v>9.5867768595041269</v>
      </c>
      <c r="H221" s="169">
        <f>H217+F221*(H227-H217)/10</f>
        <v>66.3</v>
      </c>
      <c r="I221" s="23">
        <v>1.1207955771001386</v>
      </c>
      <c r="J221" s="23">
        <v>0.99505886458525483</v>
      </c>
      <c r="K221" s="46">
        <f>(J221-J217)/J217*100</f>
        <v>-3.8832156921173056</v>
      </c>
      <c r="L221" s="2"/>
      <c r="M221" s="43">
        <f t="shared" si="48"/>
        <v>4</v>
      </c>
      <c r="N221" s="44">
        <f t="shared" si="45"/>
        <v>80</v>
      </c>
      <c r="O221" s="48">
        <f>O217+M221*(O227-O217)/10</f>
        <v>27</v>
      </c>
      <c r="P221" s="23">
        <v>1.2536829960757077</v>
      </c>
      <c r="Q221" s="23">
        <v>1.1443325346925433</v>
      </c>
      <c r="R221" s="46">
        <f>(Q221-Q217)/Q217*100</f>
        <v>10.535735450565562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12"/>
    </row>
    <row r="222" spans="1:39" x14ac:dyDescent="0.2">
      <c r="A222" s="2"/>
      <c r="B222" s="2"/>
      <c r="C222" s="2"/>
      <c r="D222" s="2"/>
      <c r="E222" s="2"/>
      <c r="F222" s="43">
        <f t="shared" si="47"/>
        <v>5</v>
      </c>
      <c r="G222" s="44">
        <f t="shared" si="46"/>
        <v>11.983471074380166</v>
      </c>
      <c r="H222" s="169">
        <f>H217+F222*(H227-H217)/10</f>
        <v>67.75</v>
      </c>
      <c r="I222" s="23">
        <v>1.1106866567741502</v>
      </c>
      <c r="J222" s="23">
        <v>0.98608401583737981</v>
      </c>
      <c r="K222" s="46">
        <f>(J222-J217)/J217*100</f>
        <v>-4.7501328484756122</v>
      </c>
      <c r="L222" s="2"/>
      <c r="M222" s="43">
        <f t="shared" si="48"/>
        <v>5</v>
      </c>
      <c r="N222" s="44">
        <f t="shared" si="45"/>
        <v>100</v>
      </c>
      <c r="O222" s="48">
        <f>O217+M222*(O227-O217)/10</f>
        <v>30</v>
      </c>
      <c r="P222" s="23">
        <v>1.2771872032614997</v>
      </c>
      <c r="Q222" s="23">
        <v>1.1718954298053001</v>
      </c>
      <c r="R222" s="46">
        <f>(Q222-Q217)/Q217*100</f>
        <v>13.19814763414816</v>
      </c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12"/>
    </row>
    <row r="223" spans="1:39" x14ac:dyDescent="0.2">
      <c r="A223" s="2"/>
      <c r="B223" s="2"/>
      <c r="C223" s="2"/>
      <c r="D223" s="2"/>
      <c r="E223" s="2"/>
      <c r="F223" s="43">
        <f t="shared" si="47"/>
        <v>6</v>
      </c>
      <c r="G223" s="44">
        <f t="shared" si="46"/>
        <v>14.380165289256203</v>
      </c>
      <c r="H223" s="169">
        <f>H217+F223*(H227-H217)/10</f>
        <v>69.2</v>
      </c>
      <c r="I223" s="23">
        <v>1.1010013761728057</v>
      </c>
      <c r="J223" s="23">
        <v>0.97748528069310081</v>
      </c>
      <c r="K223" s="46">
        <f>(J223-J217)/J217*100</f>
        <v>-5.5807196615761185</v>
      </c>
      <c r="L223" s="2"/>
      <c r="M223" s="43">
        <f t="shared" si="48"/>
        <v>6</v>
      </c>
      <c r="N223" s="44">
        <f t="shared" si="45"/>
        <v>120</v>
      </c>
      <c r="O223" s="48">
        <f>O217+M223*(O227-O217)/10</f>
        <v>33</v>
      </c>
      <c r="P223" s="23">
        <v>1.3010761674020277</v>
      </c>
      <c r="Q223" s="23">
        <v>1.1993957279564038</v>
      </c>
      <c r="R223" s="46">
        <f>(Q223-Q217)/Q217*100</f>
        <v>15.854513322517573</v>
      </c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12"/>
    </row>
    <row r="224" spans="1:39" x14ac:dyDescent="0.2">
      <c r="A224" s="2"/>
      <c r="B224" s="2"/>
      <c r="C224" s="2"/>
      <c r="D224" s="2"/>
      <c r="E224" s="2"/>
      <c r="F224" s="43">
        <f t="shared" si="47"/>
        <v>7</v>
      </c>
      <c r="G224" s="44">
        <f t="shared" si="46"/>
        <v>16.77685950413224</v>
      </c>
      <c r="H224" s="169">
        <f>H217+F224*(H227-H217)/10</f>
        <v>70.650000000000006</v>
      </c>
      <c r="I224" s="23">
        <v>1.0917136513215522</v>
      </c>
      <c r="J224" s="23">
        <v>0.96923950141461701</v>
      </c>
      <c r="K224" s="46">
        <f>(J224-J217)/J217*100</f>
        <v>-6.3772130315344659</v>
      </c>
      <c r="L224" s="2"/>
      <c r="M224" s="43">
        <f t="shared" si="48"/>
        <v>7</v>
      </c>
      <c r="N224" s="44">
        <f t="shared" si="45"/>
        <v>140</v>
      </c>
      <c r="O224" s="48">
        <f>O217+M224*(O227-O217)/10</f>
        <v>36</v>
      </c>
      <c r="P224" s="23">
        <v>1.3252518587471962</v>
      </c>
      <c r="Q224" s="23">
        <v>1.2267781221446412</v>
      </c>
      <c r="R224" s="46">
        <f>(Q224-Q217)/Q217*100</f>
        <v>18.49949018740006</v>
      </c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12"/>
    </row>
    <row r="225" spans="1:39" x14ac:dyDescent="0.2">
      <c r="A225" s="2"/>
      <c r="B225" s="2"/>
      <c r="C225" s="2"/>
      <c r="D225" s="2"/>
      <c r="E225" s="2"/>
      <c r="F225" s="43">
        <f t="shared" si="47"/>
        <v>8</v>
      </c>
      <c r="G225" s="44">
        <f t="shared" si="46"/>
        <v>19.173553719008254</v>
      </c>
      <c r="H225" s="169">
        <f>H217+F225*(H227-H217)/10</f>
        <v>72.099999999999994</v>
      </c>
      <c r="I225" s="23">
        <v>1.0827994965405985</v>
      </c>
      <c r="J225" s="23">
        <v>0.96132538316120375</v>
      </c>
      <c r="K225" s="46">
        <f>(J225-J217)/J217*100</f>
        <v>-7.1416699136581734</v>
      </c>
      <c r="L225" s="2"/>
      <c r="M225" s="43">
        <f t="shared" si="48"/>
        <v>8</v>
      </c>
      <c r="N225" s="44">
        <f t="shared" si="45"/>
        <v>160</v>
      </c>
      <c r="O225" s="48">
        <f>O217+M225*(O227-O217)/10</f>
        <v>39</v>
      </c>
      <c r="P225" s="23">
        <v>1.3496326109720218</v>
      </c>
      <c r="Q225" s="23">
        <v>1.254002496020443</v>
      </c>
      <c r="R225" s="46">
        <f>(Q225-Q217)/Q217*100</f>
        <v>21.12920322737007</v>
      </c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12"/>
    </row>
    <row r="226" spans="1:39" x14ac:dyDescent="0.2">
      <c r="A226" s="2"/>
      <c r="B226" s="2"/>
      <c r="C226" s="2"/>
      <c r="D226" s="2"/>
      <c r="E226" s="2"/>
      <c r="F226" s="43">
        <f t="shared" si="47"/>
        <v>9</v>
      </c>
      <c r="G226" s="44">
        <f t="shared" si="46"/>
        <v>21.570247933884293</v>
      </c>
      <c r="H226" s="169">
        <f>H217+F226*(H227-H217)/10</f>
        <v>73.55</v>
      </c>
      <c r="I226" s="23">
        <v>1.0742368176109673</v>
      </c>
      <c r="J226" s="23">
        <v>0.95372331035897895</v>
      </c>
      <c r="K226" s="46">
        <f>(J226-J217)/J217*100</f>
        <v>-7.875985056038032</v>
      </c>
      <c r="L226" s="2"/>
      <c r="M226" s="43">
        <f t="shared" si="48"/>
        <v>9</v>
      </c>
      <c r="N226" s="44">
        <f t="shared" si="45"/>
        <v>180</v>
      </c>
      <c r="O226" s="48">
        <f>O217+M226*(O227-O217)/10</f>
        <v>42</v>
      </c>
      <c r="P226" s="23">
        <v>1.3741513674363224</v>
      </c>
      <c r="Q226" s="23">
        <v>1.2810409387125352</v>
      </c>
      <c r="R226" s="46">
        <f>(Q226-Q217)/Q217*100</f>
        <v>23.740956417810803</v>
      </c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12"/>
    </row>
    <row r="227" spans="1:39" ht="12" thickBot="1" x14ac:dyDescent="0.25">
      <c r="A227" s="2"/>
      <c r="B227" s="2"/>
      <c r="C227" s="2"/>
      <c r="D227" s="2"/>
      <c r="E227" s="2"/>
      <c r="F227" s="49">
        <f t="shared" si="47"/>
        <v>10</v>
      </c>
      <c r="G227" s="133">
        <f t="shared" si="46"/>
        <v>23.966942148760332</v>
      </c>
      <c r="H227" s="170">
        <v>75</v>
      </c>
      <c r="I227" s="158">
        <v>1.0660052289332818</v>
      </c>
      <c r="J227" s="158">
        <v>0.94641518437177352</v>
      </c>
      <c r="K227" s="52">
        <f>(J227-J217)/J217*100</f>
        <v>-8.5819066795792018</v>
      </c>
      <c r="L227" s="2"/>
      <c r="M227" s="49">
        <f t="shared" si="48"/>
        <v>10</v>
      </c>
      <c r="N227" s="133">
        <f t="shared" si="45"/>
        <v>200</v>
      </c>
      <c r="O227" s="53">
        <v>45</v>
      </c>
      <c r="P227" s="158">
        <v>1.39875372869777</v>
      </c>
      <c r="Q227" s="158">
        <v>1.307875111602306</v>
      </c>
      <c r="R227" s="52">
        <f>(Q227-Q217)/Q217*100</f>
        <v>26.332978356936543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12"/>
    </row>
    <row r="228" spans="1:39" ht="12" thickBot="1" x14ac:dyDescent="0.25">
      <c r="A228" s="2"/>
      <c r="B228" s="2"/>
      <c r="C228" s="2"/>
      <c r="D228" s="2"/>
      <c r="E228" s="2"/>
      <c r="F228" s="159"/>
      <c r="G228" s="164"/>
      <c r="H228" s="164"/>
      <c r="I228" s="165"/>
      <c r="J228" s="166"/>
      <c r="K228" s="16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12"/>
    </row>
    <row r="229" spans="1:39" ht="12" thickBot="1" x14ac:dyDescent="0.25">
      <c r="A229" s="2"/>
      <c r="B229" s="2"/>
      <c r="C229" s="2"/>
      <c r="D229" s="2"/>
      <c r="E229" s="2"/>
      <c r="F229" s="172" t="s">
        <v>32</v>
      </c>
      <c r="G229" s="173"/>
      <c r="H229" s="173"/>
      <c r="I229" s="173"/>
      <c r="J229" s="173"/>
      <c r="K229" s="174"/>
      <c r="L229" s="2"/>
      <c r="M229" s="172" t="s">
        <v>32</v>
      </c>
      <c r="N229" s="173"/>
      <c r="O229" s="173"/>
      <c r="P229" s="173"/>
      <c r="Q229" s="173"/>
      <c r="R229" s="174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12"/>
    </row>
    <row r="230" spans="1:39" x14ac:dyDescent="0.2">
      <c r="A230" s="2"/>
      <c r="B230" s="2"/>
      <c r="C230" s="2"/>
      <c r="D230" s="2"/>
      <c r="E230" s="2"/>
      <c r="F230" s="175" t="s">
        <v>167</v>
      </c>
      <c r="G230" s="176"/>
      <c r="H230" s="177" t="s">
        <v>96</v>
      </c>
      <c r="I230" s="177"/>
      <c r="J230" s="190">
        <f>F11</f>
        <v>91.324200913242009</v>
      </c>
      <c r="K230" s="191"/>
      <c r="L230" s="2"/>
      <c r="M230" s="175" t="s">
        <v>164</v>
      </c>
      <c r="N230" s="176"/>
      <c r="O230" s="177" t="s">
        <v>166</v>
      </c>
      <c r="P230" s="177"/>
      <c r="Q230" s="178">
        <f>F65</f>
        <v>15</v>
      </c>
      <c r="R230" s="179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12"/>
    </row>
    <row r="231" spans="1:39" ht="45" x14ac:dyDescent="0.2">
      <c r="A231" s="2"/>
      <c r="B231" s="2"/>
      <c r="C231" s="2"/>
      <c r="D231" s="2"/>
      <c r="E231" s="2"/>
      <c r="F231" s="37" t="s">
        <v>35</v>
      </c>
      <c r="G231" s="38" t="s">
        <v>36</v>
      </c>
      <c r="H231" s="38" t="s">
        <v>167</v>
      </c>
      <c r="I231" s="38" t="s">
        <v>154</v>
      </c>
      <c r="J231" s="38" t="s">
        <v>156</v>
      </c>
      <c r="K231" s="39" t="s">
        <v>157</v>
      </c>
      <c r="L231" s="2"/>
      <c r="M231" s="37" t="s">
        <v>35</v>
      </c>
      <c r="N231" s="38" t="s">
        <v>36</v>
      </c>
      <c r="O231" s="38" t="s">
        <v>164</v>
      </c>
      <c r="P231" s="38" t="s">
        <v>154</v>
      </c>
      <c r="Q231" s="38" t="s">
        <v>156</v>
      </c>
      <c r="R231" s="39" t="s">
        <v>157</v>
      </c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12"/>
    </row>
    <row r="232" spans="1:39" x14ac:dyDescent="0.2">
      <c r="A232" s="2"/>
      <c r="B232" s="2"/>
      <c r="C232" s="2"/>
      <c r="D232" s="2"/>
      <c r="E232" s="2"/>
      <c r="F232" s="37"/>
      <c r="G232" s="38" t="s">
        <v>37</v>
      </c>
      <c r="H232" s="38" t="s">
        <v>37</v>
      </c>
      <c r="I232" s="38" t="s">
        <v>155</v>
      </c>
      <c r="J232" s="38" t="s">
        <v>155</v>
      </c>
      <c r="K232" s="27" t="s">
        <v>37</v>
      </c>
      <c r="L232" s="2"/>
      <c r="M232" s="37"/>
      <c r="N232" s="38" t="s">
        <v>37</v>
      </c>
      <c r="O232" s="38" t="s">
        <v>165</v>
      </c>
      <c r="P232" s="38" t="s">
        <v>155</v>
      </c>
      <c r="Q232" s="38" t="s">
        <v>155</v>
      </c>
      <c r="R232" s="27" t="s">
        <v>37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12"/>
    </row>
    <row r="233" spans="1:39" ht="22.5" x14ac:dyDescent="0.2">
      <c r="A233" s="2"/>
      <c r="B233" s="2"/>
      <c r="C233" s="2"/>
      <c r="D233" s="2"/>
      <c r="E233" s="2"/>
      <c r="F233" s="40" t="s">
        <v>38</v>
      </c>
      <c r="G233" s="41"/>
      <c r="H233" s="41"/>
      <c r="I233" s="157">
        <f>F139</f>
        <v>1.1660768565768804</v>
      </c>
      <c r="J233" s="157">
        <f>F140</f>
        <v>1.0352602531914381</v>
      </c>
      <c r="K233" s="42"/>
      <c r="L233" s="2"/>
      <c r="M233" s="40" t="s">
        <v>38</v>
      </c>
      <c r="N233" s="41"/>
      <c r="O233" s="41"/>
      <c r="P233" s="157">
        <f>F139</f>
        <v>1.1660768565768804</v>
      </c>
      <c r="Q233" s="157">
        <f>F140</f>
        <v>1.0352602531914381</v>
      </c>
      <c r="R233" s="4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12"/>
    </row>
    <row r="234" spans="1:39" x14ac:dyDescent="0.2">
      <c r="A234" s="2"/>
      <c r="B234" s="2"/>
      <c r="C234" s="2"/>
      <c r="D234" s="2"/>
      <c r="E234" s="2"/>
      <c r="F234" s="43">
        <f t="shared" ref="F234:F241" si="49">F235-1</f>
        <v>-10</v>
      </c>
      <c r="G234" s="44">
        <f t="shared" ref="G234:G243" si="50">IF(ISERROR((H234-H$244)/H$244*100),"error",(H234-H$244)/H$244*100)</f>
        <v>-72.623740692071834</v>
      </c>
      <c r="H234" s="168">
        <v>25</v>
      </c>
      <c r="I234" s="23">
        <f t="dataTable" ref="I234:J254" dt2D="0" dtr="0" r1="F11" ca="1"/>
        <v>2.8999404629255867</v>
      </c>
      <c r="J234" s="23">
        <v>2.5746099675639194</v>
      </c>
      <c r="K234" s="46">
        <f>(J234-J244)/J244*100</f>
        <v>148.68564017162632</v>
      </c>
      <c r="L234" s="2"/>
      <c r="M234" s="43">
        <f t="shared" ref="M234:M241" si="51">M235-1</f>
        <v>-10</v>
      </c>
      <c r="N234" s="44">
        <f t="shared" ref="N234:N243" si="52">IF(ISERROR((O234-O$244)/O$244*100),"error",(O234-O$244)/O$244*100)</f>
        <v>-66.666666666666657</v>
      </c>
      <c r="O234" s="47">
        <v>5</v>
      </c>
      <c r="P234" s="23">
        <f t="dataTable" ref="P234:Q254" dt2D="0" dtr="0" r1="F65" ca="1"/>
        <v>1.7238052702100648</v>
      </c>
      <c r="Q234" s="23">
        <v>1.6282812984791977</v>
      </c>
      <c r="R234" s="46">
        <f>(Q234-Q244)/Q244*100</f>
        <v>57.282315578100281</v>
      </c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12"/>
    </row>
    <row r="235" spans="1:39" x14ac:dyDescent="0.2">
      <c r="A235" s="2"/>
      <c r="B235" s="2"/>
      <c r="C235" s="2"/>
      <c r="D235" s="2"/>
      <c r="E235" s="2"/>
      <c r="F235" s="43">
        <f t="shared" si="49"/>
        <v>-9</v>
      </c>
      <c r="G235" s="44">
        <f t="shared" si="50"/>
        <v>-65.361366622864651</v>
      </c>
      <c r="H235" s="169">
        <f>H244+F235*(H244-H234)/10</f>
        <v>31.632000000000005</v>
      </c>
      <c r="I235" s="23">
        <v>2.3993914018512599</v>
      </c>
      <c r="J235" s="23">
        <v>2.1302151193343088</v>
      </c>
      <c r="K235" s="46">
        <f>(J235-J244)/J244*100</f>
        <v>105.76084041039424</v>
      </c>
      <c r="L235" s="2"/>
      <c r="M235" s="43">
        <f t="shared" si="51"/>
        <v>-9</v>
      </c>
      <c r="N235" s="44">
        <f t="shared" si="52"/>
        <v>-60</v>
      </c>
      <c r="O235" s="48">
        <f>O244+M235*(O244-O234)/10</f>
        <v>6</v>
      </c>
      <c r="P235" s="23">
        <v>1.5809580148434634</v>
      </c>
      <c r="Q235" s="23">
        <v>1.4814979794053527</v>
      </c>
      <c r="R235" s="46">
        <f>(Q235-Q244)/Q244*100</f>
        <v>43.103917574182887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12"/>
    </row>
    <row r="236" spans="1:39" x14ac:dyDescent="0.2">
      <c r="A236" s="2"/>
      <c r="B236" s="2"/>
      <c r="C236" s="2"/>
      <c r="D236" s="2"/>
      <c r="E236" s="2"/>
      <c r="F236" s="43">
        <f t="shared" si="49"/>
        <v>-8</v>
      </c>
      <c r="G236" s="44">
        <f t="shared" si="50"/>
        <v>-58.098992553657467</v>
      </c>
      <c r="H236" s="169">
        <f>H244+F236*(H244-H234)/10</f>
        <v>38.263999999999996</v>
      </c>
      <c r="I236" s="23">
        <v>2.0723548524351476</v>
      </c>
      <c r="J236" s="23">
        <v>1.8398672412833932</v>
      </c>
      <c r="K236" s="46">
        <f>(J236-J244)/J244*100</f>
        <v>77.715680624935359</v>
      </c>
      <c r="L236" s="2"/>
      <c r="M236" s="43">
        <f t="shared" si="51"/>
        <v>-8</v>
      </c>
      <c r="N236" s="44">
        <f t="shared" si="52"/>
        <v>-53.333333333333336</v>
      </c>
      <c r="O236" s="48">
        <f>O244+M236*(O244-O234)/10</f>
        <v>7</v>
      </c>
      <c r="P236" s="23">
        <v>1.4792057220647417</v>
      </c>
      <c r="Q236" s="23">
        <v>1.3757261258106701</v>
      </c>
      <c r="R236" s="46">
        <f>(Q236-Q244)/Q244*100</f>
        <v>32.886983883488647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12"/>
    </row>
    <row r="237" spans="1:39" x14ac:dyDescent="0.2">
      <c r="A237" s="2"/>
      <c r="B237" s="2"/>
      <c r="C237" s="2"/>
      <c r="D237" s="2"/>
      <c r="E237" s="2"/>
      <c r="F237" s="43">
        <f t="shared" si="49"/>
        <v>-7</v>
      </c>
      <c r="G237" s="44">
        <f t="shared" si="50"/>
        <v>-50.836618484450277</v>
      </c>
      <c r="H237" s="169">
        <f>H244+F237*(H244-H234)/10</f>
        <v>44.896000000000001</v>
      </c>
      <c r="I237" s="23">
        <v>1.8419374403910784</v>
      </c>
      <c r="J237" s="23">
        <v>1.6352992602047538</v>
      </c>
      <c r="K237" s="46">
        <f>(J237-J244)/J244*100</f>
        <v>57.956136471032153</v>
      </c>
      <c r="L237" s="2"/>
      <c r="M237" s="43">
        <f t="shared" si="51"/>
        <v>-7</v>
      </c>
      <c r="N237" s="44">
        <f t="shared" si="52"/>
        <v>-46.666666666666664</v>
      </c>
      <c r="O237" s="48">
        <f>O244+M237*(O244-O234)/10</f>
        <v>8</v>
      </c>
      <c r="P237" s="23">
        <v>1.4034304368969415</v>
      </c>
      <c r="Q237" s="23">
        <v>1.2959738887553915</v>
      </c>
      <c r="R237" s="46">
        <f>(Q237-Q244)/Q244*100</f>
        <v>25.183390819867864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12"/>
    </row>
    <row r="238" spans="1:39" x14ac:dyDescent="0.2">
      <c r="A238" s="2"/>
      <c r="B238" s="2"/>
      <c r="C238" s="2"/>
      <c r="D238" s="2"/>
      <c r="E238" s="2"/>
      <c r="F238" s="43">
        <f t="shared" si="49"/>
        <v>-6</v>
      </c>
      <c r="G238" s="44">
        <f t="shared" si="50"/>
        <v>-43.574244415243093</v>
      </c>
      <c r="H238" s="169">
        <f>H244+F238*(H244-H234)/10</f>
        <v>51.527999999999999</v>
      </c>
      <c r="I238" s="23">
        <v>1.6708325681962677</v>
      </c>
      <c r="J238" s="23">
        <v>1.4833898278962414</v>
      </c>
      <c r="K238" s="46">
        <f>(J238-J244)/J244*100</f>
        <v>43.282964651731007</v>
      </c>
      <c r="L238" s="2"/>
      <c r="M238" s="43">
        <f t="shared" si="51"/>
        <v>-6</v>
      </c>
      <c r="N238" s="44">
        <f t="shared" si="52"/>
        <v>-40</v>
      </c>
      <c r="O238" s="48">
        <f>O244+M238*(O244-O234)/10</f>
        <v>9</v>
      </c>
      <c r="P238" s="23">
        <v>1.3450860804250828</v>
      </c>
      <c r="Q238" s="23">
        <v>1.2337645251351319</v>
      </c>
      <c r="R238" s="46">
        <f>(Q238-Q244)/Q244*100</f>
        <v>19.174335277700148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12"/>
    </row>
    <row r="239" spans="1:39" x14ac:dyDescent="0.2">
      <c r="A239" s="2"/>
      <c r="B239" s="2"/>
      <c r="C239" s="2"/>
      <c r="D239" s="2"/>
      <c r="E239" s="2"/>
      <c r="F239" s="43">
        <f t="shared" si="49"/>
        <v>-5</v>
      </c>
      <c r="G239" s="44">
        <f t="shared" si="50"/>
        <v>-36.311870346035917</v>
      </c>
      <c r="H239" s="169">
        <f>H244+F239*(H244-H234)/10</f>
        <v>58.16</v>
      </c>
      <c r="I239" s="23">
        <v>1.5387499625900394</v>
      </c>
      <c r="J239" s="23">
        <v>1.3661249401224624</v>
      </c>
      <c r="K239" s="46">
        <f>(J239-J244)/J244*100</f>
        <v>31.956164067148034</v>
      </c>
      <c r="L239" s="2"/>
      <c r="M239" s="43">
        <f t="shared" si="51"/>
        <v>-5</v>
      </c>
      <c r="N239" s="44">
        <f t="shared" si="52"/>
        <v>-33.333333333333329</v>
      </c>
      <c r="O239" s="48">
        <f>O244+M239*(O244-O234)/10</f>
        <v>10</v>
      </c>
      <c r="P239" s="23">
        <v>1.2989799318897344</v>
      </c>
      <c r="Q239" s="23">
        <v>1.1839450591900047</v>
      </c>
      <c r="R239" s="46">
        <f>(Q239-Q244)/Q244*100</f>
        <v>14.362070362520923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12"/>
    </row>
    <row r="240" spans="1:39" x14ac:dyDescent="0.2">
      <c r="A240" s="2"/>
      <c r="B240" s="2"/>
      <c r="C240" s="2"/>
      <c r="D240" s="2"/>
      <c r="E240" s="2"/>
      <c r="F240" s="43">
        <f t="shared" si="49"/>
        <v>-4</v>
      </c>
      <c r="G240" s="44">
        <f t="shared" si="50"/>
        <v>-29.04949627682873</v>
      </c>
      <c r="H240" s="169">
        <f>H244+F240*(H244-H234)/10</f>
        <v>64.792000000000002</v>
      </c>
      <c r="I240" s="23">
        <v>1.4337068631074215</v>
      </c>
      <c r="J240" s="23">
        <v>1.272866125188407</v>
      </c>
      <c r="K240" s="46">
        <f>(J240-J244)/J244*100</f>
        <v>22.948147945985014</v>
      </c>
      <c r="L240" s="2"/>
      <c r="M240" s="43">
        <f t="shared" si="51"/>
        <v>-4</v>
      </c>
      <c r="N240" s="44">
        <f t="shared" si="52"/>
        <v>-26.666666666666668</v>
      </c>
      <c r="O240" s="48">
        <f>O244+M240*(O244-O234)/10</f>
        <v>11</v>
      </c>
      <c r="P240" s="23">
        <v>1.2617764137732019</v>
      </c>
      <c r="Q240" s="23">
        <v>1.1432028267058694</v>
      </c>
      <c r="R240" s="46">
        <f>(Q240-Q244)/Q244*100</f>
        <v>10.426612359710747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12"/>
    </row>
    <row r="241" spans="1:39" x14ac:dyDescent="0.2">
      <c r="A241" s="2"/>
      <c r="B241" s="2"/>
      <c r="C241" s="2"/>
      <c r="D241" s="2"/>
      <c r="E241" s="2"/>
      <c r="F241" s="43">
        <f t="shared" si="49"/>
        <v>-3</v>
      </c>
      <c r="G241" s="44">
        <f t="shared" si="50"/>
        <v>-21.787122207621554</v>
      </c>
      <c r="H241" s="169">
        <f>H244+F241*(H244-H234)/10</f>
        <v>71.423999999999992</v>
      </c>
      <c r="I241" s="23">
        <v>1.3481710954955681</v>
      </c>
      <c r="J241" s="23">
        <v>1.1969262075617741</v>
      </c>
      <c r="K241" s="46">
        <f>(J241-J244)/J244*100</f>
        <v>15.612991449473506</v>
      </c>
      <c r="L241" s="2"/>
      <c r="M241" s="43">
        <f t="shared" si="51"/>
        <v>-3</v>
      </c>
      <c r="N241" s="44">
        <f t="shared" si="52"/>
        <v>-20</v>
      </c>
      <c r="O241" s="48">
        <f>O244+M241*(O244-O234)/10</f>
        <v>12</v>
      </c>
      <c r="P241" s="23">
        <v>1.2312362546694224</v>
      </c>
      <c r="Q241" s="23">
        <v>1.1093112048829721</v>
      </c>
      <c r="R241" s="46">
        <f>(Q241-Q244)/Q244*100</f>
        <v>7.1528827136224109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12"/>
    </row>
    <row r="242" spans="1:39" x14ac:dyDescent="0.2">
      <c r="A242" s="2"/>
      <c r="B242" s="2"/>
      <c r="C242" s="2"/>
      <c r="D242" s="2"/>
      <c r="E242" s="2"/>
      <c r="F242" s="43">
        <f>F243-1</f>
        <v>-2</v>
      </c>
      <c r="G242" s="44">
        <f t="shared" si="50"/>
        <v>-14.524748138414365</v>
      </c>
      <c r="H242" s="169">
        <f>H244+F242*(H244-H234)/10</f>
        <v>78.055999999999997</v>
      </c>
      <c r="I242" s="23">
        <v>1.277170359420094</v>
      </c>
      <c r="J242" s="23">
        <v>1.1338907055777525</v>
      </c>
      <c r="K242" s="46">
        <f>(J242-J244)/J244*100</f>
        <v>9.5242928264083577</v>
      </c>
      <c r="L242" s="2"/>
      <c r="M242" s="43">
        <f>M243-1</f>
        <v>-2</v>
      </c>
      <c r="N242" s="44">
        <f t="shared" si="52"/>
        <v>-13.333333333333334</v>
      </c>
      <c r="O242" s="48">
        <f>O244+M242*(O244-O234)/10</f>
        <v>13</v>
      </c>
      <c r="P242" s="23">
        <v>1.2058013588572734</v>
      </c>
      <c r="Q242" s="23">
        <v>1.0807181265156496</v>
      </c>
      <c r="R242" s="46">
        <f>(Q242-Q244)/Q244*100</f>
        <v>4.3909609379937722</v>
      </c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12"/>
    </row>
    <row r="243" spans="1:39" x14ac:dyDescent="0.2">
      <c r="A243" s="2"/>
      <c r="B243" s="2"/>
      <c r="C243" s="2"/>
      <c r="D243" s="2"/>
      <c r="E243" s="2"/>
      <c r="F243" s="43">
        <v>-1</v>
      </c>
      <c r="G243" s="44">
        <f t="shared" si="50"/>
        <v>-7.2623740692071888</v>
      </c>
      <c r="H243" s="169">
        <f>H244+F243*(H244-H234)/10</f>
        <v>84.687999999999988</v>
      </c>
      <c r="I243" s="23">
        <v>1.2172898973303685</v>
      </c>
      <c r="J243" s="23">
        <v>1.080727947055804</v>
      </c>
      <c r="K243" s="46">
        <f>(J243-J244)/J244*100</f>
        <v>4.3892180761036332</v>
      </c>
      <c r="L243" s="2"/>
      <c r="M243" s="43">
        <v>-1</v>
      </c>
      <c r="N243" s="44">
        <f t="shared" si="52"/>
        <v>-6.666666666666667</v>
      </c>
      <c r="O243" s="48">
        <f>O244+M243*(O244-O234)/10</f>
        <v>14</v>
      </c>
      <c r="P243" s="23">
        <v>1.1843550371167351</v>
      </c>
      <c r="Q243" s="23">
        <v>1.056308468338923</v>
      </c>
      <c r="R243" s="46">
        <f>(Q243-Q244)/Q244*100</f>
        <v>2.033132739579127</v>
      </c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12"/>
    </row>
    <row r="244" spans="1:39" x14ac:dyDescent="0.2">
      <c r="A244" s="2"/>
      <c r="B244" s="2"/>
      <c r="C244" s="2"/>
      <c r="D244" s="2"/>
      <c r="E244" s="2"/>
      <c r="F244" s="43" t="s">
        <v>39</v>
      </c>
      <c r="G244" s="44">
        <f>IF(ISERROR((H244-H$244)/H$244*100),"error",(H244-H$244)/H$244*100)</f>
        <v>0</v>
      </c>
      <c r="H244" s="168">
        <v>91.32</v>
      </c>
      <c r="I244" s="23">
        <v>1.1661069215432946</v>
      </c>
      <c r="J244" s="23">
        <v>1.0352869453126021</v>
      </c>
      <c r="K244" s="46">
        <f>(J244-J244)/J244*100</f>
        <v>0</v>
      </c>
      <c r="L244" s="2"/>
      <c r="M244" s="43" t="s">
        <v>39</v>
      </c>
      <c r="N244" s="44">
        <f>IF(ISERROR((O244-O$244)/O$244*100),"error",(O244-O$244)/O$244*100)</f>
        <v>0</v>
      </c>
      <c r="O244" s="47">
        <v>15</v>
      </c>
      <c r="P244" s="23">
        <v>1.1660768565768804</v>
      </c>
      <c r="Q244" s="23">
        <v>1.0352602531914381</v>
      </c>
      <c r="R244" s="46">
        <f>(Q244-Q244)/Q244*100</f>
        <v>0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12"/>
    </row>
    <row r="245" spans="1:39" x14ac:dyDescent="0.2">
      <c r="A245" s="2"/>
      <c r="B245" s="2"/>
      <c r="C245" s="2"/>
      <c r="D245" s="2"/>
      <c r="E245" s="2"/>
      <c r="F245" s="43">
        <v>1</v>
      </c>
      <c r="G245" s="44">
        <f t="shared" ref="G245:G254" si="53">IF(ISERROR((H245-H$244)/H$244*100),"error",(H245-H$244)/H$244*100)</f>
        <v>0.95050372317126053</v>
      </c>
      <c r="H245" s="169">
        <f>H244+F245*(H254-H244)/10</f>
        <v>92.187999999999988</v>
      </c>
      <c r="I245" s="23">
        <v>1.1599530528780515</v>
      </c>
      <c r="J245" s="23">
        <v>1.0298234498349637</v>
      </c>
      <c r="K245" s="46">
        <f>(J245-J244)/J244*100</f>
        <v>-0.5277276510029576</v>
      </c>
      <c r="L245" s="2"/>
      <c r="M245" s="43">
        <v>1</v>
      </c>
      <c r="N245" s="44">
        <f t="shared" ref="N245:N254" si="54">IF(ISERROR((O245-O$244)/O$244*100),"error",(O245-O$244)/O$244*100)</f>
        <v>10</v>
      </c>
      <c r="O245" s="48">
        <f>O244+M245*(O254-O244)/10</f>
        <v>16.5</v>
      </c>
      <c r="P245" s="23">
        <v>1.1414217651394492</v>
      </c>
      <c r="Q245" s="23">
        <v>1.0070243376757295</v>
      </c>
      <c r="R245" s="46">
        <f>(Q245-Q244)/Q244*100</f>
        <v>-2.7274219626093634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12"/>
    </row>
    <row r="246" spans="1:39" x14ac:dyDescent="0.2">
      <c r="A246" s="2"/>
      <c r="B246" s="2"/>
      <c r="C246" s="2"/>
      <c r="D246" s="2"/>
      <c r="E246" s="2"/>
      <c r="F246" s="43">
        <f>F245+1</f>
        <v>2</v>
      </c>
      <c r="G246" s="44">
        <f t="shared" si="53"/>
        <v>1.9010074463425366</v>
      </c>
      <c r="H246" s="169">
        <f>H244+F246*(H254-H244)/10</f>
        <v>93.055999999999997</v>
      </c>
      <c r="I246" s="23">
        <v>1.1539139872991533</v>
      </c>
      <c r="J246" s="23">
        <v>1.0244618782327253</v>
      </c>
      <c r="K246" s="46">
        <f>(J246-J244)/J244*100</f>
        <v>-1.045610314018617</v>
      </c>
      <c r="L246" s="2"/>
      <c r="M246" s="43">
        <f>M245+1</f>
        <v>2</v>
      </c>
      <c r="N246" s="44">
        <f t="shared" si="54"/>
        <v>20</v>
      </c>
      <c r="O246" s="48">
        <f>O244+M246*(O254-O244)/10</f>
        <v>18</v>
      </c>
      <c r="P246" s="23">
        <v>1.124781806811346</v>
      </c>
      <c r="Q246" s="23">
        <v>0.98676973168990134</v>
      </c>
      <c r="R246" s="46">
        <f>(Q246-Q244)/Q244*100</f>
        <v>-4.6838967643211546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12"/>
    </row>
    <row r="247" spans="1:39" x14ac:dyDescent="0.2">
      <c r="A247" s="2"/>
      <c r="B247" s="2"/>
      <c r="C247" s="2"/>
      <c r="D247" s="2"/>
      <c r="E247" s="2"/>
      <c r="F247" s="43">
        <f t="shared" ref="F247:F254" si="55">F246+1</f>
        <v>3</v>
      </c>
      <c r="G247" s="44">
        <f t="shared" si="53"/>
        <v>2.8515111695137971</v>
      </c>
      <c r="H247" s="169">
        <f>H244+F247*(H254-H244)/10</f>
        <v>93.923999999999992</v>
      </c>
      <c r="I247" s="23">
        <v>1.1479865419434669</v>
      </c>
      <c r="J247" s="23">
        <v>1.0191994047129951</v>
      </c>
      <c r="K247" s="46">
        <f>(J247-J244)/J244*100</f>
        <v>-1.5539209368422446</v>
      </c>
      <c r="L247" s="2"/>
      <c r="M247" s="43">
        <f t="shared" ref="M247:M254" si="56">M246+1</f>
        <v>3</v>
      </c>
      <c r="N247" s="44">
        <f t="shared" si="54"/>
        <v>30</v>
      </c>
      <c r="O247" s="48">
        <f>O244+M247*(O254-O244)/10</f>
        <v>19.5</v>
      </c>
      <c r="P247" s="23">
        <v>1.1076335938833881</v>
      </c>
      <c r="Q247" s="23">
        <v>0.96684780231901346</v>
      </c>
      <c r="R247" s="46">
        <f>(Q247-Q244)/Q244*100</f>
        <v>-6.6082369782406749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12"/>
    </row>
    <row r="248" spans="1:39" x14ac:dyDescent="0.2">
      <c r="A248" s="2"/>
      <c r="B248" s="2"/>
      <c r="C248" s="2"/>
      <c r="D248" s="2"/>
      <c r="E248" s="2"/>
      <c r="F248" s="43">
        <f t="shared" si="55"/>
        <v>4</v>
      </c>
      <c r="G248" s="44">
        <f t="shared" si="53"/>
        <v>3.8020148926850732</v>
      </c>
      <c r="H248" s="169">
        <f>H244+F248*(H254-H244)/10</f>
        <v>94.792000000000002</v>
      </c>
      <c r="I248" s="23">
        <v>1.1421676505283822</v>
      </c>
      <c r="J248" s="23">
        <v>1.01403330698479</v>
      </c>
      <c r="K248" s="46">
        <f>(J248-J244)/J244*100</f>
        <v>-2.0529224698563788</v>
      </c>
      <c r="L248" s="2"/>
      <c r="M248" s="43">
        <f t="shared" si="56"/>
        <v>4</v>
      </c>
      <c r="N248" s="44">
        <f t="shared" si="54"/>
        <v>40</v>
      </c>
      <c r="O248" s="48">
        <f>O244+M248*(O254-O244)/10</f>
        <v>21</v>
      </c>
      <c r="P248" s="23">
        <v>1.0967160266870568</v>
      </c>
      <c r="Q248" s="23">
        <v>0.95303786648606004</v>
      </c>
      <c r="R248" s="46">
        <f>(Q248-Q244)/Q244*100</f>
        <v>-7.9421948685760748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12"/>
    </row>
    <row r="249" spans="1:39" x14ac:dyDescent="0.2">
      <c r="A249" s="2"/>
      <c r="B249" s="2"/>
      <c r="C249" s="2"/>
      <c r="D249" s="2"/>
      <c r="E249" s="2"/>
      <c r="F249" s="43">
        <f t="shared" si="55"/>
        <v>5</v>
      </c>
      <c r="G249" s="44">
        <f t="shared" si="53"/>
        <v>4.7525186158563333</v>
      </c>
      <c r="H249" s="169">
        <f>H244+F249*(H254-H244)/10</f>
        <v>95.66</v>
      </c>
      <c r="I249" s="23">
        <v>1.1364543580626654</v>
      </c>
      <c r="J249" s="23">
        <v>1.008960961563256</v>
      </c>
      <c r="K249" s="46">
        <f>(J249-J244)/J244*100</f>
        <v>-2.5428683196036124</v>
      </c>
      <c r="L249" s="2"/>
      <c r="M249" s="43">
        <f t="shared" si="56"/>
        <v>5</v>
      </c>
      <c r="N249" s="44">
        <f t="shared" si="54"/>
        <v>50</v>
      </c>
      <c r="O249" s="48">
        <f>O244+M249*(O254-O244)/10</f>
        <v>22.5</v>
      </c>
      <c r="P249" s="23">
        <v>1.084313081067267</v>
      </c>
      <c r="Q249" s="23">
        <v>0.93851988844534018</v>
      </c>
      <c r="R249" s="46">
        <f>(Q249-Q244)/Q244*100</f>
        <v>-9.3445454365578655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12"/>
    </row>
    <row r="250" spans="1:39" x14ac:dyDescent="0.2">
      <c r="A250" s="2"/>
      <c r="B250" s="2"/>
      <c r="C250" s="2"/>
      <c r="D250" s="2"/>
      <c r="E250" s="2"/>
      <c r="F250" s="43">
        <f t="shared" si="55"/>
        <v>6</v>
      </c>
      <c r="G250" s="44">
        <f t="shared" si="53"/>
        <v>5.7030223390275943</v>
      </c>
      <c r="H250" s="169">
        <f>H244+F250*(H254-H244)/10</f>
        <v>96.527999999999992</v>
      </c>
      <c r="I250" s="23">
        <v>1.1308438158426859</v>
      </c>
      <c r="J250" s="23">
        <v>1.0039798393272412</v>
      </c>
      <c r="K250" s="46">
        <f>(J250-J244)/J244*100</f>
        <v>-3.0240027778876133</v>
      </c>
      <c r="L250" s="2"/>
      <c r="M250" s="43">
        <f t="shared" si="56"/>
        <v>6</v>
      </c>
      <c r="N250" s="44">
        <f t="shared" si="54"/>
        <v>60</v>
      </c>
      <c r="O250" s="48">
        <f>O244+M250*(O254-O244)/10</f>
        <v>24</v>
      </c>
      <c r="P250" s="23">
        <v>1.0766326765636332</v>
      </c>
      <c r="Q250" s="23">
        <v>0.92859878152848718</v>
      </c>
      <c r="R250" s="46">
        <f>(Q250-Q244)/Q244*100</f>
        <v>-10.302865519480859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12"/>
    </row>
    <row r="251" spans="1:39" x14ac:dyDescent="0.2">
      <c r="A251" s="2"/>
      <c r="B251" s="2"/>
      <c r="C251" s="2"/>
      <c r="D251" s="2"/>
      <c r="E251" s="2"/>
      <c r="F251" s="43">
        <f t="shared" si="55"/>
        <v>7</v>
      </c>
      <c r="G251" s="44">
        <f t="shared" si="53"/>
        <v>6.6535260621988694</v>
      </c>
      <c r="H251" s="169">
        <f>H244+F251*(H254-H244)/10</f>
        <v>97.396000000000001</v>
      </c>
      <c r="I251" s="23">
        <v>1.1253332767161992</v>
      </c>
      <c r="J251" s="23">
        <v>0.99908750131441526</v>
      </c>
      <c r="K251" s="46">
        <f>(J251-J244)/J244*100</f>
        <v>-3.496561427929195</v>
      </c>
      <c r="L251" s="2"/>
      <c r="M251" s="43">
        <f t="shared" si="56"/>
        <v>7</v>
      </c>
      <c r="N251" s="44">
        <f t="shared" si="54"/>
        <v>70</v>
      </c>
      <c r="O251" s="48">
        <f>O244+M251*(O254-O244)/10</f>
        <v>25.5</v>
      </c>
      <c r="P251" s="23">
        <v>1.0673941510938052</v>
      </c>
      <c r="Q251" s="23">
        <v>0.91777694511711538</v>
      </c>
      <c r="R251" s="46">
        <f>(Q251-Q244)/Q244*100</f>
        <v>-11.348190729060855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12"/>
    </row>
    <row r="252" spans="1:39" x14ac:dyDescent="0.2">
      <c r="A252" s="2"/>
      <c r="B252" s="2"/>
      <c r="C252" s="2"/>
      <c r="D252" s="2"/>
      <c r="E252" s="2"/>
      <c r="F252" s="43">
        <f t="shared" si="55"/>
        <v>8</v>
      </c>
      <c r="G252" s="44">
        <f t="shared" si="53"/>
        <v>7.6040297853701313</v>
      </c>
      <c r="H252" s="169">
        <f>H244+F252*(H254-H244)/10</f>
        <v>98.263999999999996</v>
      </c>
      <c r="I252" s="23">
        <v>1.1199200905971578</v>
      </c>
      <c r="J252" s="23">
        <v>0.99428159473924949</v>
      </c>
      <c r="K252" s="46">
        <f>(J252-J244)/J244*100</f>
        <v>-3.9607715289958754</v>
      </c>
      <c r="L252" s="2"/>
      <c r="M252" s="43">
        <f t="shared" si="56"/>
        <v>8</v>
      </c>
      <c r="N252" s="44">
        <f t="shared" si="54"/>
        <v>80</v>
      </c>
      <c r="O252" s="48">
        <f>O244+M252*(O254-O244)/10</f>
        <v>27</v>
      </c>
      <c r="P252" s="23">
        <v>1.0616883931562815</v>
      </c>
      <c r="Q252" s="23">
        <v>0.91038121623422452</v>
      </c>
      <c r="R252" s="46">
        <f>(Q252-Q244)/Q244*100</f>
        <v>-12.062574272724563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12"/>
    </row>
    <row r="253" spans="1:39" x14ac:dyDescent="0.2">
      <c r="A253" s="2"/>
      <c r="B253" s="2"/>
      <c r="C253" s="2"/>
      <c r="D253" s="2"/>
      <c r="E253" s="2"/>
      <c r="F253" s="43">
        <f t="shared" si="55"/>
        <v>9</v>
      </c>
      <c r="G253" s="44">
        <f t="shared" si="53"/>
        <v>8.5545335085414074</v>
      </c>
      <c r="H253" s="169">
        <f>H244+F253*(H254-H244)/10</f>
        <v>99.132000000000005</v>
      </c>
      <c r="I253" s="23">
        <v>1.1146017002161497</v>
      </c>
      <c r="J253" s="23">
        <v>0.98955984922019646</v>
      </c>
      <c r="K253" s="46">
        <f>(J253-J244)/J244*100</f>
        <v>-4.4168523808245732</v>
      </c>
      <c r="L253" s="2"/>
      <c r="M253" s="43">
        <f t="shared" si="56"/>
        <v>9</v>
      </c>
      <c r="N253" s="44">
        <f t="shared" si="54"/>
        <v>90</v>
      </c>
      <c r="O253" s="48">
        <f>O244+M253*(O254-O244)/10</f>
        <v>28.5</v>
      </c>
      <c r="P253" s="23">
        <v>1.0546487213585145</v>
      </c>
      <c r="Q253" s="23">
        <v>0.902180290379761</v>
      </c>
      <c r="R253" s="46">
        <f>(Q253-Q244)/Q244*100</f>
        <v>-12.854735067962494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12"/>
    </row>
    <row r="254" spans="1:39" ht="12" thickBot="1" x14ac:dyDescent="0.25">
      <c r="A254" s="2"/>
      <c r="B254" s="2"/>
      <c r="C254" s="2"/>
      <c r="D254" s="2"/>
      <c r="E254" s="2"/>
      <c r="F254" s="49">
        <f t="shared" si="55"/>
        <v>10</v>
      </c>
      <c r="G254" s="133">
        <f t="shared" si="53"/>
        <v>9.5050372317126666</v>
      </c>
      <c r="H254" s="170">
        <v>100</v>
      </c>
      <c r="I254" s="158">
        <v>1.109375637092155</v>
      </c>
      <c r="J254" s="158">
        <v>0.9849200732033534</v>
      </c>
      <c r="K254" s="52">
        <f>(J254-J244)/J244*100</f>
        <v>-4.8650156690656026</v>
      </c>
      <c r="L254" s="2"/>
      <c r="M254" s="49">
        <f t="shared" si="56"/>
        <v>10</v>
      </c>
      <c r="N254" s="133">
        <f t="shared" si="54"/>
        <v>100</v>
      </c>
      <c r="O254" s="53">
        <v>30</v>
      </c>
      <c r="P254" s="158">
        <v>1.0502339092346973</v>
      </c>
      <c r="Q254" s="158">
        <v>0.89652146064173677</v>
      </c>
      <c r="R254" s="52">
        <f>(Q254-Q244)/Q244*100</f>
        <v>-13.401344456334119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12"/>
    </row>
    <row r="255" spans="1:39" x14ac:dyDescent="0.2">
      <c r="A255" s="2"/>
      <c r="B255" s="2"/>
      <c r="C255" s="2"/>
      <c r="D255" s="2"/>
      <c r="E255" s="2"/>
      <c r="F255" s="159"/>
      <c r="G255" s="164"/>
      <c r="H255" s="164"/>
      <c r="I255" s="165"/>
      <c r="J255" s="166"/>
      <c r="K255" s="16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12"/>
    </row>
    <row r="256" spans="1:39" x14ac:dyDescent="0.2">
      <c r="A256" s="2"/>
      <c r="B256" s="2"/>
      <c r="C256" s="2"/>
      <c r="D256" s="2"/>
      <c r="E256" s="2"/>
      <c r="F256" s="159"/>
      <c r="G256" s="164"/>
      <c r="H256" s="164"/>
      <c r="I256" s="165"/>
      <c r="J256" s="166"/>
      <c r="K256" s="16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12"/>
    </row>
    <row r="257" spans="1:39" x14ac:dyDescent="0.2">
      <c r="A257" s="2"/>
      <c r="B257" s="2"/>
      <c r="C257" s="2"/>
      <c r="D257" s="2"/>
      <c r="E257" s="2"/>
      <c r="F257" s="159"/>
      <c r="G257" s="164"/>
      <c r="H257" s="164"/>
      <c r="I257" s="165"/>
      <c r="J257" s="166"/>
      <c r="K257" s="16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12"/>
    </row>
    <row r="258" spans="1:39" x14ac:dyDescent="0.2">
      <c r="A258" s="2"/>
      <c r="B258" s="2"/>
      <c r="C258" s="2"/>
      <c r="D258" s="2"/>
      <c r="E258" s="2"/>
      <c r="F258" s="11"/>
      <c r="G258" s="11"/>
      <c r="H258" s="11"/>
      <c r="I258" s="11"/>
      <c r="J258" s="11"/>
      <c r="K258" s="1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12"/>
    </row>
    <row r="259" spans="1:39" x14ac:dyDescent="0.2">
      <c r="A259" s="2"/>
      <c r="B259" s="2"/>
      <c r="C259" s="2"/>
      <c r="D259" s="2"/>
      <c r="E259" s="2"/>
      <c r="F259" s="11"/>
      <c r="G259" s="11"/>
      <c r="H259" s="11"/>
      <c r="I259" s="11"/>
      <c r="J259" s="11"/>
      <c r="K259" s="1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12"/>
    </row>
    <row r="260" spans="1:39" x14ac:dyDescent="0.2">
      <c r="A260" s="2"/>
      <c r="B260" s="2"/>
      <c r="C260" s="2"/>
      <c r="D260" s="2"/>
      <c r="E260" s="2"/>
      <c r="F260" s="180"/>
      <c r="G260" s="180"/>
      <c r="H260" s="180"/>
      <c r="I260" s="180"/>
      <c r="J260" s="180"/>
      <c r="K260" s="18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12"/>
    </row>
    <row r="261" spans="1:39" x14ac:dyDescent="0.2">
      <c r="A261" s="2"/>
      <c r="B261" s="2"/>
      <c r="C261" s="2"/>
      <c r="D261" s="2"/>
      <c r="E261" s="2"/>
      <c r="F261" s="181"/>
      <c r="G261" s="181"/>
      <c r="H261" s="182"/>
      <c r="I261" s="182"/>
      <c r="J261" s="183"/>
      <c r="K261" s="18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12"/>
    </row>
    <row r="262" spans="1:39" x14ac:dyDescent="0.2">
      <c r="A262" s="2"/>
      <c r="B262" s="2"/>
      <c r="C262" s="2"/>
      <c r="D262" s="2"/>
      <c r="E262" s="2"/>
      <c r="F262" s="160"/>
      <c r="G262" s="160"/>
      <c r="H262" s="160"/>
      <c r="I262" s="160"/>
      <c r="J262" s="160"/>
      <c r="K262" s="160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12"/>
    </row>
    <row r="263" spans="1:39" x14ac:dyDescent="0.2">
      <c r="A263" s="2"/>
      <c r="B263" s="2"/>
      <c r="C263" s="2"/>
      <c r="D263" s="2"/>
      <c r="E263" s="2"/>
      <c r="F263" s="160"/>
      <c r="G263" s="160"/>
      <c r="H263" s="160"/>
      <c r="I263" s="160"/>
      <c r="J263" s="160"/>
      <c r="K263" s="159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12"/>
    </row>
    <row r="264" spans="1:39" x14ac:dyDescent="0.2">
      <c r="A264" s="2"/>
      <c r="B264" s="2"/>
      <c r="C264" s="2"/>
      <c r="D264" s="2"/>
      <c r="E264" s="2"/>
      <c r="F264" s="161"/>
      <c r="G264" s="160"/>
      <c r="H264" s="160"/>
      <c r="I264" s="162"/>
      <c r="J264" s="163"/>
      <c r="K264" s="159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12"/>
    </row>
    <row r="265" spans="1:39" x14ac:dyDescent="0.2">
      <c r="A265" s="2"/>
      <c r="B265" s="2"/>
      <c r="C265" s="2"/>
      <c r="D265" s="2"/>
      <c r="E265" s="2"/>
      <c r="F265" s="159"/>
      <c r="G265" s="164"/>
      <c r="H265" s="164"/>
      <c r="I265" s="165"/>
      <c r="J265" s="166"/>
      <c r="K265" s="16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12"/>
    </row>
    <row r="266" spans="1:39" x14ac:dyDescent="0.2">
      <c r="A266" s="2"/>
      <c r="B266" s="2"/>
      <c r="C266" s="2"/>
      <c r="D266" s="2"/>
      <c r="E266" s="2"/>
      <c r="F266" s="159"/>
      <c r="G266" s="164"/>
      <c r="H266" s="164"/>
      <c r="I266" s="165"/>
      <c r="J266" s="166"/>
      <c r="K266" s="16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12"/>
    </row>
    <row r="267" spans="1:39" x14ac:dyDescent="0.2">
      <c r="A267" s="2"/>
      <c r="B267" s="2"/>
      <c r="C267" s="2"/>
      <c r="D267" s="2"/>
      <c r="E267" s="2"/>
      <c r="F267" s="159"/>
      <c r="G267" s="164"/>
      <c r="H267" s="164"/>
      <c r="I267" s="165"/>
      <c r="J267" s="166"/>
      <c r="K267" s="16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12"/>
    </row>
    <row r="268" spans="1:39" x14ac:dyDescent="0.2">
      <c r="A268" s="2"/>
      <c r="B268" s="2"/>
      <c r="C268" s="2"/>
      <c r="D268" s="2"/>
      <c r="E268" s="2"/>
      <c r="F268" s="159"/>
      <c r="G268" s="164"/>
      <c r="H268" s="164"/>
      <c r="I268" s="165"/>
      <c r="J268" s="166"/>
      <c r="K268" s="16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12"/>
    </row>
    <row r="269" spans="1:39" x14ac:dyDescent="0.2">
      <c r="A269" s="2"/>
      <c r="B269" s="2"/>
      <c r="C269" s="2"/>
      <c r="D269" s="2"/>
      <c r="E269" s="2"/>
      <c r="F269" s="159"/>
      <c r="G269" s="164"/>
      <c r="H269" s="164"/>
      <c r="I269" s="165"/>
      <c r="J269" s="166"/>
      <c r="K269" s="16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12"/>
    </row>
    <row r="270" spans="1:39" x14ac:dyDescent="0.2">
      <c r="A270" s="2"/>
      <c r="B270" s="2"/>
      <c r="C270" s="2"/>
      <c r="D270" s="2"/>
      <c r="E270" s="2"/>
      <c r="F270" s="159"/>
      <c r="G270" s="164"/>
      <c r="H270" s="164"/>
      <c r="I270" s="165"/>
      <c r="J270" s="166"/>
      <c r="K270" s="16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12"/>
    </row>
    <row r="271" spans="1:39" x14ac:dyDescent="0.2">
      <c r="A271" s="2"/>
      <c r="B271" s="2"/>
      <c r="C271" s="2"/>
      <c r="D271" s="2"/>
      <c r="E271" s="2"/>
      <c r="F271" s="159"/>
      <c r="G271" s="164"/>
      <c r="H271" s="164"/>
      <c r="I271" s="165"/>
      <c r="J271" s="166"/>
      <c r="K271" s="16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12"/>
    </row>
    <row r="272" spans="1:39" x14ac:dyDescent="0.2">
      <c r="A272" s="2"/>
      <c r="B272" s="2"/>
      <c r="C272" s="2"/>
      <c r="D272" s="2"/>
      <c r="E272" s="2"/>
      <c r="F272" s="159"/>
      <c r="G272" s="164"/>
      <c r="H272" s="164"/>
      <c r="I272" s="165"/>
      <c r="J272" s="166"/>
      <c r="K272" s="16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12"/>
    </row>
    <row r="273" spans="1:39" x14ac:dyDescent="0.2">
      <c r="A273" s="2"/>
      <c r="B273" s="2"/>
      <c r="C273" s="2"/>
      <c r="D273" s="2"/>
      <c r="E273" s="2"/>
      <c r="F273" s="159"/>
      <c r="G273" s="164"/>
      <c r="H273" s="164"/>
      <c r="I273" s="165"/>
      <c r="J273" s="166"/>
      <c r="K273" s="16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12"/>
    </row>
    <row r="274" spans="1:39" x14ac:dyDescent="0.2">
      <c r="A274" s="2"/>
      <c r="B274" s="2"/>
      <c r="C274" s="2"/>
      <c r="D274" s="2"/>
      <c r="E274" s="2"/>
      <c r="F274" s="159"/>
      <c r="G274" s="164"/>
      <c r="H274" s="164"/>
      <c r="I274" s="165"/>
      <c r="J274" s="166"/>
      <c r="K274" s="16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12"/>
    </row>
    <row r="275" spans="1:39" x14ac:dyDescent="0.2">
      <c r="A275" s="2"/>
      <c r="B275" s="2"/>
      <c r="C275" s="2"/>
      <c r="D275" s="2"/>
      <c r="E275" s="2"/>
      <c r="F275" s="159"/>
      <c r="G275" s="164"/>
      <c r="H275" s="164"/>
      <c r="I275" s="165"/>
      <c r="J275" s="166"/>
      <c r="K275" s="16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12"/>
    </row>
    <row r="276" spans="1:39" x14ac:dyDescent="0.2">
      <c r="A276" s="2"/>
      <c r="B276" s="2"/>
      <c r="C276" s="2"/>
      <c r="D276" s="2"/>
      <c r="E276" s="2"/>
      <c r="F276" s="159"/>
      <c r="G276" s="164"/>
      <c r="H276" s="164"/>
      <c r="I276" s="165"/>
      <c r="J276" s="166"/>
      <c r="K276" s="16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12"/>
    </row>
    <row r="277" spans="1:39" x14ac:dyDescent="0.2">
      <c r="A277" s="2"/>
      <c r="B277" s="2"/>
      <c r="C277" s="2"/>
      <c r="D277" s="2"/>
      <c r="E277" s="2"/>
      <c r="F277" s="159"/>
      <c r="G277" s="164"/>
      <c r="H277" s="164"/>
      <c r="I277" s="165"/>
      <c r="J277" s="166"/>
      <c r="K277" s="16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12"/>
    </row>
    <row r="278" spans="1:39" x14ac:dyDescent="0.2">
      <c r="A278" s="2"/>
      <c r="B278" s="2"/>
      <c r="C278" s="2"/>
      <c r="D278" s="2"/>
      <c r="E278" s="2"/>
      <c r="F278" s="159"/>
      <c r="G278" s="164"/>
      <c r="H278" s="164"/>
      <c r="I278" s="165"/>
      <c r="J278" s="166"/>
      <c r="K278" s="16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12"/>
    </row>
    <row r="279" spans="1:39" x14ac:dyDescent="0.2">
      <c r="A279" s="2"/>
      <c r="B279" s="2"/>
      <c r="C279" s="2"/>
      <c r="D279" s="2"/>
      <c r="E279" s="2"/>
      <c r="F279" s="159"/>
      <c r="G279" s="164"/>
      <c r="H279" s="164"/>
      <c r="I279" s="165"/>
      <c r="J279" s="166"/>
      <c r="K279" s="16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12"/>
    </row>
    <row r="280" spans="1:39" x14ac:dyDescent="0.2">
      <c r="A280" s="2"/>
      <c r="B280" s="2"/>
      <c r="C280" s="2"/>
      <c r="D280" s="2"/>
      <c r="E280" s="2"/>
      <c r="F280" s="159"/>
      <c r="G280" s="164"/>
      <c r="H280" s="164"/>
      <c r="I280" s="165"/>
      <c r="J280" s="166"/>
      <c r="K280" s="16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12"/>
    </row>
    <row r="281" spans="1:39" x14ac:dyDescent="0.2">
      <c r="A281" s="2"/>
      <c r="B281" s="2"/>
      <c r="C281" s="2"/>
      <c r="D281" s="2"/>
      <c r="E281" s="2"/>
      <c r="F281" s="159"/>
      <c r="G281" s="164"/>
      <c r="H281" s="164"/>
      <c r="I281" s="165"/>
      <c r="J281" s="166"/>
      <c r="K281" s="16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12"/>
    </row>
    <row r="282" spans="1:39" x14ac:dyDescent="0.2">
      <c r="A282" s="2"/>
      <c r="B282" s="2"/>
      <c r="C282" s="2"/>
      <c r="D282" s="2"/>
      <c r="E282" s="2"/>
      <c r="F282" s="159"/>
      <c r="G282" s="164"/>
      <c r="H282" s="164"/>
      <c r="I282" s="165"/>
      <c r="J282" s="166"/>
      <c r="K282" s="16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12"/>
    </row>
    <row r="283" spans="1:39" x14ac:dyDescent="0.2">
      <c r="A283" s="2"/>
      <c r="B283" s="2"/>
      <c r="C283" s="2"/>
      <c r="D283" s="2"/>
      <c r="E283" s="2"/>
      <c r="F283" s="159"/>
      <c r="G283" s="164"/>
      <c r="H283" s="164"/>
      <c r="I283" s="165"/>
      <c r="J283" s="166"/>
      <c r="K283" s="16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12"/>
    </row>
    <row r="284" spans="1:39" x14ac:dyDescent="0.2">
      <c r="A284" s="2"/>
      <c r="B284" s="2"/>
      <c r="C284" s="2"/>
      <c r="D284" s="2"/>
      <c r="E284" s="2"/>
      <c r="F284" s="159"/>
      <c r="G284" s="164"/>
      <c r="H284" s="164"/>
      <c r="I284" s="165"/>
      <c r="J284" s="166"/>
      <c r="K284" s="16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12"/>
    </row>
    <row r="285" spans="1:39" x14ac:dyDescent="0.2">
      <c r="A285" s="2"/>
      <c r="B285" s="2"/>
      <c r="C285" s="2"/>
      <c r="D285" s="2"/>
      <c r="E285" s="2"/>
      <c r="F285" s="159"/>
      <c r="G285" s="164"/>
      <c r="H285" s="164"/>
      <c r="I285" s="165"/>
      <c r="J285" s="166"/>
      <c r="K285" s="16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12"/>
    </row>
    <row r="286" spans="1:39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12"/>
    </row>
    <row r="287" spans="1:39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12"/>
    </row>
    <row r="288" spans="1:39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12"/>
    </row>
    <row r="289" spans="1:39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12"/>
    </row>
    <row r="290" spans="1:39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12"/>
    </row>
    <row r="291" spans="1:39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12"/>
    </row>
    <row r="292" spans="1:39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12"/>
    </row>
    <row r="293" spans="1:39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12"/>
    </row>
    <row r="294" spans="1:39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12"/>
    </row>
    <row r="295" spans="1:39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12"/>
    </row>
    <row r="296" spans="1:39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12"/>
    </row>
    <row r="297" spans="1:39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12"/>
    </row>
    <row r="298" spans="1:39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12"/>
    </row>
    <row r="299" spans="1:39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12"/>
    </row>
    <row r="300" spans="1:39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12"/>
    </row>
    <row r="301" spans="1:39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12"/>
    </row>
    <row r="302" spans="1:39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12"/>
    </row>
    <row r="303" spans="1:39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12"/>
    </row>
    <row r="304" spans="1:39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12"/>
    </row>
    <row r="305" spans="1:39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12"/>
    </row>
    <row r="306" spans="1:39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12"/>
    </row>
    <row r="307" spans="1:39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12"/>
    </row>
    <row r="308" spans="1:39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12"/>
    </row>
    <row r="309" spans="1:39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12"/>
    </row>
    <row r="310" spans="1:39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12"/>
    </row>
    <row r="311" spans="1:39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12"/>
    </row>
    <row r="312" spans="1:39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12"/>
    </row>
    <row r="313" spans="1:39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12"/>
    </row>
    <row r="314" spans="1:39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12"/>
    </row>
    <row r="315" spans="1:39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12"/>
    </row>
    <row r="316" spans="1:39" x14ac:dyDescent="0.2">
      <c r="A316" s="2"/>
      <c r="B316" s="2"/>
      <c r="C316" s="2"/>
      <c r="D316" s="2"/>
      <c r="E316" s="2"/>
      <c r="F316" s="180"/>
      <c r="G316" s="180"/>
      <c r="H316" s="180"/>
      <c r="I316" s="180"/>
      <c r="J316" s="180"/>
      <c r="K316" s="180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12"/>
    </row>
    <row r="317" spans="1:39" x14ac:dyDescent="0.2">
      <c r="A317" s="2"/>
      <c r="B317" s="2"/>
      <c r="C317" s="2"/>
      <c r="D317" s="2"/>
      <c r="E317" s="2"/>
      <c r="F317" s="181"/>
      <c r="G317" s="181"/>
      <c r="H317" s="182"/>
      <c r="I317" s="182"/>
      <c r="J317" s="183"/>
      <c r="K317" s="18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12"/>
    </row>
    <row r="318" spans="1:39" x14ac:dyDescent="0.2">
      <c r="A318" s="2"/>
      <c r="B318" s="2"/>
      <c r="C318" s="2"/>
      <c r="D318" s="2"/>
      <c r="E318" s="2"/>
      <c r="F318" s="160"/>
      <c r="G318" s="160"/>
      <c r="H318" s="160"/>
      <c r="I318" s="160"/>
      <c r="J318" s="160"/>
      <c r="K318" s="160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12"/>
    </row>
    <row r="319" spans="1:39" ht="22.5" customHeight="1" x14ac:dyDescent="0.2">
      <c r="A319" s="2"/>
      <c r="B319" s="2"/>
      <c r="C319" s="2"/>
      <c r="D319" s="2"/>
      <c r="E319" s="2"/>
      <c r="F319" s="160"/>
      <c r="G319" s="160"/>
      <c r="H319" s="160"/>
      <c r="I319" s="160"/>
      <c r="J319" s="160"/>
      <c r="K319" s="159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12"/>
    </row>
    <row r="320" spans="1:39" x14ac:dyDescent="0.2">
      <c r="A320" s="2"/>
      <c r="B320" s="2"/>
      <c r="C320" s="2"/>
      <c r="D320" s="2"/>
      <c r="E320" s="2"/>
      <c r="F320" s="161"/>
      <c r="G320" s="160"/>
      <c r="H320" s="160"/>
      <c r="I320" s="162"/>
      <c r="J320" s="163"/>
      <c r="K320" s="159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12"/>
    </row>
    <row r="321" spans="1:39" x14ac:dyDescent="0.2">
      <c r="A321" s="2"/>
      <c r="B321" s="2"/>
      <c r="C321" s="2"/>
      <c r="D321" s="2"/>
      <c r="E321" s="2"/>
      <c r="F321" s="159"/>
      <c r="G321" s="164"/>
      <c r="H321" s="164"/>
      <c r="I321" s="165"/>
      <c r="J321" s="166"/>
      <c r="K321" s="16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12"/>
    </row>
    <row r="322" spans="1:39" x14ac:dyDescent="0.2">
      <c r="A322" s="2"/>
      <c r="B322" s="2"/>
      <c r="C322" s="2"/>
      <c r="D322" s="2"/>
      <c r="E322" s="2"/>
      <c r="F322" s="159"/>
      <c r="G322" s="164"/>
      <c r="H322" s="164"/>
      <c r="I322" s="165"/>
      <c r="J322" s="166"/>
      <c r="K322" s="164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12"/>
    </row>
    <row r="323" spans="1:39" x14ac:dyDescent="0.2">
      <c r="A323" s="2"/>
      <c r="B323" s="2"/>
      <c r="C323" s="2"/>
      <c r="D323" s="2"/>
      <c r="E323" s="2"/>
      <c r="F323" s="159"/>
      <c r="G323" s="164"/>
      <c r="H323" s="164"/>
      <c r="I323" s="165"/>
      <c r="J323" s="166"/>
      <c r="K323" s="164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12"/>
    </row>
    <row r="324" spans="1:39" x14ac:dyDescent="0.2">
      <c r="A324" s="2"/>
      <c r="B324" s="2"/>
      <c r="C324" s="2"/>
      <c r="D324" s="2"/>
      <c r="E324" s="2"/>
      <c r="F324" s="159"/>
      <c r="G324" s="164"/>
      <c r="H324" s="164"/>
      <c r="I324" s="165"/>
      <c r="J324" s="166"/>
      <c r="K324" s="16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12"/>
    </row>
    <row r="325" spans="1:39" x14ac:dyDescent="0.2">
      <c r="A325" s="2"/>
      <c r="B325" s="2"/>
      <c r="C325" s="2"/>
      <c r="D325" s="2"/>
      <c r="E325" s="2"/>
      <c r="F325" s="159"/>
      <c r="G325" s="164"/>
      <c r="H325" s="164"/>
      <c r="I325" s="165"/>
      <c r="J325" s="166"/>
      <c r="K325" s="16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12"/>
    </row>
    <row r="326" spans="1:39" x14ac:dyDescent="0.2">
      <c r="A326" s="2"/>
      <c r="B326" s="2"/>
      <c r="C326" s="2"/>
      <c r="D326" s="2"/>
      <c r="E326" s="2"/>
      <c r="F326" s="159"/>
      <c r="G326" s="164"/>
      <c r="H326" s="164"/>
      <c r="I326" s="165"/>
      <c r="J326" s="166"/>
      <c r="K326" s="16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12"/>
    </row>
    <row r="327" spans="1:39" x14ac:dyDescent="0.2">
      <c r="A327" s="2"/>
      <c r="B327" s="2"/>
      <c r="C327" s="2"/>
      <c r="D327" s="2"/>
      <c r="E327" s="2"/>
      <c r="F327" s="159"/>
      <c r="G327" s="164"/>
      <c r="H327" s="164"/>
      <c r="I327" s="165"/>
      <c r="J327" s="166"/>
      <c r="K327" s="16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12"/>
    </row>
    <row r="328" spans="1:39" x14ac:dyDescent="0.2">
      <c r="A328" s="2"/>
      <c r="B328" s="2"/>
      <c r="C328" s="2"/>
      <c r="D328" s="2"/>
      <c r="E328" s="2"/>
      <c r="F328" s="159"/>
      <c r="G328" s="164"/>
      <c r="H328" s="164"/>
      <c r="I328" s="165"/>
      <c r="J328" s="166"/>
      <c r="K328" s="16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12"/>
    </row>
    <row r="329" spans="1:39" x14ac:dyDescent="0.2">
      <c r="A329" s="2"/>
      <c r="B329" s="2"/>
      <c r="C329" s="2"/>
      <c r="D329" s="2"/>
      <c r="E329" s="2"/>
      <c r="F329" s="159"/>
      <c r="G329" s="164"/>
      <c r="H329" s="164"/>
      <c r="I329" s="165"/>
      <c r="J329" s="166"/>
      <c r="K329" s="16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12"/>
    </row>
    <row r="330" spans="1:39" x14ac:dyDescent="0.2">
      <c r="A330" s="2"/>
      <c r="B330" s="2"/>
      <c r="C330" s="2"/>
      <c r="D330" s="2"/>
      <c r="E330" s="2"/>
      <c r="F330" s="159"/>
      <c r="G330" s="164"/>
      <c r="H330" s="164"/>
      <c r="I330" s="165"/>
      <c r="J330" s="166"/>
      <c r="K330" s="164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12"/>
    </row>
    <row r="331" spans="1:39" x14ac:dyDescent="0.2">
      <c r="A331" s="2"/>
      <c r="B331" s="2"/>
      <c r="C331" s="2"/>
      <c r="D331" s="2"/>
      <c r="E331" s="2"/>
      <c r="F331" s="159"/>
      <c r="G331" s="164"/>
      <c r="H331" s="164"/>
      <c r="I331" s="165"/>
      <c r="J331" s="166"/>
      <c r="K331" s="164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12"/>
    </row>
    <row r="332" spans="1:39" x14ac:dyDescent="0.2">
      <c r="A332" s="2"/>
      <c r="B332" s="2"/>
      <c r="C332" s="2"/>
      <c r="D332" s="2"/>
      <c r="E332" s="2"/>
      <c r="F332" s="159"/>
      <c r="G332" s="164"/>
      <c r="H332" s="164"/>
      <c r="I332" s="165"/>
      <c r="J332" s="166"/>
      <c r="K332" s="164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12"/>
    </row>
    <row r="333" spans="1:39" x14ac:dyDescent="0.2">
      <c r="A333" s="2"/>
      <c r="B333" s="2"/>
      <c r="C333" s="2"/>
      <c r="D333" s="2"/>
      <c r="E333" s="2"/>
      <c r="F333" s="159"/>
      <c r="G333" s="164"/>
      <c r="H333" s="164"/>
      <c r="I333" s="165"/>
      <c r="J333" s="166"/>
      <c r="K333" s="16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12"/>
    </row>
    <row r="334" spans="1:39" x14ac:dyDescent="0.2">
      <c r="A334" s="2"/>
      <c r="B334" s="2"/>
      <c r="C334" s="2"/>
      <c r="D334" s="2"/>
      <c r="E334" s="2"/>
      <c r="F334" s="159"/>
      <c r="G334" s="164"/>
      <c r="H334" s="164"/>
      <c r="I334" s="165"/>
      <c r="J334" s="166"/>
      <c r="K334" s="16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12"/>
    </row>
    <row r="335" spans="1:39" x14ac:dyDescent="0.2">
      <c r="A335" s="2"/>
      <c r="B335" s="2"/>
      <c r="C335" s="2"/>
      <c r="D335" s="2"/>
      <c r="E335" s="2"/>
      <c r="F335" s="159"/>
      <c r="G335" s="164"/>
      <c r="H335" s="164"/>
      <c r="I335" s="165"/>
      <c r="J335" s="166"/>
      <c r="K335" s="16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12"/>
    </row>
    <row r="336" spans="1:39" x14ac:dyDescent="0.2">
      <c r="A336" s="2"/>
      <c r="B336" s="2"/>
      <c r="C336" s="2"/>
      <c r="D336" s="2"/>
      <c r="E336" s="2"/>
      <c r="F336" s="159"/>
      <c r="G336" s="164"/>
      <c r="H336" s="164"/>
      <c r="I336" s="165"/>
      <c r="J336" s="166"/>
      <c r="K336" s="164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12"/>
    </row>
    <row r="337" spans="1:39" x14ac:dyDescent="0.2">
      <c r="A337" s="2"/>
      <c r="B337" s="2"/>
      <c r="C337" s="2"/>
      <c r="D337" s="2"/>
      <c r="E337" s="2"/>
      <c r="F337" s="159"/>
      <c r="G337" s="164"/>
      <c r="H337" s="164"/>
      <c r="I337" s="165"/>
      <c r="J337" s="166"/>
      <c r="K337" s="16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12"/>
    </row>
    <row r="338" spans="1:39" x14ac:dyDescent="0.2">
      <c r="A338" s="2"/>
      <c r="B338" s="2"/>
      <c r="C338" s="2"/>
      <c r="D338" s="2"/>
      <c r="E338" s="2"/>
      <c r="F338" s="159"/>
      <c r="G338" s="164"/>
      <c r="H338" s="164"/>
      <c r="I338" s="165"/>
      <c r="J338" s="166"/>
      <c r="K338" s="16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12"/>
    </row>
    <row r="339" spans="1:39" x14ac:dyDescent="0.2">
      <c r="A339" s="2"/>
      <c r="B339" s="2"/>
      <c r="C339" s="2"/>
      <c r="D339" s="2"/>
      <c r="E339" s="2"/>
      <c r="F339" s="159"/>
      <c r="G339" s="164"/>
      <c r="H339" s="164"/>
      <c r="I339" s="165"/>
      <c r="J339" s="166"/>
      <c r="K339" s="16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12"/>
    </row>
    <row r="340" spans="1:39" x14ac:dyDescent="0.2">
      <c r="A340" s="2"/>
      <c r="B340" s="2"/>
      <c r="C340" s="2"/>
      <c r="D340" s="2"/>
      <c r="E340" s="2"/>
      <c r="F340" s="159"/>
      <c r="G340" s="164"/>
      <c r="H340" s="164"/>
      <c r="I340" s="165"/>
      <c r="J340" s="166"/>
      <c r="K340" s="16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12"/>
    </row>
    <row r="341" spans="1:39" x14ac:dyDescent="0.2">
      <c r="A341" s="2"/>
      <c r="B341" s="2"/>
      <c r="C341" s="2"/>
      <c r="D341" s="2"/>
      <c r="E341" s="2"/>
      <c r="F341" s="159"/>
      <c r="G341" s="164"/>
      <c r="H341" s="164"/>
      <c r="I341" s="165"/>
      <c r="J341" s="166"/>
      <c r="K341" s="16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12"/>
    </row>
    <row r="342" spans="1:39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12"/>
    </row>
    <row r="343" spans="1:39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12"/>
    </row>
    <row r="344" spans="1:39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12"/>
    </row>
  </sheetData>
  <sheetProtection selectLockedCells="1" selectUnlockedCells="1"/>
  <mergeCells count="58">
    <mergeCell ref="M147:R147"/>
    <mergeCell ref="E97:I97"/>
    <mergeCell ref="D98:E98"/>
    <mergeCell ref="F147:K147"/>
    <mergeCell ref="G65:I65"/>
    <mergeCell ref="G4:H4"/>
    <mergeCell ref="G5:H5"/>
    <mergeCell ref="G6:H6"/>
    <mergeCell ref="G16:H16"/>
    <mergeCell ref="F146:R146"/>
    <mergeCell ref="B100:B103"/>
    <mergeCell ref="F229:K229"/>
    <mergeCell ref="F230:G230"/>
    <mergeCell ref="H230:I230"/>
    <mergeCell ref="J230:K230"/>
    <mergeCell ref="F148:G148"/>
    <mergeCell ref="H148:I148"/>
    <mergeCell ref="J148:K148"/>
    <mergeCell ref="F175:K175"/>
    <mergeCell ref="H176:I176"/>
    <mergeCell ref="F176:G176"/>
    <mergeCell ref="J176:K176"/>
    <mergeCell ref="H203:I203"/>
    <mergeCell ref="J203:K203"/>
    <mergeCell ref="G72:I72"/>
    <mergeCell ref="G73:I73"/>
    <mergeCell ref="B96:D96"/>
    <mergeCell ref="B97:D97"/>
    <mergeCell ref="E96:I96"/>
    <mergeCell ref="B94:D94"/>
    <mergeCell ref="B95:D95"/>
    <mergeCell ref="E95:H95"/>
    <mergeCell ref="E94:G94"/>
    <mergeCell ref="M175:R175"/>
    <mergeCell ref="M148:N148"/>
    <mergeCell ref="O148:P148"/>
    <mergeCell ref="Q148:R148"/>
    <mergeCell ref="F317:G317"/>
    <mergeCell ref="H317:I317"/>
    <mergeCell ref="J317:K317"/>
    <mergeCell ref="J261:K261"/>
    <mergeCell ref="F261:G261"/>
    <mergeCell ref="H261:I261"/>
    <mergeCell ref="F260:K260"/>
    <mergeCell ref="F316:K316"/>
    <mergeCell ref="M202:R202"/>
    <mergeCell ref="M203:N203"/>
    <mergeCell ref="O203:P203"/>
    <mergeCell ref="Q203:R203"/>
    <mergeCell ref="F202:K202"/>
    <mergeCell ref="F203:G203"/>
    <mergeCell ref="M229:R229"/>
    <mergeCell ref="M230:N230"/>
    <mergeCell ref="O230:P230"/>
    <mergeCell ref="Q230:R230"/>
    <mergeCell ref="M176:N176"/>
    <mergeCell ref="O176:P176"/>
    <mergeCell ref="Q176:R176"/>
  </mergeCells>
  <phoneticPr fontId="0" type="noConversion"/>
  <conditionalFormatting sqref="G135:AJ135">
    <cfRule type="cellIs" dxfId="3" priority="1" stopIfTrue="1" operator="lessThan">
      <formula>0</formula>
    </cfRule>
  </conditionalFormatting>
  <conditionalFormatting sqref="F116:F134">
    <cfRule type="cellIs" dxfId="2" priority="2" stopIfTrue="1" operator="equal">
      <formula>0</formula>
    </cfRule>
  </conditionalFormatting>
  <conditionalFormatting sqref="G112:AJ112 G116:G134 H113:AJ134">
    <cfRule type="cellIs" dxfId="1" priority="3" stopIfTrue="1" operator="equal">
      <formula>0</formula>
    </cfRule>
    <cfRule type="cellIs" dxfId="0" priority="4" stopIfTrue="1" operator="lessThan">
      <formula>0</formula>
    </cfRule>
  </conditionalFormatting>
  <printOptions horizontalCentered="1" verticalCentered="1"/>
  <pageMargins left="0.5" right="0.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95</vt:i4>
      </vt:variant>
    </vt:vector>
  </HeadingPairs>
  <TitlesOfParts>
    <vt:vector size="98" baseType="lpstr">
      <vt:lpstr>1_LCOE</vt:lpstr>
      <vt:lpstr>2_SensitivityDiagram_Cost</vt:lpstr>
      <vt:lpstr>3_SensitivityDiagram_Relative</vt:lpstr>
      <vt:lpstr>AmountOfCapitalFinancing</vt:lpstr>
      <vt:lpstr>AnnualDebtRepayment</vt:lpstr>
      <vt:lpstr>AnnualDebtReserveInterest</vt:lpstr>
      <vt:lpstr>AnnualEquityRepayment</vt:lpstr>
      <vt:lpstr>AnnualFeedstockCost</vt:lpstr>
      <vt:lpstr>AnnualFeedstockEnergyInput</vt:lpstr>
      <vt:lpstr>AnnualFeedstockSupply</vt:lpstr>
      <vt:lpstr>AnnualHours</vt:lpstr>
      <vt:lpstr>AnnualHydrogenEnergy</vt:lpstr>
      <vt:lpstr>AnnualHydrogenProductionKg</vt:lpstr>
      <vt:lpstr>AnnualHydrogenProductionMg</vt:lpstr>
      <vt:lpstr>AnnualTotalCapitalRecovery</vt:lpstr>
      <vt:lpstr>Capacity</vt:lpstr>
      <vt:lpstr>CapacityFactor</vt:lpstr>
      <vt:lpstr>CapitalCost</vt:lpstr>
      <vt:lpstr>CapitalCostUnitDaily</vt:lpstr>
      <vt:lpstr>CapitalCostUnitYear</vt:lpstr>
      <vt:lpstr>CapitalRecoveryFactorDebt</vt:lpstr>
      <vt:lpstr>CapitalRecoveryFactorEquity</vt:lpstr>
      <vt:lpstr>CapitalRecoveryFactorEquityConstant</vt:lpstr>
      <vt:lpstr>CombinedTaxRate</vt:lpstr>
      <vt:lpstr>DebtInterest</vt:lpstr>
      <vt:lpstr>DebtPrincipalPaid</vt:lpstr>
      <vt:lpstr>DebtPrincipalRemaining</vt:lpstr>
      <vt:lpstr>DebtRatio</vt:lpstr>
      <vt:lpstr>DebtRecovery</vt:lpstr>
      <vt:lpstr>DebtReserve</vt:lpstr>
      <vt:lpstr>DebtReserve1</vt:lpstr>
      <vt:lpstr>Depreciation</vt:lpstr>
      <vt:lpstr>DesignHydrogenProductionRateMg</vt:lpstr>
      <vt:lpstr>DesignHydrogenProductionRateMW</vt:lpstr>
      <vt:lpstr>EconomicLife</vt:lpstr>
      <vt:lpstr>ElectricalEnergy</vt:lpstr>
      <vt:lpstr>EnergyRevenueRequired</vt:lpstr>
      <vt:lpstr>EquityInterest</vt:lpstr>
      <vt:lpstr>EquityPrincipalPaid</vt:lpstr>
      <vt:lpstr>EquityPrincipalRemaining</vt:lpstr>
      <vt:lpstr>EquityRatio</vt:lpstr>
      <vt:lpstr>EquityRecovery</vt:lpstr>
      <vt:lpstr>EscalationCapacityPayment</vt:lpstr>
      <vt:lpstr>EscalationElectricalEnergy</vt:lpstr>
      <vt:lpstr>EscalationFeedstock</vt:lpstr>
      <vt:lpstr>EscalationHeatSales</vt:lpstr>
      <vt:lpstr>EscalationIncentivePayments</vt:lpstr>
      <vt:lpstr>EscalationOther</vt:lpstr>
      <vt:lpstr>EscalationProductionTaxCredit</vt:lpstr>
      <vt:lpstr>EscalationResidueSales</vt:lpstr>
      <vt:lpstr>Expenses</vt:lpstr>
      <vt:lpstr>FederalTaxRate</vt:lpstr>
      <vt:lpstr>Feedstock</vt:lpstr>
      <vt:lpstr>FeedstockCost</vt:lpstr>
      <vt:lpstr>FeedstockInput</vt:lpstr>
      <vt:lpstr>FeedstockSupply</vt:lpstr>
      <vt:lpstr>FuelCost</vt:lpstr>
      <vt:lpstr>GeneralInflation</vt:lpstr>
      <vt:lpstr>GrossDesignHydrogenCapacity</vt:lpstr>
      <vt:lpstr>Heat</vt:lpstr>
      <vt:lpstr>HydrogenEnergy</vt:lpstr>
      <vt:lpstr>HydrogenHHV</vt:lpstr>
      <vt:lpstr>HydrogenLHV</vt:lpstr>
      <vt:lpstr>IncentivePayments</vt:lpstr>
      <vt:lpstr>IncomeCapacity</vt:lpstr>
      <vt:lpstr>IncomeElectricalEnergy</vt:lpstr>
      <vt:lpstr>IncomeHeat</vt:lpstr>
      <vt:lpstr>IncomeIncentivePayments</vt:lpstr>
      <vt:lpstr>IncomeResidue</vt:lpstr>
      <vt:lpstr>InterestOnDebtReserve</vt:lpstr>
      <vt:lpstr>InterestRateOnDebt</vt:lpstr>
      <vt:lpstr>InterestRateOnDebtReserve</vt:lpstr>
      <vt:lpstr>MARR</vt:lpstr>
      <vt:lpstr>NegativeTaxesOffset</vt:lpstr>
      <vt:lpstr>NonFuelExpenses</vt:lpstr>
      <vt:lpstr>OneYearDebtReserveRequired</vt:lpstr>
      <vt:lpstr>OperatingExpenses</vt:lpstr>
      <vt:lpstr>OperatingExpensesRate</vt:lpstr>
      <vt:lpstr>OverallProductionEfficiency</vt:lpstr>
      <vt:lpstr>'1_LCOE'!Print_Area</vt:lpstr>
      <vt:lpstr>ProductionTaxCredit</vt:lpstr>
      <vt:lpstr>RealCostOfEquityConstant</vt:lpstr>
      <vt:lpstr>RealCostOfMoney</vt:lpstr>
      <vt:lpstr>Residues</vt:lpstr>
      <vt:lpstr>StateTaxRate</vt:lpstr>
      <vt:lpstr>TaxCredit</vt:lpstr>
      <vt:lpstr>Taxes</vt:lpstr>
      <vt:lpstr>TaxesWoCredit</vt:lpstr>
      <vt:lpstr>TotalAnnualExpenses</vt:lpstr>
      <vt:lpstr>TotalCapitalRecovery</vt:lpstr>
      <vt:lpstr>TotalDebtPrincipal</vt:lpstr>
      <vt:lpstr>TotalDebtRepayment</vt:lpstr>
      <vt:lpstr>TotalEquityPrincipal</vt:lpstr>
      <vt:lpstr>TotalEquityRepayment</vt:lpstr>
      <vt:lpstr>WeightedCapitalRecoveryFactorConstant</vt:lpstr>
      <vt:lpstr>WeightedCapitalRecoveryFactorCurrent</vt:lpstr>
      <vt:lpstr>WeightedCostOfMoney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2019-07-25T07:05:43Z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2018992264</vt:i4>
  </property>
  <property fmtid="{D5CDD505-2E9C-101B-9397-08002B2CF9AE}" pid="3" name="_EmailSubject">
    <vt:lpwstr>z calc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PreviousAdHocReviewCycleID">
    <vt:i4>352766686</vt:i4>
  </property>
  <property fmtid="{D5CDD505-2E9C-101B-9397-08002B2CF9AE}" pid="7" name="_ReviewingToolsShownOnce">
    <vt:lpwstr/>
  </property>
</Properties>
</file>