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egraff\Google Drive\Fermentation\Simple draft\"/>
    </mc:Choice>
  </mc:AlternateContent>
  <bookViews>
    <workbookView xWindow="0" yWindow="0" windowWidth="11652" windowHeight="6564" tabRatio="822"/>
  </bookViews>
  <sheets>
    <sheet name="S1A - Constants" sheetId="4" r:id="rId1"/>
    <sheet name="S1B - ETC Surface Area" sheetId="1" r:id="rId2"/>
    <sheet name="S1C - Surface Fluxes" sheetId="2" r:id="rId3"/>
    <sheet name="S1D - ETC Complex Abundances" sheetId="3" r:id="rId4"/>
  </sheets>
  <calcPr calcId="152511"/>
</workbook>
</file>

<file path=xl/calcChain.xml><?xml version="1.0" encoding="utf-8"?>
<calcChain xmlns="http://schemas.openxmlformats.org/spreadsheetml/2006/main">
  <c r="D53" i="3" l="1"/>
  <c r="E53" i="3"/>
  <c r="F53" i="3"/>
  <c r="G53" i="3"/>
  <c r="C53" i="3"/>
  <c r="N14" i="1"/>
  <c r="P10" i="2" l="1"/>
  <c r="B37" i="4" l="1"/>
  <c r="C40" i="4" l="1"/>
  <c r="B40" i="4"/>
  <c r="B42" i="4" l="1"/>
  <c r="B44" i="4" s="1"/>
  <c r="H14" i="2"/>
  <c r="H13" i="2"/>
  <c r="H15" i="2" s="1"/>
  <c r="K15" i="2" s="1"/>
  <c r="Q15" i="2" s="1"/>
  <c r="H9" i="2"/>
  <c r="K9" i="2" s="1"/>
  <c r="H8" i="2"/>
  <c r="K8" i="2" s="1"/>
  <c r="L8" i="2" s="1"/>
  <c r="H5" i="2"/>
  <c r="K5" i="2" s="1"/>
  <c r="L5" i="2" s="1"/>
  <c r="H6" i="2"/>
  <c r="K6" i="2" s="1"/>
  <c r="F7" i="2"/>
  <c r="F8" i="2"/>
  <c r="H7" i="2" l="1"/>
  <c r="K7" i="2" s="1"/>
  <c r="L7" i="2" s="1"/>
  <c r="C21" i="2"/>
  <c r="C20" i="2"/>
  <c r="C19" i="2"/>
  <c r="H10" i="2"/>
  <c r="K10" i="2" s="1"/>
  <c r="B53" i="4"/>
  <c r="B15" i="4" l="1"/>
  <c r="B14" i="4"/>
  <c r="B8" i="4"/>
  <c r="B7" i="4"/>
  <c r="B19" i="1"/>
  <c r="C12" i="1" l="1"/>
  <c r="D12" i="1"/>
  <c r="E12" i="1"/>
  <c r="F12" i="1"/>
  <c r="B12" i="1"/>
  <c r="C12" i="3"/>
  <c r="D12" i="3"/>
  <c r="E12" i="3"/>
  <c r="F12" i="3"/>
  <c r="G12" i="3"/>
  <c r="N12" i="1"/>
  <c r="F20" i="1" l="1"/>
  <c r="F21" i="1"/>
  <c r="F22" i="1"/>
  <c r="F23" i="1"/>
  <c r="F19" i="1"/>
  <c r="E20" i="1"/>
  <c r="E21" i="1"/>
  <c r="E22" i="1"/>
  <c r="E23" i="1"/>
  <c r="E19" i="1"/>
  <c r="D20" i="1"/>
  <c r="D21" i="1"/>
  <c r="D22" i="1"/>
  <c r="D23" i="1"/>
  <c r="D19" i="1"/>
  <c r="C20" i="1"/>
  <c r="C21" i="1"/>
  <c r="C22" i="1"/>
  <c r="C23" i="1"/>
  <c r="C19" i="1"/>
  <c r="B20" i="1"/>
  <c r="B21" i="1"/>
  <c r="B22" i="1"/>
  <c r="B23" i="1"/>
  <c r="F24" i="1" l="1"/>
  <c r="F31" i="1" s="1"/>
  <c r="F34" i="1" s="1"/>
  <c r="D24" i="1"/>
  <c r="D31" i="1" s="1"/>
  <c r="D34" i="1" s="1"/>
  <c r="E24" i="1"/>
  <c r="E31" i="1" s="1"/>
  <c r="E34" i="1" s="1"/>
  <c r="C24" i="1"/>
  <c r="C31" i="1" s="1"/>
  <c r="C34" i="1" s="1"/>
  <c r="B24" i="1"/>
  <c r="B31" i="1" s="1"/>
  <c r="B34" i="1" s="1"/>
  <c r="N13" i="1"/>
  <c r="N15" i="1"/>
  <c r="N16" i="1"/>
  <c r="B38" i="1" l="1"/>
  <c r="N17" i="1"/>
  <c r="B39" i="1"/>
  <c r="B40" i="1" s="1"/>
  <c r="F5" i="2"/>
  <c r="F10" i="2" s="1"/>
  <c r="L10" i="2" s="1"/>
  <c r="O10" i="2" s="1"/>
  <c r="Q10" i="2" s="1"/>
  <c r="H13" i="1" l="1"/>
  <c r="H14" i="1"/>
  <c r="H15" i="1"/>
  <c r="H16" i="1"/>
  <c r="H12" i="1"/>
</calcChain>
</file>

<file path=xl/sharedStrings.xml><?xml version="1.0" encoding="utf-8"?>
<sst xmlns="http://schemas.openxmlformats.org/spreadsheetml/2006/main" count="211" uniqueCount="166">
  <si>
    <t xml:space="preserve">Complex </t>
  </si>
  <si>
    <t>Growth Rate</t>
  </si>
  <si>
    <t>Abundance (molecules/fL)</t>
  </si>
  <si>
    <t xml:space="preserve"> </t>
  </si>
  <si>
    <t>Stoichiometry</t>
  </si>
  <si>
    <t>Average Complex Stoichiometry to C5</t>
  </si>
  <si>
    <t>Pure Respiration</t>
  </si>
  <si>
    <t>Pure Fermentation</t>
  </si>
  <si>
    <t>Source</t>
  </si>
  <si>
    <t>Metabolite</t>
  </si>
  <si>
    <t>Glycolysis</t>
  </si>
  <si>
    <t>TCA Cycle</t>
  </si>
  <si>
    <t>NADH</t>
  </si>
  <si>
    <t>ATP</t>
  </si>
  <si>
    <t>FADH2</t>
  </si>
  <si>
    <t>FADH Conversion</t>
  </si>
  <si>
    <t>Acetate Fermentation</t>
  </si>
  <si>
    <t xml:space="preserve">              </t>
  </si>
  <si>
    <t>Complex Surface Area (nm^2)</t>
  </si>
  <si>
    <t>ETC Unit Area per Complex</t>
  </si>
  <si>
    <t>Complex Surface Occupancy per unit Volume (nm^2/fL)</t>
  </si>
  <si>
    <t>Complex</t>
  </si>
  <si>
    <t>Total</t>
  </si>
  <si>
    <t>S/V ratio (fL/um^2)</t>
  </si>
  <si>
    <t>Percent Total Membrane Surface Occupancy by ETC</t>
  </si>
  <si>
    <t>Percent Protein Surface Occupancy by ETC</t>
  </si>
  <si>
    <t>NADH ubiquinone oxidoreductase I</t>
  </si>
  <si>
    <t>nadh:ubiquinone oxidoreductase, chain i (ec:1,6,5,3)</t>
  </si>
  <si>
    <t>nadh:ubiquinone oxidoreductase, chain g (ec:1,6,5,3)</t>
  </si>
  <si>
    <t>nadh:ubiquinone oxidoreductase, chain f (ec:1,6,5,3)</t>
  </si>
  <si>
    <t>nadh:ubiquinone oxidoreductase, chain c,d (ec:1,6,5,3)</t>
  </si>
  <si>
    <t>nadh:ubiquinone oxidoreductase, chain b (ec:1,6,5,3)</t>
  </si>
  <si>
    <t>AVERAGE</t>
  </si>
  <si>
    <t>succinate-ubiquinone oxidoreductase</t>
  </si>
  <si>
    <t>succinate dehydrogenase, flavoprotein subunit (ec:1,3,99,1)</t>
  </si>
  <si>
    <t>succinate dehydrogenase, fes subunit (ec:1,3,99,1)</t>
  </si>
  <si>
    <t>cytochrome o ubiquinol oxidase</t>
  </si>
  <si>
    <t>cytochrome o ubiquinol oxidase subunit i (ec:1,10,3,-)</t>
  </si>
  <si>
    <t>cytochrome o ubiquinol oxidase subunit ii (ec:1,10,3,-)</t>
  </si>
  <si>
    <t>cytochrome d terminal oxidase, subunit i (ec:1,9,3,-)</t>
  </si>
  <si>
    <t>f1 sector of membrane-bound atp synthase, epsilon subunit</t>
  </si>
  <si>
    <t>f1 sector of membrane-bound atp synthase, beta subunit (ec:3,6,3,14)</t>
  </si>
  <si>
    <t>f1 sector of membrane-bound atp synthase, gamma subunit</t>
  </si>
  <si>
    <t>f1 sector of membrane-bound atp synthase, alpha subunit</t>
  </si>
  <si>
    <t>f1 sector of membrane-bound atp synthase, delta subunit</t>
  </si>
  <si>
    <t>C5 adjusted by subunit stoichiometry</t>
  </si>
  <si>
    <t>Value</t>
  </si>
  <si>
    <t>cytochrome bd-ii oxidase, subunit i (ec:1,10,3,-)</t>
  </si>
  <si>
    <t>cytochrome bd-ii oxidase, subunit ii (ec:1,10,3,-)</t>
  </si>
  <si>
    <t>Isoforms</t>
  </si>
  <si>
    <t>atpc</t>
  </si>
  <si>
    <t>atpd</t>
  </si>
  <si>
    <t>atpg</t>
  </si>
  <si>
    <t>atpa</t>
  </si>
  <si>
    <t>atph</t>
  </si>
  <si>
    <t>cyda</t>
  </si>
  <si>
    <t>cyob</t>
  </si>
  <si>
    <t>cyoa</t>
  </si>
  <si>
    <t>sdha</t>
  </si>
  <si>
    <t>sdhb</t>
  </si>
  <si>
    <t>nuoi</t>
  </si>
  <si>
    <t>nuog</t>
  </si>
  <si>
    <t>nuof</t>
  </si>
  <si>
    <t>nuoc</t>
  </si>
  <si>
    <t>nuob</t>
  </si>
  <si>
    <t>ATP Synthase F0F1</t>
  </si>
  <si>
    <t>ATP Synthesis Rate of ETC Unit (ATP/s)</t>
  </si>
  <si>
    <t>ETC Unit Size (nm^2)</t>
  </si>
  <si>
    <t>Glucose Transporter Size (nm^2)</t>
  </si>
  <si>
    <t xml:space="preserve">Glucose Transporter Rate </t>
  </si>
  <si>
    <t>(glucose/s)</t>
  </si>
  <si>
    <t xml:space="preserve">Glucose Transporter KM </t>
  </si>
  <si>
    <t>(ATP/s)</t>
  </si>
  <si>
    <t>(uM)</t>
  </si>
  <si>
    <t>10-20</t>
  </si>
  <si>
    <t>STDEV</t>
  </si>
  <si>
    <t xml:space="preserve">ATP Requirements for Growth </t>
  </si>
  <si>
    <t>Dry cell weight</t>
  </si>
  <si>
    <t>Constants determining Outer Membrane Permeability</t>
  </si>
  <si>
    <t>Renkin diffusion constant for glucose diffusion through OM porins</t>
  </si>
  <si>
    <t xml:space="preserve">Surface area of single porin </t>
  </si>
  <si>
    <t>Width of OM</t>
  </si>
  <si>
    <t>Surface density of porins</t>
  </si>
  <si>
    <t>Units</t>
  </si>
  <si>
    <t>Outer Membrane Permeability</t>
  </si>
  <si>
    <t>Stoichiometries used in ETC unit calculation</t>
  </si>
  <si>
    <t>No abudance data</t>
  </si>
  <si>
    <t>ETC Unit Area (nm^2)</t>
  </si>
  <si>
    <t xml:space="preserve">ATP molecules required for growth of 1 fL </t>
  </si>
  <si>
    <t>ATP synthase</t>
  </si>
  <si>
    <t>NDH-I</t>
  </si>
  <si>
    <t>SDH</t>
  </si>
  <si>
    <t>CYO</t>
  </si>
  <si>
    <t>CYD-I</t>
  </si>
  <si>
    <t>Electron transport chain abundances and membrane occupancies.</t>
  </si>
  <si>
    <t>Fraction of Membrane Surface occupied by protein (fit parameter from CS model)</t>
  </si>
  <si>
    <t>Subunit contributions to ETC estimates.</t>
  </si>
  <si>
    <t>Derived from Valgepea et al., 2013.</t>
  </si>
  <si>
    <t>CYD-II</t>
  </si>
  <si>
    <t>Calculating surface efficiency of ETC-dependent and ETC-independent (acetate fermentation) processes.</t>
  </si>
  <si>
    <t>NADH Conversion (P/O ratio)</t>
  </si>
  <si>
    <t>Glucose Transporter Flux (glucose/s)</t>
  </si>
  <si>
    <t>Total ATP per Glucose</t>
  </si>
  <si>
    <t>Number per Glucose</t>
  </si>
  <si>
    <t>Total ETC Area Required per GT</t>
  </si>
  <si>
    <t>Production Flux by ETC per Glucose Transporter (ATP/s)</t>
  </si>
  <si>
    <t>Production Flux per Glucose Transporter (ATP/s)</t>
  </si>
  <si>
    <t>Total NADH Equivalents per Glucose</t>
  </si>
  <si>
    <t>Surface Efficiency of ETC (ATP/s/nm^2)</t>
  </si>
  <si>
    <t>Surface Efficiency Incl. Glucose Transporter (ATP/s/nm^2)</t>
  </si>
  <si>
    <t>Summary of parameter values.</t>
  </si>
  <si>
    <t>Replication Cost (mol ATP/gDCW)</t>
  </si>
  <si>
    <t>Maintenance (mol ATP/h/gDCW)</t>
  </si>
  <si>
    <t>ATP Synthase Rate</t>
  </si>
  <si>
    <t>P/O</t>
  </si>
  <si>
    <t>ETC Unit Surface Area (nm^2)</t>
  </si>
  <si>
    <t>ATP per Acetyl-CoA</t>
  </si>
  <si>
    <t>P/O ratio</t>
  </si>
  <si>
    <t>In limit of very small, fast isoforms of NDH and CYD</t>
  </si>
  <si>
    <t>In vivo value</t>
  </si>
  <si>
    <t>Derived assuming that P/O = 1 results from 2/3:1/3 of fast (P/O = 0.5) and slow (P/O = 2) isoforms</t>
  </si>
  <si>
    <t>Derived from Neidhardt &amp; Curtiss, 1996.</t>
  </si>
  <si>
    <t>(pg DCW / fL cell volume)</t>
  </si>
  <si>
    <t>(billion ATP molecules / fL cell)</t>
  </si>
  <si>
    <t>Alpha_B (ATP cost per growth rate, grouped term including maintenance, billions)</t>
  </si>
  <si>
    <t>(nm^2/s)</t>
  </si>
  <si>
    <t>(nm^2)</t>
  </si>
  <si>
    <t>(nm^-2)</t>
  </si>
  <si>
    <t>(nm/s)</t>
  </si>
  <si>
    <t>(nm)</t>
  </si>
  <si>
    <t>(billion ATP molecules / fL cell / hr)</t>
  </si>
  <si>
    <r>
      <t xml:space="preserve">cytochrome </t>
    </r>
    <r>
      <rPr>
        <b/>
        <i/>
        <sz val="12"/>
        <color theme="1"/>
        <rFont val="Calibri"/>
        <family val="2"/>
        <scheme val="minor"/>
      </rPr>
      <t>bd</t>
    </r>
    <r>
      <rPr>
        <b/>
        <sz val="12"/>
        <color theme="1"/>
        <rFont val="Calibri"/>
        <family val="2"/>
        <scheme val="minor"/>
      </rPr>
      <t>-I terminal oxidase</t>
    </r>
  </si>
  <si>
    <t>Table S1A</t>
  </si>
  <si>
    <t>Table S1B</t>
  </si>
  <si>
    <t>Table S1C</t>
  </si>
  <si>
    <t>Table S1D</t>
  </si>
  <si>
    <t>I. S. Hunter and H. L. Kornberg. (1979). Glucose transport of Escherichia coli growing in glucose-limited continuous culture. Biochem. J., 178(1), 97-101</t>
  </si>
  <si>
    <t xml:space="preserve">C. Etzold, G. DeckersHebestreit, and K. Altendorf. (1997). Turnover number of escherichia coli f0f1 atp synthase for atp synthesis in membrane vesicles. European Journal of Biochemistry, 243(1-2), 336-343. </t>
  </si>
  <si>
    <t xml:space="preserve">C. Etzold, G. DeckersHebestreit, and K. Altendorf. (1997). Turnover number of escherichia coli f0f1 atp synthase for atp synthesis in membrane vesicles. European Journal of Biochemistry, 243(1-2), 336-343 </t>
  </si>
  <si>
    <t>A. M. Feist, C. S. Henry, J. L. Reed, M. Krummenacker, A. R. Joyce, P. D. Karp, L. J. Broadbelt, V. Hatzimanikatis, and B. O. Palsson. (2007). A genome-scale metabolic reconstruction for Escherichia coli K-12 MG1655 that accounts for 1260 ORFs and thermodynamic information. Mol. Syst. Biol., 3-121</t>
  </si>
  <si>
    <t>Calculated from growth related ATP requirements with averaged dry cell weight. A. M. Feist, C. S. Henry, J. L. Reed, M. Krummenacker, A. R. Joyce, P. D. Karp, L. J. Broadbelt, V. Hatzimanikatis, and B. O. Palsson. (2007). A genome-scale metabolic reconstruction for Escherichia coli K-12 MG1655 that accounts for 1260 ORFs and thermodynamic information. Mol. Syst. Biol., 3-121</t>
  </si>
  <si>
    <t xml:space="preserve">H. Nikaido and E. Y. Rosenberg. (1983). Porin channels in Escherichia coli: studies with liposomes reconstituted from purified proteins. J. Bacteriol., 153(1), 241-252 </t>
  </si>
  <si>
    <t>M. E. Bayer. (1991). Zones of membrane adhesion in the cryofixed envelope of Escherichia coli. J. Struct. Biol., 107(3), 268-280</t>
  </si>
  <si>
    <t>H. Nikaido and E. Y. Rosenberg. (1981). Effect on solute size on diffusion rates through the transmembrane pores of the outer membrane of Escherichia coli.  J. Gen. Physiol., 77(2), 121-135</t>
  </si>
  <si>
    <t xml:space="preserve">Calculated using above values using Renkin relation: J. R. Pappenheimer, E. M. Renkin, and L. M. Borrero. (1951). Filtration, diffusion and molecular sieving through peripheral capillary membranes; a contribution to the pore theory of capillary permeability. Am. J. Physiol., 167(1), 13-46 </t>
  </si>
  <si>
    <t xml:space="preserve">A. Buhr, G. A. Daniels, and B. Erni. (1992.) The glucose transporter of Escherichia coli. Mutants with impaired translocation activity that retain phosphorylation activity. J. Biol. Chem., 267(6), 3847-3851 </t>
  </si>
  <si>
    <t>L. F. Garcia-Alles, V. Navdaeva, S. Haenni, and B. Erni. (2002). The glucose-specific carrier of the Escherichia coli phosphotransferase system. Eur. J. Biochem., 269(20), 4969-4980</t>
  </si>
  <si>
    <t>Glazyrina J, Materne EM, Dreher T, Storm D, Junne S, Adams T, Greller G, Neubauer P. (2010). High cell density cultivation and recombinant protein production with Escherichia coli in rocking-motion-type bioreactor. Microb Cell Fact.,. 9(42)</t>
  </si>
  <si>
    <t>Q. Ren, B. Henes, M. Fairhead, and L. Thony-Meyer. (2013). High level production of tyrosinase in recombinant Escherichia coli. BMC Biotechnol., 13(18)</t>
  </si>
  <si>
    <t>J. Soini, K. Ukkonen, and P. Neubauer. (2008). High cell density media for Escherichia coli are generally designed for aerobic cultivations - consequences for large-scale bioprocesses and shake flask cultures. Microb. Cell Fact., 7(26)</t>
  </si>
  <si>
    <t>Neidhardt, F. C., &amp; Curtiss, R. (Eds.). (1996). Escherichia coli and salmonella: Cellular and molecular biology (second ed.). ASM Press.</t>
  </si>
  <si>
    <t>Calculated from GUR from Vemuri et. al., 2007 and S/V ratios reported in main text.  
G. N. Vemuri, M. A. Eiteman, J. E. McEwen, L. Olsson, and J. Nielsen. (2007). Increasing nadh oxidation reduces overflow metabolism in saccharomyces cerevisiae. Proceedings of the National Academy of Sciences of the United States of America, 104(7), 2402-2407</t>
  </si>
  <si>
    <t>E. B. Waygood and T. Steeves. (1980). Enzyme I of the phosphoenolpyruvate: sugar phosphotransferase system of Escherichia coli. Purification to homogeneity and some properties. Can. J. Biochem., 58(1), 40-48</t>
  </si>
  <si>
    <t>N. D. Meadow, R. S. Savtchenko, A. Nezami, and S. Roseman. (2005). Transient state kinetics of enzyme IICBGlc, a glucose transporter of the phosphoenolpyruvate phosphotransferase system of Escherichia coli: equilibrium and second order rate constants for the glucose binding and phosphotransfer reactions. J. Biol. Chem., 280(51), 41872-41880</t>
  </si>
  <si>
    <t>Efremov, R. G., &amp; Sazanov, L. A. (2011, Aug). Structure of the membrane domain of respiratory complex I. Nature, 476 (7361), 414–420.</t>
  </si>
  <si>
    <t>Ruprecht, J., Iwata, S., Rothery, R. A., Weiner, J. H., Maklashina, E., &amp; Cecchini, G. (2011, Apr). Perturbation of the quinone-binding site of complex II alters the electronic properties of the proximal [3Fe-4S] iron-sulfur cluster. J. Biol. Chem., 286 (14), 12756–12765.</t>
  </si>
  <si>
    <t>Abramson, J., Riistama, S., Larsson, G., Jasaitis, A., Svensson-Ek, M., Laakkonen, L., . . . Wikstrom, M. (2000, Oct). The structure of the ubiquinol oxidase from Escherichia coli and its ubiquinone binding site. Nat. Struct. Biol., 7 (10), 910–917.</t>
  </si>
  <si>
    <t>Estimated from modeling by Ovchinnikov, S., Kinch, L., Park, H., Liao, Y., Pei, J., Kim, D. E., . . . Baker, D. (2015, Sep). Large-scale determination of previously unsolved protein structures using evolutionary information. Elife, 4 , e09248.</t>
  </si>
  <si>
    <t xml:space="preserve">Sobti, M., Smits, C., Wong, A. S., Ishmukhametov, R., Stock, D., Sandin, S., &amp; Stewart, A. G. (2016, Dec). Cryo-EM structures of the autoinhibited E. coli ATP synthase in three rotational states. Elife, 5 .
</t>
  </si>
  <si>
    <t>Estimated uncertainty</t>
  </si>
  <si>
    <t>Maintenance, calculated from Feist et al. 2007.</t>
  </si>
  <si>
    <t>STDERR</t>
  </si>
  <si>
    <t>Hempfling WP, Mainzer SE. (1975) Effects of varying the carbon source limiting growth on yield and maintenance characteristics of Escherichia coli in continuous culture. J Bacteriol. 123(3), 1076-87.</t>
  </si>
  <si>
    <t>Noguchi Y, Nakai Y, Shimba N, Toyosaki H, Kawahara Y, Sugimoto S, Suzuki E. (2004) The energetic conversion competence of Escherichia coli during aerobic respiration studied by 31P NMR using a circulating fermentation system. J Biochem. 136(4), 509-15.</t>
  </si>
  <si>
    <t xml:space="preserve">Farmer, I. S. and Jones, C. W. (1976), The Energetics of Escherichia coli during Aerobic Growth in Continuous Culture. European Journal of Biochemistry, 67: 115–122. </t>
  </si>
  <si>
    <t>Maintenance cost per doubling at growth rate of 0.3 hr^-1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</si>
</sst>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General"/>
    <numFmt numFmtId="165" formatCode="[$$-409]#,##0.00;[Red]&quot;-&quot;[$$-409]#,##0.00"/>
    <numFmt numFmtId="166" formatCode="0.0"/>
    <numFmt numFmtId="167" formatCode="0.000"/>
  </numFmts>
  <fonts count="3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64"/>
      <name val="Arial"/>
      <family val="2"/>
    </font>
    <font>
      <sz val="11"/>
      <color rgb="FF000000"/>
      <name val="Arial1"/>
    </font>
    <font>
      <sz val="11"/>
      <color theme="1"/>
      <name val="Calibri"/>
      <family val="2"/>
      <charset val="186"/>
      <scheme val="minor"/>
    </font>
    <font>
      <sz val="10"/>
      <name val="Tahoma"/>
      <family val="2"/>
      <charset val="186"/>
    </font>
    <font>
      <sz val="10"/>
      <color rgb="FF000000"/>
      <name val="Arial1"/>
      <charset val="186"/>
    </font>
    <font>
      <sz val="11"/>
      <color rgb="FF000000"/>
      <name val="Arial1"/>
      <charset val="186"/>
    </font>
    <font>
      <b/>
      <i/>
      <sz val="16"/>
      <color rgb="FF000000"/>
      <name val="Arial1"/>
      <charset val="186"/>
    </font>
    <font>
      <b/>
      <i/>
      <u/>
      <sz val="11"/>
      <color rgb="FF000000"/>
      <name val="Arial1"/>
      <charset val="186"/>
    </font>
    <font>
      <sz val="10"/>
      <name val="Arial"/>
      <family val="2"/>
      <charset val="186"/>
    </font>
    <font>
      <sz val="12"/>
      <color indexed="64"/>
      <name val="Times New Roman"/>
      <family val="1"/>
    </font>
    <font>
      <b/>
      <sz val="12"/>
      <color theme="1"/>
      <name val="Calibri"/>
      <family val="2"/>
      <scheme val="minor"/>
    </font>
    <font>
      <sz val="12"/>
      <color theme="1"/>
      <name val="Calibri"/>
      <family val="2"/>
      <scheme val="minor"/>
    </font>
    <font>
      <sz val="12"/>
      <color indexed="64"/>
      <name val="Calibri"/>
      <family val="2"/>
      <scheme val="minor"/>
    </font>
    <font>
      <b/>
      <sz val="12"/>
      <color indexed="64"/>
      <name val="Calibri"/>
      <family val="2"/>
      <scheme val="minor"/>
    </font>
    <font>
      <b/>
      <i/>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1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4" fillId="0" borderId="2" applyNumberFormat="0" applyFill="0" applyAlignment="0" applyProtection="0"/>
    <xf numFmtId="0" fontId="21" fillId="0" borderId="0"/>
    <xf numFmtId="0" fontId="20" fillId="0" borderId="0"/>
    <xf numFmtId="0" fontId="10" fillId="6" borderId="5" applyNumberFormat="0" applyAlignment="0" applyProtection="0"/>
    <xf numFmtId="0" fontId="9" fillId="5" borderId="4" applyNumberFormat="0" applyAlignment="0" applyProtection="0"/>
    <xf numFmtId="0" fontId="8" fillId="4"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 fillId="8" borderId="8" applyNumberFormat="0" applyFont="0" applyAlignment="0" applyProtection="0"/>
    <xf numFmtId="0" fontId="5" fillId="0" borderId="3" applyNumberFormat="0" applyFill="0" applyAlignment="0" applyProtection="0"/>
    <xf numFmtId="0" fontId="6" fillId="2" borderId="0" applyNumberFormat="0" applyBorder="0" applyAlignment="0" applyProtection="0"/>
    <xf numFmtId="0" fontId="2" fillId="0" borderId="0" applyNumberFormat="0" applyFill="0" applyBorder="0" applyAlignment="0" applyProtection="0"/>
    <xf numFmtId="0" fontId="14" fillId="0" borderId="0" applyNumberFormat="0" applyFill="0" applyBorder="0" applyAlignment="0" applyProtection="0"/>
    <xf numFmtId="0" fontId="5" fillId="0" borderId="0" applyNumberFormat="0" applyFill="0" applyBorder="0" applyAlignment="0" applyProtection="0"/>
    <xf numFmtId="0" fontId="13" fillId="7" borderId="7" applyNumberFormat="0" applyAlignment="0" applyProtection="0"/>
    <xf numFmtId="0" fontId="3" fillId="0" borderId="1" applyNumberFormat="0" applyFill="0" applyAlignment="0" applyProtection="0"/>
    <xf numFmtId="0" fontId="12" fillId="0" borderId="6" applyNumberFormat="0" applyFill="0" applyAlignment="0" applyProtection="0"/>
    <xf numFmtId="0" fontId="17" fillId="12" borderId="0" applyNumberFormat="0" applyBorder="0" applyAlignment="0" applyProtection="0"/>
    <xf numFmtId="0" fontId="1" fillId="30" borderId="0" applyNumberFormat="0" applyBorder="0" applyAlignment="0" applyProtection="0"/>
    <xf numFmtId="0" fontId="17" fillId="24"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7" fillId="29" borderId="0" applyNumberFormat="0" applyBorder="0" applyAlignment="0" applyProtection="0"/>
    <xf numFmtId="0" fontId="1" fillId="23" borderId="0" applyNumberFormat="0" applyBorder="0" applyAlignment="0" applyProtection="0"/>
    <xf numFmtId="0" fontId="17" fillId="17" borderId="0" applyNumberFormat="0" applyBorder="0" applyAlignment="0" applyProtection="0"/>
    <xf numFmtId="0" fontId="1" fillId="10" borderId="0" applyNumberFormat="0" applyBorder="0" applyAlignment="0" applyProtection="0"/>
    <xf numFmtId="0" fontId="17" fillId="28" borderId="0" applyNumberFormat="0" applyBorder="0" applyAlignment="0" applyProtection="0"/>
    <xf numFmtId="0" fontId="1" fillId="22" borderId="0" applyNumberFormat="0" applyBorder="0" applyAlignment="0" applyProtection="0"/>
    <xf numFmtId="0" fontId="17" fillId="16" borderId="0" applyNumberFormat="0" applyBorder="0" applyAlignment="0" applyProtection="0"/>
    <xf numFmtId="0" fontId="17" fillId="9" borderId="0" applyNumberFormat="0" applyBorder="0" applyAlignment="0" applyProtection="0"/>
    <xf numFmtId="0" fontId="1" fillId="27" borderId="0" applyNumberFormat="0" applyBorder="0" applyAlignment="0" applyProtection="0"/>
    <xf numFmtId="0" fontId="17" fillId="21" borderId="0" applyNumberFormat="0" applyBorder="0" applyAlignment="0" applyProtection="0"/>
    <xf numFmtId="0" fontId="1" fillId="15" borderId="0" applyNumberFormat="0" applyBorder="0" applyAlignment="0" applyProtection="0"/>
    <xf numFmtId="0" fontId="16" fillId="0" borderId="9" applyNumberFormat="0" applyFill="0" applyAlignment="0" applyProtection="0"/>
    <xf numFmtId="0" fontId="1" fillId="26" borderId="0" applyNumberFormat="0" applyBorder="0" applyAlignment="0" applyProtection="0"/>
    <xf numFmtId="0" fontId="17" fillId="20" borderId="0" applyNumberFormat="0" applyBorder="0" applyAlignment="0" applyProtection="0"/>
    <xf numFmtId="0" fontId="1" fillId="14" borderId="0" applyNumberFormat="0" applyBorder="0" applyAlignment="0" applyProtection="0"/>
    <xf numFmtId="0" fontId="15" fillId="0" borderId="0" applyNumberFormat="0" applyFill="0" applyBorder="0" applyAlignment="0" applyProtection="0"/>
    <xf numFmtId="0" fontId="17" fillId="25" borderId="0" applyNumberFormat="0" applyBorder="0" applyAlignment="0" applyProtection="0"/>
    <xf numFmtId="0" fontId="1" fillId="19" borderId="0" applyNumberFormat="0" applyBorder="0" applyAlignment="0" applyProtection="0"/>
    <xf numFmtId="0" fontId="17" fillId="13" borderId="0" applyNumberFormat="0" applyBorder="0" applyAlignment="0" applyProtection="0"/>
    <xf numFmtId="0" fontId="19" fillId="0" borderId="0"/>
    <xf numFmtId="0" fontId="1" fillId="31" borderId="0" applyNumberFormat="0" applyBorder="0" applyAlignment="0" applyProtection="0"/>
    <xf numFmtId="0" fontId="17" fillId="32" borderId="0" applyNumberFormat="0" applyBorder="0" applyAlignment="0" applyProtection="0"/>
    <xf numFmtId="164" fontId="22" fillId="0" borderId="0"/>
    <xf numFmtId="0" fontId="23" fillId="0" borderId="0"/>
    <xf numFmtId="0" fontId="24" fillId="0" borderId="0">
      <alignment horizontal="center"/>
    </xf>
    <xf numFmtId="0" fontId="24" fillId="0" borderId="0">
      <alignment horizontal="center" textRotation="90"/>
    </xf>
    <xf numFmtId="0" fontId="25" fillId="0" borderId="0"/>
    <xf numFmtId="165" fontId="25" fillId="0" borderId="0"/>
    <xf numFmtId="0" fontId="26" fillId="0" borderId="0"/>
    <xf numFmtId="9" fontId="20" fillId="0" borderId="0" applyFont="0" applyFill="0" applyBorder="0" applyAlignment="0" applyProtection="0"/>
    <xf numFmtId="0" fontId="20" fillId="0" borderId="0"/>
    <xf numFmtId="0" fontId="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cellStyleXfs>
  <cellXfs count="73">
    <xf numFmtId="0" fontId="0" fillId="0" borderId="0" xfId="0"/>
    <xf numFmtId="0" fontId="27" fillId="0" borderId="10" xfId="42" applyFont="1" applyBorder="1" applyAlignment="1">
      <alignment horizontal="left"/>
    </xf>
    <xf numFmtId="0" fontId="28" fillId="0" borderId="0" xfId="0" applyFont="1" applyAlignment="1">
      <alignment horizontal="left" vertical="center" wrapText="1"/>
    </xf>
    <xf numFmtId="0" fontId="28" fillId="0" borderId="0" xfId="0" applyFont="1" applyAlignment="1">
      <alignment horizontal="left" vertical="center"/>
    </xf>
    <xf numFmtId="0" fontId="29" fillId="0" borderId="0" xfId="0" applyFont="1" applyAlignment="1">
      <alignment horizontal="left" vertical="center" wrapText="1"/>
    </xf>
    <xf numFmtId="0" fontId="29" fillId="0" borderId="0" xfId="0" applyFont="1" applyAlignment="1">
      <alignment horizontal="left" vertical="center"/>
    </xf>
    <xf numFmtId="0" fontId="28" fillId="0" borderId="0" xfId="0" applyFont="1" applyAlignment="1">
      <alignment horizontal="left"/>
    </xf>
    <xf numFmtId="0" fontId="29" fillId="0" borderId="0" xfId="0" applyFont="1" applyAlignment="1">
      <alignment horizontal="left"/>
    </xf>
    <xf numFmtId="0" fontId="28" fillId="0" borderId="0" xfId="0" applyFont="1" applyAlignment="1">
      <alignment horizontal="left" wrapText="1"/>
    </xf>
    <xf numFmtId="1" fontId="29" fillId="0" borderId="0" xfId="0" applyNumberFormat="1" applyFont="1" applyAlignment="1">
      <alignment horizontal="left"/>
    </xf>
    <xf numFmtId="49" fontId="29" fillId="0" borderId="0" xfId="0" applyNumberFormat="1" applyFont="1" applyAlignment="1">
      <alignment horizontal="left"/>
    </xf>
    <xf numFmtId="49" fontId="28" fillId="0" borderId="0" xfId="0" applyNumberFormat="1" applyFont="1" applyAlignment="1">
      <alignment horizontal="left"/>
    </xf>
    <xf numFmtId="0" fontId="29" fillId="0" borderId="0" xfId="0" applyFont="1" applyAlignment="1">
      <alignment horizontal="left" wrapText="1"/>
    </xf>
    <xf numFmtId="166" fontId="29" fillId="0" borderId="0" xfId="0" applyNumberFormat="1" applyFont="1" applyAlignment="1">
      <alignment horizontal="left"/>
    </xf>
    <xf numFmtId="2" fontId="29" fillId="0" borderId="0" xfId="0" applyNumberFormat="1" applyFont="1" applyAlignment="1">
      <alignment horizontal="left"/>
    </xf>
    <xf numFmtId="166" fontId="28" fillId="0" borderId="0" xfId="0" applyNumberFormat="1" applyFont="1" applyAlignment="1">
      <alignment horizontal="left"/>
    </xf>
    <xf numFmtId="2" fontId="28" fillId="0" borderId="0" xfId="0" applyNumberFormat="1" applyFont="1" applyAlignment="1">
      <alignment horizontal="left"/>
    </xf>
    <xf numFmtId="1" fontId="28" fillId="0" borderId="0" xfId="0" applyNumberFormat="1" applyFont="1" applyAlignment="1">
      <alignment horizontal="left"/>
    </xf>
    <xf numFmtId="0" fontId="28" fillId="0" borderId="0" xfId="0" applyFont="1"/>
    <xf numFmtId="0" fontId="29" fillId="0" borderId="0" xfId="0" applyFont="1"/>
    <xf numFmtId="0" fontId="29" fillId="0" borderId="0" xfId="0" applyFont="1" applyAlignment="1">
      <alignment horizontal="center" vertical="center" wrapText="1"/>
    </xf>
    <xf numFmtId="0" fontId="28" fillId="0" borderId="0" xfId="0" applyFont="1" applyAlignment="1">
      <alignment horizontal="center" vertical="center" wrapText="1"/>
    </xf>
    <xf numFmtId="0" fontId="28" fillId="0" borderId="0" xfId="0" applyFont="1" applyAlignment="1">
      <alignment horizontal="right"/>
    </xf>
    <xf numFmtId="2" fontId="28" fillId="0" borderId="0" xfId="0" applyNumberFormat="1" applyFont="1" applyAlignment="1">
      <alignment horizontal="left" vertical="center" wrapText="1"/>
    </xf>
    <xf numFmtId="2" fontId="29" fillId="0" borderId="0" xfId="0" applyNumberFormat="1" applyFont="1" applyAlignment="1">
      <alignment horizontal="left" vertical="center" wrapText="1"/>
    </xf>
    <xf numFmtId="1" fontId="29" fillId="0" borderId="0" xfId="0" applyNumberFormat="1" applyFont="1" applyAlignment="1">
      <alignment horizontal="left" vertical="center" wrapText="1"/>
    </xf>
    <xf numFmtId="2" fontId="29" fillId="0" borderId="0" xfId="0" applyNumberFormat="1" applyFont="1" applyBorder="1" applyAlignment="1">
      <alignment horizontal="left" vertical="center" wrapText="1"/>
    </xf>
    <xf numFmtId="1" fontId="30" fillId="0" borderId="0" xfId="42" applyNumberFormat="1" applyFont="1" applyAlignment="1">
      <alignment horizontal="left" vertical="center" wrapText="1"/>
    </xf>
    <xf numFmtId="166" fontId="29" fillId="0" borderId="0" xfId="0" applyNumberFormat="1" applyFont="1" applyAlignment="1">
      <alignment horizontal="left" vertical="center" wrapText="1"/>
    </xf>
    <xf numFmtId="166" fontId="28" fillId="0" borderId="0" xfId="0" applyNumberFormat="1" applyFont="1" applyAlignment="1">
      <alignment horizontal="left" vertical="center" wrapText="1"/>
    </xf>
    <xf numFmtId="1" fontId="29" fillId="0" borderId="0" xfId="0" applyNumberFormat="1" applyFont="1" applyAlignment="1">
      <alignment horizontal="left" vertical="top"/>
    </xf>
    <xf numFmtId="1" fontId="29" fillId="0" borderId="0" xfId="0" applyNumberFormat="1" applyFont="1" applyAlignment="1">
      <alignment horizontal="left" vertical="top" wrapText="1"/>
    </xf>
    <xf numFmtId="166" fontId="29" fillId="0" borderId="0" xfId="0" applyNumberFormat="1" applyFont="1" applyAlignment="1">
      <alignment horizontal="left" vertical="top"/>
    </xf>
    <xf numFmtId="166" fontId="29" fillId="0" borderId="0" xfId="0" applyNumberFormat="1" applyFont="1" applyAlignment="1">
      <alignment horizontal="left" vertical="top" wrapText="1"/>
    </xf>
    <xf numFmtId="167" fontId="28" fillId="0" borderId="0" xfId="0" applyNumberFormat="1" applyFont="1" applyBorder="1" applyAlignment="1">
      <alignment horizontal="left" wrapText="1"/>
    </xf>
    <xf numFmtId="0" fontId="29" fillId="0" borderId="0" xfId="0" applyFont="1" applyBorder="1" applyAlignment="1">
      <alignment horizontal="left" wrapText="1"/>
    </xf>
    <xf numFmtId="0" fontId="29" fillId="0" borderId="0" xfId="0" applyFont="1" applyBorder="1" applyAlignment="1">
      <alignment horizontal="left"/>
    </xf>
    <xf numFmtId="2" fontId="29" fillId="0" borderId="0" xfId="0" applyNumberFormat="1" applyFont="1" applyBorder="1" applyAlignment="1">
      <alignment horizontal="left" wrapText="1"/>
    </xf>
    <xf numFmtId="2" fontId="28" fillId="0" borderId="0" xfId="0" applyNumberFormat="1" applyFont="1" applyBorder="1" applyAlignment="1">
      <alignment horizontal="left" wrapText="1"/>
    </xf>
    <xf numFmtId="167" fontId="30" fillId="0" borderId="0" xfId="42" applyNumberFormat="1" applyFont="1" applyBorder="1" applyAlignment="1">
      <alignment horizontal="left" wrapText="1"/>
    </xf>
    <xf numFmtId="1" fontId="30" fillId="0" borderId="0" xfId="42" applyNumberFormat="1" applyFont="1" applyBorder="1" applyAlignment="1">
      <alignment horizontal="left" wrapText="1"/>
    </xf>
    <xf numFmtId="167" fontId="29" fillId="0" borderId="0" xfId="0" applyNumberFormat="1" applyFont="1" applyBorder="1" applyAlignment="1">
      <alignment horizontal="left" wrapText="1"/>
    </xf>
    <xf numFmtId="167" fontId="31" fillId="0" borderId="0" xfId="42" applyNumberFormat="1" applyFont="1" applyFill="1" applyBorder="1" applyAlignment="1">
      <alignment horizontal="left" wrapText="1"/>
    </xf>
    <xf numFmtId="1" fontId="28" fillId="0" borderId="0" xfId="0" applyNumberFormat="1" applyFont="1" applyBorder="1" applyAlignment="1">
      <alignment horizontal="left" wrapText="1"/>
    </xf>
    <xf numFmtId="1" fontId="29" fillId="0" borderId="0" xfId="0" applyNumberFormat="1" applyFont="1" applyBorder="1" applyAlignment="1">
      <alignment horizontal="left"/>
    </xf>
    <xf numFmtId="1" fontId="29" fillId="0" borderId="0" xfId="0" applyNumberFormat="1" applyFont="1" applyBorder="1" applyAlignment="1">
      <alignment horizontal="left" wrapText="1"/>
    </xf>
    <xf numFmtId="0" fontId="30" fillId="0" borderId="0" xfId="42" applyFont="1" applyBorder="1" applyAlignment="1">
      <alignment horizontal="left" wrapText="1"/>
    </xf>
    <xf numFmtId="0" fontId="28" fillId="0" borderId="0" xfId="0" applyFont="1" applyBorder="1" applyAlignment="1">
      <alignment horizontal="left" wrapText="1"/>
    </xf>
    <xf numFmtId="167" fontId="28" fillId="0" borderId="0" xfId="0" applyNumberFormat="1" applyFont="1" applyAlignment="1">
      <alignment horizontal="left"/>
    </xf>
    <xf numFmtId="1" fontId="28" fillId="0" borderId="0" xfId="0" applyNumberFormat="1" applyFont="1" applyAlignment="1">
      <alignment horizontal="left" wrapText="1"/>
    </xf>
    <xf numFmtId="0" fontId="30" fillId="0" borderId="0" xfId="42" applyFont="1" applyBorder="1" applyAlignment="1">
      <alignment horizontal="left"/>
    </xf>
    <xf numFmtId="1" fontId="30" fillId="0" borderId="0" xfId="42" applyNumberFormat="1" applyFont="1" applyBorder="1" applyAlignment="1">
      <alignment horizontal="left"/>
    </xf>
    <xf numFmtId="1" fontId="30" fillId="0" borderId="0" xfId="42" applyNumberFormat="1" applyFont="1" applyAlignment="1">
      <alignment horizontal="left"/>
    </xf>
    <xf numFmtId="0" fontId="28" fillId="0" borderId="0" xfId="0" applyFont="1" applyBorder="1" applyAlignment="1">
      <alignment horizontal="left"/>
    </xf>
    <xf numFmtId="167" fontId="28" fillId="0" borderId="0" xfId="0" applyNumberFormat="1" applyFont="1" applyBorder="1" applyAlignment="1">
      <alignment horizontal="left"/>
    </xf>
    <xf numFmtId="167" fontId="30" fillId="0" borderId="0" xfId="42" applyNumberFormat="1" applyFont="1" applyBorder="1" applyAlignment="1">
      <alignment horizontal="left"/>
    </xf>
    <xf numFmtId="0" fontId="29" fillId="0" borderId="11" xfId="0" applyFont="1" applyBorder="1" applyAlignment="1">
      <alignment horizontal="left" vertical="center" wrapText="1"/>
    </xf>
    <xf numFmtId="167" fontId="28" fillId="33" borderId="12" xfId="0" applyNumberFormat="1" applyFont="1" applyFill="1" applyBorder="1" applyAlignment="1">
      <alignment horizontal="left" vertical="center" wrapText="1"/>
    </xf>
    <xf numFmtId="167" fontId="28" fillId="33" borderId="13" xfId="0" applyNumberFormat="1" applyFont="1" applyFill="1" applyBorder="1" applyAlignment="1">
      <alignment horizontal="left" vertical="center" wrapText="1"/>
    </xf>
    <xf numFmtId="0" fontId="29" fillId="33" borderId="13" xfId="0" applyFont="1" applyFill="1" applyBorder="1" applyAlignment="1">
      <alignment horizontal="left" vertical="center"/>
    </xf>
    <xf numFmtId="0" fontId="29" fillId="33" borderId="13" xfId="0" applyFont="1" applyFill="1" applyBorder="1" applyAlignment="1">
      <alignment horizontal="left" vertical="center" wrapText="1"/>
    </xf>
    <xf numFmtId="0" fontId="29" fillId="33" borderId="13" xfId="0" applyFont="1" applyFill="1" applyBorder="1" applyAlignment="1">
      <alignment horizontal="left"/>
    </xf>
    <xf numFmtId="0" fontId="29" fillId="33" borderId="14" xfId="0" applyFont="1" applyFill="1" applyBorder="1" applyAlignment="1">
      <alignment horizontal="left"/>
    </xf>
    <xf numFmtId="0" fontId="29" fillId="33" borderId="11" xfId="0" applyFont="1" applyFill="1" applyBorder="1" applyAlignment="1">
      <alignment horizontal="left" vertical="center" wrapText="1"/>
    </xf>
    <xf numFmtId="0" fontId="29" fillId="33" borderId="11" xfId="0" applyFont="1" applyFill="1" applyBorder="1" applyAlignment="1">
      <alignment horizontal="left"/>
    </xf>
    <xf numFmtId="0" fontId="28" fillId="33" borderId="11" xfId="0" applyFont="1" applyFill="1" applyBorder="1" applyAlignment="1">
      <alignment horizontal="left" vertical="center"/>
    </xf>
    <xf numFmtId="0" fontId="29" fillId="33" borderId="11" xfId="0" applyFont="1" applyFill="1" applyBorder="1" applyAlignment="1">
      <alignment horizontal="left" vertical="center"/>
    </xf>
    <xf numFmtId="0" fontId="29" fillId="0" borderId="0" xfId="0" applyFont="1" applyAlignment="1">
      <alignment horizontal="left"/>
    </xf>
    <xf numFmtId="0" fontId="28" fillId="0" borderId="0" xfId="0" applyFont="1" applyAlignment="1">
      <alignment horizontal="left" vertical="center"/>
    </xf>
    <xf numFmtId="0" fontId="28" fillId="0" borderId="0" xfId="0" applyFont="1" applyAlignment="1">
      <alignment horizontal="left" wrapText="1"/>
    </xf>
    <xf numFmtId="0" fontId="29" fillId="0" borderId="0" xfId="0" applyFont="1" applyAlignment="1">
      <alignment horizontal="left" wrapText="1"/>
    </xf>
    <xf numFmtId="0" fontId="28" fillId="0" borderId="0" xfId="0" applyFont="1" applyAlignment="1">
      <alignment horizontal="left"/>
    </xf>
    <xf numFmtId="166" fontId="29" fillId="0" borderId="0" xfId="0" applyNumberFormat="1" applyFont="1" applyAlignment="1">
      <alignment horizontal="left"/>
    </xf>
  </cellXfs>
  <cellStyles count="112">
    <cellStyle name="20% - Accent1" xfId="19" builtinId="30" customBuiltin="1"/>
    <cellStyle name="20% - Accent1 2" xfId="68"/>
    <cellStyle name="20% - Accent2" xfId="23" builtinId="34" customBuiltin="1"/>
    <cellStyle name="20% - Accent2 2" xfId="79"/>
    <cellStyle name="20% - Accent3" xfId="27" builtinId="38" customBuiltin="1"/>
    <cellStyle name="20% - Accent3 2" xfId="63"/>
    <cellStyle name="20% - Accent4" xfId="31" builtinId="42" customBuiltin="1"/>
    <cellStyle name="20% - Accent4 2" xfId="70"/>
    <cellStyle name="20% - Accent5" xfId="35" builtinId="46" customBuiltin="1"/>
    <cellStyle name="20% - Accent5 2" xfId="77"/>
    <cellStyle name="20% - Accent6" xfId="39" builtinId="50" customBuiltin="1"/>
    <cellStyle name="20% - Accent6 2" xfId="61"/>
    <cellStyle name="40% - Accent1" xfId="20" builtinId="31" customBuiltin="1"/>
    <cellStyle name="40% - Accent1 2" xfId="64"/>
    <cellStyle name="40% - Accent2" xfId="24" builtinId="35" customBuiltin="1"/>
    <cellStyle name="40% - Accent2 2" xfId="75"/>
    <cellStyle name="40% - Accent3" xfId="28" builtinId="39" customBuiltin="1"/>
    <cellStyle name="40% - Accent3 2" xfId="82"/>
    <cellStyle name="40% - Accent4" xfId="32" builtinId="43" customBuiltin="1"/>
    <cellStyle name="40% - Accent4 2" xfId="66"/>
    <cellStyle name="40% - Accent5" xfId="36" builtinId="47" customBuiltin="1"/>
    <cellStyle name="40% - Accent5 2" xfId="73"/>
    <cellStyle name="40% - Accent6" xfId="40" builtinId="51" customBuiltin="1"/>
    <cellStyle name="40% - Accent6 2" xfId="85"/>
    <cellStyle name="60% - Accent1" xfId="21" builtinId="32" customBuiltin="1"/>
    <cellStyle name="60% - Accent1 2" xfId="60"/>
    <cellStyle name="60% - Accent2" xfId="25" builtinId="36" customBuiltin="1"/>
    <cellStyle name="60% - Accent2 2" xfId="71"/>
    <cellStyle name="60% - Accent3" xfId="29" builtinId="40" customBuiltin="1"/>
    <cellStyle name="60% - Accent3 2" xfId="78"/>
    <cellStyle name="60% - Accent4" xfId="33" builtinId="44" customBuiltin="1"/>
    <cellStyle name="60% - Accent4 2" xfId="62"/>
    <cellStyle name="60% - Accent5" xfId="37" builtinId="48" customBuiltin="1"/>
    <cellStyle name="60% - Accent5 2" xfId="69"/>
    <cellStyle name="60% - Accent6" xfId="41" builtinId="52" customBuiltin="1"/>
    <cellStyle name="60% - Accent6 2" xfId="86"/>
    <cellStyle name="Accent1" xfId="18" builtinId="29" customBuiltin="1"/>
    <cellStyle name="Accent1 2" xfId="72"/>
    <cellStyle name="Accent2" xfId="22" builtinId="33" customBuiltin="1"/>
    <cellStyle name="Accent2 2" xfId="83"/>
    <cellStyle name="Accent3" xfId="26" builtinId="37" customBuiltin="1"/>
    <cellStyle name="Accent3 2" xfId="67"/>
    <cellStyle name="Accent4" xfId="30" builtinId="41" customBuiltin="1"/>
    <cellStyle name="Accent4 2" xfId="74"/>
    <cellStyle name="Accent5" xfId="34" builtinId="45" customBuiltin="1"/>
    <cellStyle name="Accent5 2" xfId="81"/>
    <cellStyle name="Accent6" xfId="38" builtinId="49" customBuiltin="1"/>
    <cellStyle name="Accent6 2" xfId="65"/>
    <cellStyle name="Bad" xfId="7" builtinId="27" customBuiltin="1"/>
    <cellStyle name="Bad 2" xfId="49"/>
    <cellStyle name="Calculation" xfId="11" builtinId="22" customBuiltin="1"/>
    <cellStyle name="Calculation 2" xfId="50"/>
    <cellStyle name="Check Cell" xfId="13" builtinId="23" customBuiltin="1"/>
    <cellStyle name="Check Cell 2" xfId="57"/>
    <cellStyle name="Excel Built-in Normal" xfId="87"/>
    <cellStyle name="Explanatory Text" xfId="16" builtinId="53" customBuiltin="1"/>
    <cellStyle name="Explanatory Text 2" xfId="80"/>
    <cellStyle name="Good" xfId="6" builtinId="26" customBuiltin="1"/>
    <cellStyle name="Good 2" xfId="53"/>
    <cellStyle name="Heading" xfId="89"/>
    <cellStyle name="Heading 1" xfId="2" builtinId="16" customBuiltin="1"/>
    <cellStyle name="Heading 1 2" xfId="58"/>
    <cellStyle name="Heading 2" xfId="3" builtinId="17" customBuiltin="1"/>
    <cellStyle name="Heading 2 2" xfId="43"/>
    <cellStyle name="Heading 3" xfId="4" builtinId="18" customBuiltin="1"/>
    <cellStyle name="Heading 3 2" xfId="52"/>
    <cellStyle name="Heading 4" xfId="5" builtinId="19" customBuiltin="1"/>
    <cellStyle name="Heading 4 2" xfId="56"/>
    <cellStyle name="Heading1" xfId="90"/>
    <cellStyle name="Input" xfId="9" builtinId="20" customBuiltin="1"/>
    <cellStyle name="Input 2" xfId="47"/>
    <cellStyle name="Linked Cell" xfId="12" builtinId="24" customBuiltin="1"/>
    <cellStyle name="Linked Cell 2" xfId="59"/>
    <cellStyle name="Neutral" xfId="8" builtinId="28" customBuiltin="1"/>
    <cellStyle name="Neutral 2" xfId="48"/>
    <cellStyle name="Normal" xfId="0" builtinId="0"/>
    <cellStyle name="Normal 2" xfId="42"/>
    <cellStyle name="Normal 2 10" xfId="109"/>
    <cellStyle name="Normal 2 11" xfId="99"/>
    <cellStyle name="Normal 2 12" xfId="111"/>
    <cellStyle name="Normal 2 13" xfId="106"/>
    <cellStyle name="Normal 2 14" xfId="98"/>
    <cellStyle name="Normal 2 15" xfId="97"/>
    <cellStyle name="Normal 2 16" xfId="102"/>
    <cellStyle name="Normal 2 17" xfId="105"/>
    <cellStyle name="Normal 2 18" xfId="110"/>
    <cellStyle name="Normal 2 2" xfId="88"/>
    <cellStyle name="Normal 2 2 2" xfId="95"/>
    <cellStyle name="Normal 2 3" xfId="96"/>
    <cellStyle name="Normal 2 4" xfId="108"/>
    <cellStyle name="Normal 2 5" xfId="100"/>
    <cellStyle name="Normal 2 6" xfId="104"/>
    <cellStyle name="Normal 2 7" xfId="103"/>
    <cellStyle name="Normal 2 8" xfId="101"/>
    <cellStyle name="Normal 2 9" xfId="107"/>
    <cellStyle name="Normal 3" xfId="93"/>
    <cellStyle name="Normal 4" xfId="44"/>
    <cellStyle name="Normal 5" xfId="45"/>
    <cellStyle name="Normal 6" xfId="84"/>
    <cellStyle name="Note" xfId="15" builtinId="10" customBuiltin="1"/>
    <cellStyle name="Note 2" xfId="51"/>
    <cellStyle name="Output" xfId="10" builtinId="21" customBuiltin="1"/>
    <cellStyle name="Output 2" xfId="46"/>
    <cellStyle name="Percent 2" xfId="94"/>
    <cellStyle name="Result" xfId="91"/>
    <cellStyle name="Result2" xfId="92"/>
    <cellStyle name="Title" xfId="1" builtinId="15" customBuiltin="1"/>
    <cellStyle name="Title 2" xfId="54"/>
    <cellStyle name="Total" xfId="17" builtinId="25" customBuiltin="1"/>
    <cellStyle name="Total 2" xfId="76"/>
    <cellStyle name="Warning Text" xfId="14" builtinId="11" customBuiltin="1"/>
    <cellStyle name="Warning Text 2" xfId="5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tabSelected="1" topLeftCell="A24" zoomScaleNormal="100" workbookViewId="0">
      <selection activeCell="C26" sqref="C26"/>
    </sheetView>
  </sheetViews>
  <sheetFormatPr defaultColWidth="8.88671875" defaultRowHeight="15.6"/>
  <cols>
    <col min="1" max="1" width="30.6640625" style="7" customWidth="1"/>
    <col min="2" max="2" width="13.5546875" style="7" customWidth="1"/>
    <col min="3" max="3" width="52.5546875" style="7" customWidth="1"/>
    <col min="4" max="4" width="46.33203125" style="7" customWidth="1"/>
    <col min="5" max="8" width="8.88671875" style="7"/>
    <col min="9" max="11" width="12" style="7" bestFit="1" customWidth="1"/>
    <col min="12" max="12" width="8.88671875" style="7"/>
    <col min="13" max="13" width="12" style="7" bestFit="1" customWidth="1"/>
    <col min="14" max="16384" width="8.88671875" style="7"/>
  </cols>
  <sheetData>
    <row r="1" spans="1:10" ht="54.9" customHeight="1">
      <c r="A1" s="65" t="s">
        <v>132</v>
      </c>
      <c r="B1" s="65" t="s">
        <v>110</v>
      </c>
      <c r="C1" s="66"/>
      <c r="D1" s="66"/>
      <c r="E1" s="64"/>
      <c r="F1" s="64"/>
      <c r="G1" s="64"/>
      <c r="H1" s="64"/>
      <c r="I1" s="64"/>
      <c r="J1" s="64"/>
    </row>
    <row r="3" spans="1:10">
      <c r="B3" s="3" t="s">
        <v>46</v>
      </c>
      <c r="C3" s="3" t="s">
        <v>8</v>
      </c>
    </row>
    <row r="4" spans="1:10" ht="32.25" customHeight="1">
      <c r="A4" s="8" t="s">
        <v>69</v>
      </c>
      <c r="B4" s="5" t="s">
        <v>70</v>
      </c>
      <c r="C4" s="5"/>
    </row>
    <row r="5" spans="1:10" ht="66" customHeight="1">
      <c r="B5" s="7">
        <v>210</v>
      </c>
      <c r="C5" s="12" t="s">
        <v>152</v>
      </c>
    </row>
    <row r="6" spans="1:10" ht="98.25" customHeight="1">
      <c r="B6" s="7">
        <v>150</v>
      </c>
      <c r="C6" s="12" t="s">
        <v>153</v>
      </c>
    </row>
    <row r="7" spans="1:10">
      <c r="A7" s="7" t="s">
        <v>32</v>
      </c>
      <c r="B7" s="6">
        <f>AVERAGE(B5:B6)</f>
        <v>180</v>
      </c>
    </row>
    <row r="8" spans="1:10">
      <c r="A8" s="7" t="s">
        <v>75</v>
      </c>
      <c r="B8" s="9">
        <f>STDEV(B5:B6)</f>
        <v>42.426406871192853</v>
      </c>
    </row>
    <row r="9" spans="1:10">
      <c r="A9" s="6"/>
      <c r="B9" s="6"/>
    </row>
    <row r="10" spans="1:10">
      <c r="A10" s="8" t="s">
        <v>71</v>
      </c>
      <c r="B10" s="7" t="s">
        <v>73</v>
      </c>
    </row>
    <row r="11" spans="1:10" ht="46.8">
      <c r="B11" s="10" t="s">
        <v>74</v>
      </c>
      <c r="C11" s="12" t="s">
        <v>136</v>
      </c>
    </row>
    <row r="12" spans="1:10" ht="71.25" customHeight="1">
      <c r="B12" s="7">
        <v>20</v>
      </c>
      <c r="C12" s="12" t="s">
        <v>145</v>
      </c>
    </row>
    <row r="13" spans="1:10" ht="70.5" customHeight="1">
      <c r="B13" s="7">
        <v>6</v>
      </c>
      <c r="C13" s="12" t="s">
        <v>146</v>
      </c>
    </row>
    <row r="14" spans="1:10" ht="26.25" customHeight="1">
      <c r="A14" s="6" t="s">
        <v>32</v>
      </c>
      <c r="B14" s="11">
        <f>AVERAGE(B11:B13)</f>
        <v>13</v>
      </c>
    </row>
    <row r="15" spans="1:10">
      <c r="A15" s="7" t="s">
        <v>75</v>
      </c>
      <c r="B15" s="9">
        <f>STDEV(B11:B13)</f>
        <v>9.8994949366116654</v>
      </c>
    </row>
    <row r="17" spans="1:13">
      <c r="A17" s="8" t="s">
        <v>113</v>
      </c>
      <c r="B17" s="7" t="s">
        <v>72</v>
      </c>
    </row>
    <row r="18" spans="1:13" ht="62.4">
      <c r="B18" s="6">
        <v>270</v>
      </c>
      <c r="C18" s="12" t="s">
        <v>137</v>
      </c>
    </row>
    <row r="19" spans="1:13" ht="62.4">
      <c r="A19" s="7" t="s">
        <v>75</v>
      </c>
      <c r="B19" s="9">
        <v>40</v>
      </c>
      <c r="C19" s="12" t="s">
        <v>138</v>
      </c>
    </row>
    <row r="20" spans="1:13">
      <c r="A20" s="67"/>
      <c r="B20" s="68"/>
      <c r="C20" s="68"/>
    </row>
    <row r="21" spans="1:13">
      <c r="A21" s="69" t="s">
        <v>117</v>
      </c>
      <c r="B21" s="68"/>
      <c r="C21" s="68"/>
    </row>
    <row r="22" spans="1:13" ht="62.4">
      <c r="A22" s="67"/>
      <c r="B22" s="67">
        <v>0.89</v>
      </c>
      <c r="C22" s="70" t="s">
        <v>162</v>
      </c>
    </row>
    <row r="23" spans="1:13" ht="93.6">
      <c r="A23" s="67"/>
      <c r="B23" s="67">
        <v>1.5</v>
      </c>
      <c r="C23" s="70" t="s">
        <v>163</v>
      </c>
    </row>
    <row r="24" spans="1:13" ht="62.4">
      <c r="A24" s="67"/>
      <c r="B24" s="67">
        <v>0.94</v>
      </c>
      <c r="C24" s="70" t="s">
        <v>164</v>
      </c>
    </row>
    <row r="25" spans="1:13">
      <c r="A25" s="67"/>
      <c r="B25" s="67"/>
      <c r="C25" s="67"/>
    </row>
    <row r="26" spans="1:13">
      <c r="A26" s="67" t="s">
        <v>32</v>
      </c>
      <c r="B26" s="71">
        <v>1.2</v>
      </c>
      <c r="C26" s="67"/>
    </row>
    <row r="27" spans="1:13">
      <c r="A27" s="67" t="s">
        <v>75</v>
      </c>
      <c r="B27" s="72">
        <v>0.33867388443752172</v>
      </c>
      <c r="C27" s="67"/>
    </row>
    <row r="29" spans="1:13" ht="46.8">
      <c r="A29" s="8" t="s">
        <v>76</v>
      </c>
      <c r="B29" s="8" t="s">
        <v>111</v>
      </c>
      <c r="C29" s="8" t="s">
        <v>112</v>
      </c>
      <c r="D29" s="6" t="s">
        <v>8</v>
      </c>
      <c r="J29" s="12"/>
      <c r="K29" s="12"/>
    </row>
    <row r="30" spans="1:13" ht="124.8">
      <c r="B30" s="7">
        <v>5.9810000000000002E-2</v>
      </c>
      <c r="C30" s="7">
        <v>8.3999999999999995E-3</v>
      </c>
      <c r="D30" s="12" t="s">
        <v>139</v>
      </c>
      <c r="K30" s="13"/>
      <c r="M30" s="14"/>
    </row>
    <row r="31" spans="1:13">
      <c r="D31" s="12"/>
      <c r="K31" s="13"/>
      <c r="M31" s="14"/>
    </row>
    <row r="32" spans="1:13" ht="31.2">
      <c r="A32" s="6" t="s">
        <v>77</v>
      </c>
      <c r="B32" s="8" t="s">
        <v>122</v>
      </c>
      <c r="C32" s="71" t="s">
        <v>8</v>
      </c>
      <c r="K32" s="15"/>
      <c r="L32" s="6"/>
      <c r="M32" s="16"/>
    </row>
    <row r="33" spans="1:13" ht="78">
      <c r="A33" s="6"/>
      <c r="B33" s="7">
        <v>0.39</v>
      </c>
      <c r="C33" s="12" t="s">
        <v>147</v>
      </c>
      <c r="K33" s="13"/>
      <c r="M33" s="14"/>
    </row>
    <row r="34" spans="1:13" ht="46.8">
      <c r="A34" s="6"/>
      <c r="B34" s="7">
        <v>0.36</v>
      </c>
      <c r="C34" s="12" t="s">
        <v>148</v>
      </c>
      <c r="K34" s="13"/>
      <c r="M34" s="14"/>
    </row>
    <row r="35" spans="1:13" ht="78">
      <c r="A35" s="6"/>
      <c r="B35" s="7">
        <v>0.3</v>
      </c>
      <c r="C35" s="12" t="s">
        <v>149</v>
      </c>
      <c r="K35" s="13"/>
      <c r="M35" s="14"/>
    </row>
    <row r="36" spans="1:13" ht="46.8">
      <c r="A36" s="6"/>
      <c r="B36" s="7">
        <v>0.28000000000000003</v>
      </c>
      <c r="C36" s="12" t="s">
        <v>150</v>
      </c>
      <c r="K36" s="13"/>
      <c r="M36" s="14"/>
    </row>
    <row r="37" spans="1:13">
      <c r="A37" s="6" t="s">
        <v>32</v>
      </c>
      <c r="B37" s="16">
        <f>AVERAGE(B33:B36)</f>
        <v>0.33250000000000002</v>
      </c>
      <c r="K37" s="13"/>
      <c r="M37" s="14"/>
    </row>
    <row r="38" spans="1:13">
      <c r="D38" s="12"/>
      <c r="K38" s="13"/>
      <c r="M38" s="14"/>
    </row>
    <row r="39" spans="1:13" ht="46.8">
      <c r="A39" s="8" t="s">
        <v>88</v>
      </c>
      <c r="B39" s="8" t="s">
        <v>123</v>
      </c>
      <c r="C39" s="6" t="s">
        <v>130</v>
      </c>
      <c r="D39" s="6" t="s">
        <v>8</v>
      </c>
    </row>
    <row r="40" spans="1:13" ht="156">
      <c r="A40" s="6"/>
      <c r="B40" s="13">
        <f>B30*6.022E+23*B37*0.000000000001/1000000000</f>
        <v>11.975846015000002</v>
      </c>
      <c r="C40" s="13">
        <f>C30*6.022E+23*B37*0.000000000001/1000000000</f>
        <v>1.6819445999999998</v>
      </c>
      <c r="D40" s="12" t="s">
        <v>140</v>
      </c>
      <c r="K40" s="13"/>
      <c r="M40" s="14"/>
    </row>
    <row r="41" spans="1:13">
      <c r="A41" s="6"/>
      <c r="J41" s="6"/>
      <c r="M41" s="16"/>
    </row>
    <row r="42" spans="1:13" ht="31.2">
      <c r="A42" s="8" t="s">
        <v>165</v>
      </c>
      <c r="B42" s="14">
        <f>(B40*0.3)+C40</f>
        <v>5.2746984045000005</v>
      </c>
      <c r="D42" s="7" t="s">
        <v>160</v>
      </c>
      <c r="J42" s="12"/>
      <c r="K42" s="14"/>
      <c r="M42" s="14"/>
    </row>
    <row r="43" spans="1:13">
      <c r="A43" s="6"/>
      <c r="K43" s="14"/>
      <c r="M43" s="14"/>
    </row>
    <row r="44" spans="1:13" ht="46.8">
      <c r="A44" s="8" t="s">
        <v>124</v>
      </c>
      <c r="B44" s="15">
        <f>B42/0.3</f>
        <v>17.582328015000002</v>
      </c>
      <c r="K44" s="14"/>
      <c r="M44" s="14"/>
    </row>
    <row r="45" spans="1:13">
      <c r="A45" s="7" t="s">
        <v>159</v>
      </c>
      <c r="B45" s="7">
        <v>4</v>
      </c>
      <c r="K45" s="14"/>
      <c r="M45" s="16"/>
    </row>
    <row r="46" spans="1:13" s="67" customFormat="1">
      <c r="K46" s="14"/>
      <c r="M46" s="16"/>
    </row>
    <row r="47" spans="1:13" ht="31.2">
      <c r="A47" s="8" t="s">
        <v>78</v>
      </c>
      <c r="B47" s="6" t="s">
        <v>46</v>
      </c>
      <c r="C47" s="6" t="s">
        <v>83</v>
      </c>
      <c r="D47" s="6" t="s">
        <v>8</v>
      </c>
      <c r="K47" s="15"/>
      <c r="L47" s="13"/>
      <c r="M47" s="15"/>
    </row>
    <row r="48" spans="1:13" ht="78">
      <c r="A48" s="12" t="s">
        <v>79</v>
      </c>
      <c r="B48" s="9">
        <v>3270000</v>
      </c>
      <c r="C48" s="7" t="s">
        <v>125</v>
      </c>
      <c r="D48" s="12" t="s">
        <v>143</v>
      </c>
    </row>
    <row r="49" spans="1:4" ht="62.4">
      <c r="A49" s="7" t="s">
        <v>80</v>
      </c>
      <c r="B49" s="14">
        <v>1.1299999999999999</v>
      </c>
      <c r="C49" s="7" t="s">
        <v>126</v>
      </c>
      <c r="D49" s="12" t="s">
        <v>141</v>
      </c>
    </row>
    <row r="50" spans="1:4" ht="46.8">
      <c r="A50" s="7" t="s">
        <v>81</v>
      </c>
      <c r="B50" s="7">
        <v>13</v>
      </c>
      <c r="C50" s="7" t="s">
        <v>129</v>
      </c>
      <c r="D50" s="12" t="s">
        <v>142</v>
      </c>
    </row>
    <row r="51" spans="1:4" ht="124.8">
      <c r="A51" s="7" t="s">
        <v>82</v>
      </c>
      <c r="B51" s="7">
        <v>1.2E-2</v>
      </c>
      <c r="C51" s="7" t="s">
        <v>127</v>
      </c>
      <c r="D51" s="12" t="s">
        <v>151</v>
      </c>
    </row>
    <row r="53" spans="1:4" ht="109.2">
      <c r="A53" s="7" t="s">
        <v>84</v>
      </c>
      <c r="B53" s="17">
        <f>B48*B51*B49/B50</f>
        <v>3410.8615384615382</v>
      </c>
      <c r="C53" s="7" t="s">
        <v>128</v>
      </c>
      <c r="D53" s="12" t="s">
        <v>144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zoomScaleNormal="100" workbookViewId="0">
      <selection activeCell="I36" sqref="I36"/>
    </sheetView>
  </sheetViews>
  <sheetFormatPr defaultColWidth="8.88671875" defaultRowHeight="15.6"/>
  <cols>
    <col min="1" max="1" width="30.6640625" style="4" customWidth="1"/>
    <col min="2" max="2" width="15.44140625" style="4" customWidth="1"/>
    <col min="3" max="3" width="20" style="4" customWidth="1"/>
    <col min="4" max="4" width="11.5546875" style="4" bestFit="1" customWidth="1"/>
    <col min="5" max="5" width="20.44140625" style="4" customWidth="1"/>
    <col min="6" max="6" width="11.5546875" style="4" bestFit="1" customWidth="1"/>
    <col min="7" max="7" width="8.88671875" style="4"/>
    <col min="8" max="8" width="26.109375" style="4" customWidth="1"/>
    <col min="9" max="9" width="14.44140625" style="4" customWidth="1"/>
    <col min="10" max="11" width="11.5546875" style="4" bestFit="1" customWidth="1"/>
    <col min="12" max="12" width="33.88671875" style="4" customWidth="1"/>
    <col min="13" max="13" width="8.88671875" style="4"/>
    <col min="14" max="14" width="11.88671875" style="4" customWidth="1"/>
    <col min="15" max="16384" width="8.88671875" style="4"/>
  </cols>
  <sheetData>
    <row r="1" spans="1:16" ht="54.9" customHeight="1">
      <c r="A1" s="65" t="s">
        <v>133</v>
      </c>
      <c r="B1" s="65" t="s">
        <v>94</v>
      </c>
      <c r="C1" s="66"/>
      <c r="D1" s="66"/>
      <c r="E1" s="66"/>
      <c r="F1" s="66" t="s">
        <v>97</v>
      </c>
      <c r="G1" s="66"/>
      <c r="H1" s="66"/>
      <c r="I1" s="66"/>
      <c r="J1" s="63"/>
      <c r="K1" s="63"/>
      <c r="L1" s="63"/>
      <c r="M1" s="63"/>
      <c r="N1" s="63"/>
      <c r="O1" s="56"/>
      <c r="P1" s="56"/>
    </row>
    <row r="2" spans="1:16" ht="34.950000000000003" customHeight="1"/>
    <row r="3" spans="1:16">
      <c r="A3" s="2" t="s">
        <v>1</v>
      </c>
      <c r="B3" s="2">
        <v>0.11</v>
      </c>
      <c r="C3" s="2">
        <v>0.21</v>
      </c>
      <c r="D3" s="2">
        <v>0.31</v>
      </c>
      <c r="E3" s="2">
        <v>0.41</v>
      </c>
      <c r="F3" s="2">
        <v>0.49</v>
      </c>
    </row>
    <row r="4" spans="1:16" ht="31.2">
      <c r="A4" s="23" t="s">
        <v>0</v>
      </c>
      <c r="B4" s="23" t="s">
        <v>2</v>
      </c>
      <c r="C4" s="24"/>
      <c r="D4" s="24"/>
      <c r="E4" s="24"/>
      <c r="F4" s="24"/>
      <c r="H4" s="24"/>
      <c r="I4" s="24"/>
      <c r="J4" s="24"/>
      <c r="K4" s="24"/>
      <c r="L4" s="24"/>
    </row>
    <row r="5" spans="1:16">
      <c r="A5" s="25" t="s">
        <v>90</v>
      </c>
      <c r="B5" s="25">
        <v>957.43166038888535</v>
      </c>
      <c r="C5" s="25">
        <v>1013.2511792656593</v>
      </c>
      <c r="D5" s="25">
        <v>1136.3058598290604</v>
      </c>
      <c r="E5" s="25">
        <v>1092.4428387096773</v>
      </c>
      <c r="F5" s="25">
        <v>851.27617294098366</v>
      </c>
      <c r="H5" s="25"/>
      <c r="I5" s="26"/>
      <c r="J5" s="26"/>
      <c r="K5" s="26"/>
      <c r="L5" s="26"/>
    </row>
    <row r="6" spans="1:16">
      <c r="A6" s="25" t="s">
        <v>91</v>
      </c>
      <c r="B6" s="25">
        <v>2995.5901374325604</v>
      </c>
      <c r="C6" s="25">
        <v>4223.2551187904955</v>
      </c>
      <c r="D6" s="25">
        <v>4624.9993162393148</v>
      </c>
      <c r="E6" s="25">
        <v>4326.4841998734955</v>
      </c>
      <c r="F6" s="25">
        <v>2393.2349169817498</v>
      </c>
      <c r="H6" s="25"/>
      <c r="I6" s="24"/>
      <c r="J6" s="24"/>
      <c r="K6" s="24"/>
      <c r="L6" s="24"/>
    </row>
    <row r="7" spans="1:16">
      <c r="A7" s="25" t="s">
        <v>92</v>
      </c>
      <c r="B7" s="25">
        <v>812.43931181919993</v>
      </c>
      <c r="C7" s="25">
        <v>1218.431792656585</v>
      </c>
      <c r="D7" s="25">
        <v>1393.93333333333</v>
      </c>
      <c r="E7" s="25">
        <v>1472.65578747628</v>
      </c>
      <c r="F7" s="25">
        <v>1889.3104060496451</v>
      </c>
      <c r="G7" s="4" t="s">
        <v>3</v>
      </c>
      <c r="H7" s="25"/>
      <c r="I7" s="24"/>
      <c r="J7" s="24"/>
      <c r="K7" s="24"/>
      <c r="L7" s="24"/>
    </row>
    <row r="8" spans="1:16">
      <c r="A8" s="25" t="s">
        <v>93</v>
      </c>
      <c r="B8" s="27">
        <v>1228.1299643693401</v>
      </c>
      <c r="C8" s="27">
        <v>1280.5910669546399</v>
      </c>
      <c r="D8" s="27">
        <v>1134.75364102564</v>
      </c>
      <c r="E8" s="27">
        <v>807.38611005692587</v>
      </c>
      <c r="F8" s="27">
        <v>692.69294755877002</v>
      </c>
      <c r="H8" s="25"/>
      <c r="I8" s="24"/>
      <c r="J8" s="24"/>
      <c r="K8" s="24"/>
      <c r="L8" s="24"/>
    </row>
    <row r="9" spans="1:16">
      <c r="A9" s="25" t="s">
        <v>89</v>
      </c>
      <c r="B9" s="25">
        <v>3511.6848343683196</v>
      </c>
      <c r="C9" s="25">
        <v>4022.4568259179237</v>
      </c>
      <c r="D9" s="25">
        <v>4199.8683715099714</v>
      </c>
      <c r="E9" s="25">
        <v>3719.9491157495258</v>
      </c>
      <c r="F9" s="25">
        <v>3275.632505890736</v>
      </c>
      <c r="H9" s="25"/>
      <c r="I9" s="24"/>
      <c r="J9" s="24"/>
      <c r="K9" s="24"/>
      <c r="L9" s="24"/>
    </row>
    <row r="10" spans="1:16">
      <c r="B10" s="25"/>
      <c r="C10" s="25"/>
      <c r="D10" s="25"/>
      <c r="E10" s="25"/>
      <c r="F10" s="25"/>
    </row>
    <row r="11" spans="1:16" ht="62.4">
      <c r="A11" s="23" t="s">
        <v>21</v>
      </c>
      <c r="B11" s="2" t="s">
        <v>4</v>
      </c>
      <c r="H11" s="2" t="s">
        <v>5</v>
      </c>
      <c r="I11" s="2" t="s">
        <v>85</v>
      </c>
      <c r="J11" s="23" t="s">
        <v>21</v>
      </c>
      <c r="K11" s="2" t="s">
        <v>18</v>
      </c>
      <c r="L11" s="2" t="s">
        <v>8</v>
      </c>
      <c r="N11" s="2" t="s">
        <v>19</v>
      </c>
    </row>
    <row r="12" spans="1:16" ht="78">
      <c r="A12" s="25" t="s">
        <v>90</v>
      </c>
      <c r="B12" s="24">
        <f>B5/B9</f>
        <v>0.27264168214033585</v>
      </c>
      <c r="C12" s="24">
        <f t="shared" ref="C12:F12" si="0">C5/C9</f>
        <v>0.25189858415309047</v>
      </c>
      <c r="D12" s="24">
        <f t="shared" si="0"/>
        <v>0.27055749354842906</v>
      </c>
      <c r="E12" s="24">
        <f t="shared" si="0"/>
        <v>0.29367144676374501</v>
      </c>
      <c r="F12" s="24">
        <f t="shared" si="0"/>
        <v>0.25988146454466138</v>
      </c>
      <c r="G12" s="24"/>
      <c r="H12" s="24">
        <f>AVERAGE(B12:F12)</f>
        <v>0.26973013423005232</v>
      </c>
      <c r="I12" s="4">
        <v>0.25</v>
      </c>
      <c r="J12" s="25" t="s">
        <v>90</v>
      </c>
      <c r="K12" s="25">
        <v>80</v>
      </c>
      <c r="L12" s="4" t="s">
        <v>154</v>
      </c>
      <c r="N12" s="28">
        <f>K12*I12</f>
        <v>20</v>
      </c>
    </row>
    <row r="13" spans="1:16" ht="140.4">
      <c r="A13" s="25" t="s">
        <v>91</v>
      </c>
      <c r="B13" s="24">
        <v>0.85303501843764007</v>
      </c>
      <c r="C13" s="24">
        <v>1.0499193158715259</v>
      </c>
      <c r="D13" s="24">
        <v>1.1012248259048407</v>
      </c>
      <c r="E13" s="24">
        <v>1.1630492959046188</v>
      </c>
      <c r="F13" s="24">
        <v>0.73061764794367934</v>
      </c>
      <c r="G13" s="24"/>
      <c r="H13" s="24">
        <f t="shared" ref="H13:H16" si="1">AVERAGE(B13:F13)</f>
        <v>0.97956922081246101</v>
      </c>
      <c r="I13" s="4">
        <v>1</v>
      </c>
      <c r="J13" s="25" t="s">
        <v>91</v>
      </c>
      <c r="K13" s="25">
        <v>10</v>
      </c>
      <c r="L13" s="4" t="s">
        <v>155</v>
      </c>
      <c r="N13" s="28">
        <f>K13*I13</f>
        <v>10</v>
      </c>
    </row>
    <row r="14" spans="1:16" ht="124.8">
      <c r="A14" s="25" t="s">
        <v>92</v>
      </c>
      <c r="B14" s="24">
        <v>0.23135313962915502</v>
      </c>
      <c r="C14" s="24">
        <v>0.30290736368028987</v>
      </c>
      <c r="D14" s="24">
        <v>0.33189929065138096</v>
      </c>
      <c r="E14" s="24">
        <v>0.39588062676485219</v>
      </c>
      <c r="F14" s="24">
        <v>0.57677727970155457</v>
      </c>
      <c r="G14" s="24"/>
      <c r="H14" s="24">
        <f t="shared" si="1"/>
        <v>0.36776354008544654</v>
      </c>
      <c r="I14" s="24">
        <v>0.33300000000000002</v>
      </c>
      <c r="J14" s="25" t="s">
        <v>92</v>
      </c>
      <c r="K14" s="25">
        <v>35</v>
      </c>
      <c r="L14" s="4" t="s">
        <v>156</v>
      </c>
      <c r="N14" s="28">
        <f>12</f>
        <v>12</v>
      </c>
    </row>
    <row r="15" spans="1:16" ht="124.8">
      <c r="A15" s="25" t="s">
        <v>93</v>
      </c>
      <c r="B15" s="24">
        <v>0.34972670450087689</v>
      </c>
      <c r="C15" s="24">
        <v>0.31836042557458882</v>
      </c>
      <c r="D15" s="24">
        <v>0.27018790605993775</v>
      </c>
      <c r="E15" s="24">
        <v>0.21704224572282815</v>
      </c>
      <c r="F15" s="24">
        <v>0.21146845572971484</v>
      </c>
      <c r="G15" s="24"/>
      <c r="H15" s="24">
        <f t="shared" si="1"/>
        <v>0.27335714751758927</v>
      </c>
      <c r="I15" s="4">
        <v>0.25</v>
      </c>
      <c r="J15" s="25" t="s">
        <v>93</v>
      </c>
      <c r="K15" s="25">
        <v>30</v>
      </c>
      <c r="L15" s="4" t="s">
        <v>157</v>
      </c>
      <c r="N15" s="28">
        <f>K15*I15</f>
        <v>7.5</v>
      </c>
    </row>
    <row r="16" spans="1:16" ht="109.2">
      <c r="A16" s="25" t="s">
        <v>89</v>
      </c>
      <c r="B16" s="4">
        <v>1</v>
      </c>
      <c r="C16" s="4">
        <v>1</v>
      </c>
      <c r="D16" s="4">
        <v>1</v>
      </c>
      <c r="E16" s="4">
        <v>1</v>
      </c>
      <c r="F16" s="4">
        <v>1</v>
      </c>
      <c r="H16" s="4">
        <f t="shared" si="1"/>
        <v>1</v>
      </c>
      <c r="I16" s="4">
        <v>1</v>
      </c>
      <c r="J16" s="25" t="s">
        <v>89</v>
      </c>
      <c r="K16" s="25">
        <v>35</v>
      </c>
      <c r="L16" s="4" t="s">
        <v>158</v>
      </c>
      <c r="N16" s="28">
        <f>K16*I16</f>
        <v>35</v>
      </c>
    </row>
    <row r="17" spans="1:14" ht="62.4">
      <c r="M17" s="2" t="s">
        <v>87</v>
      </c>
      <c r="N17" s="29">
        <f>SUM(N12:N16)</f>
        <v>84.5</v>
      </c>
    </row>
    <row r="18" spans="1:14" ht="78">
      <c r="A18" s="24"/>
      <c r="B18" s="2" t="s">
        <v>20</v>
      </c>
      <c r="C18" s="27"/>
    </row>
    <row r="19" spans="1:14">
      <c r="A19" s="25"/>
      <c r="B19" s="30">
        <f>B5*K12</f>
        <v>76594.532831110831</v>
      </c>
      <c r="C19" s="30">
        <f>C5*K12</f>
        <v>81060.094341252741</v>
      </c>
      <c r="D19" s="31">
        <f>D5*K12</f>
        <v>90904.46878632484</v>
      </c>
      <c r="E19" s="30">
        <f>E5*K12</f>
        <v>87395.42709677419</v>
      </c>
      <c r="F19" s="30">
        <f>F5*K12</f>
        <v>68102.093835278691</v>
      </c>
    </row>
    <row r="20" spans="1:14">
      <c r="A20" s="25"/>
      <c r="B20" s="30">
        <f>B6*K13</f>
        <v>29955.901374325604</v>
      </c>
      <c r="C20" s="30">
        <f>C6*K13</f>
        <v>42232.551187904959</v>
      </c>
      <c r="D20" s="31">
        <f>D6*K13</f>
        <v>46249.993162393148</v>
      </c>
      <c r="E20" s="30">
        <f>E6*K13</f>
        <v>43264.841998734955</v>
      </c>
      <c r="F20" s="30">
        <f>F6*K13</f>
        <v>23932.349169817498</v>
      </c>
    </row>
    <row r="21" spans="1:14">
      <c r="A21" s="25"/>
      <c r="B21" s="30">
        <f>B7*K14</f>
        <v>28435.375913671996</v>
      </c>
      <c r="C21" s="30">
        <f>C7*K14</f>
        <v>42645.112742980476</v>
      </c>
      <c r="D21" s="31">
        <f>D7*K14</f>
        <v>48787.666666666548</v>
      </c>
      <c r="E21" s="30">
        <f>E7*K14</f>
        <v>51542.952561669801</v>
      </c>
      <c r="F21" s="30">
        <f>F7*K14</f>
        <v>66125.864211737571</v>
      </c>
      <c r="H21" s="23"/>
      <c r="I21" s="23"/>
      <c r="J21" s="23"/>
      <c r="K21" s="23"/>
    </row>
    <row r="22" spans="1:14">
      <c r="A22" s="25"/>
      <c r="B22" s="30">
        <f>B8*K15</f>
        <v>36843.898931080199</v>
      </c>
      <c r="C22" s="30">
        <f>C8*K15</f>
        <v>38417.732008639199</v>
      </c>
      <c r="D22" s="31">
        <f>D8*K15</f>
        <v>34042.609230769202</v>
      </c>
      <c r="E22" s="30">
        <f>E8*K15</f>
        <v>24221.583301707775</v>
      </c>
      <c r="F22" s="30">
        <f>F8*K15</f>
        <v>20780.788426763102</v>
      </c>
    </row>
    <row r="23" spans="1:14">
      <c r="A23" s="25"/>
      <c r="B23" s="30">
        <f>B9*K16</f>
        <v>122908.96920289118</v>
      </c>
      <c r="C23" s="30">
        <f>C9*K16</f>
        <v>140785.98890712732</v>
      </c>
      <c r="D23" s="31">
        <f>D9*K16</f>
        <v>146995.39300284901</v>
      </c>
      <c r="E23" s="30">
        <f>E9*K16</f>
        <v>130198.21905123341</v>
      </c>
      <c r="F23" s="30">
        <f>F9*K16</f>
        <v>114647.13770617575</v>
      </c>
    </row>
    <row r="24" spans="1:14">
      <c r="A24" s="4" t="s">
        <v>22</v>
      </c>
      <c r="B24" s="25">
        <f>SUM(B19:B23)</f>
        <v>294738.67825307982</v>
      </c>
      <c r="C24" s="25">
        <f t="shared" ref="C24:F24" si="2">SUM(C19:C23)</f>
        <v>345141.47918790474</v>
      </c>
      <c r="D24" s="25">
        <f t="shared" si="2"/>
        <v>366980.13084900274</v>
      </c>
      <c r="E24" s="25">
        <f t="shared" si="2"/>
        <v>336623.02401012013</v>
      </c>
      <c r="F24" s="25">
        <f t="shared" si="2"/>
        <v>293588.23334977258</v>
      </c>
    </row>
    <row r="27" spans="1:14" ht="31.2">
      <c r="B27" s="2" t="s">
        <v>23</v>
      </c>
    </row>
    <row r="28" spans="1:14">
      <c r="B28" s="32">
        <v>5.0999044258723503</v>
      </c>
      <c r="C28" s="32">
        <v>4.6946999566616796</v>
      </c>
      <c r="D28" s="33">
        <v>4.3504287721951096</v>
      </c>
      <c r="E28" s="32">
        <v>4.05403209926871</v>
      </c>
      <c r="F28" s="32">
        <v>3.7960058580676601</v>
      </c>
    </row>
    <row r="30" spans="1:14" ht="78">
      <c r="B30" s="2" t="s">
        <v>24</v>
      </c>
      <c r="C30" s="2"/>
      <c r="D30" s="2"/>
      <c r="E30" s="2"/>
      <c r="F30" s="2"/>
      <c r="H30" s="2" t="s">
        <v>95</v>
      </c>
    </row>
    <row r="31" spans="1:14">
      <c r="B31" s="28">
        <f>0.0001*B24/B28</f>
        <v>5.7792980738587882</v>
      </c>
      <c r="C31" s="28">
        <f>0.0001*C24/C28</f>
        <v>7.3517260394491526</v>
      </c>
      <c r="D31" s="28">
        <f>0.0001*D24/D28</f>
        <v>8.4354933746871676</v>
      </c>
      <c r="E31" s="28">
        <f>0.0001*E24/E28</f>
        <v>8.3034128928293924</v>
      </c>
      <c r="F31" s="28">
        <f>0.0001*F24/F28</f>
        <v>7.7341354130370696</v>
      </c>
      <c r="H31" s="24">
        <v>0.316</v>
      </c>
    </row>
    <row r="32" spans="1:14">
      <c r="B32" s="24"/>
      <c r="C32" s="24"/>
      <c r="D32" s="24"/>
      <c r="E32" s="24"/>
      <c r="F32" s="24"/>
    </row>
    <row r="33" spans="1:6" ht="62.4">
      <c r="B33" s="2" t="s">
        <v>25</v>
      </c>
    </row>
    <row r="34" spans="1:6">
      <c r="B34" s="28">
        <f>B31/H31</f>
        <v>18.288917955249328</v>
      </c>
      <c r="C34" s="28">
        <f>C31/H31</f>
        <v>23.264955821041621</v>
      </c>
      <c r="D34" s="28">
        <f>D31/H31</f>
        <v>26.694599286984708</v>
      </c>
      <c r="E34" s="28">
        <f>E31/H31</f>
        <v>26.276623078574026</v>
      </c>
      <c r="F34" s="28">
        <f>F31/H31</f>
        <v>24.475112066573004</v>
      </c>
    </row>
    <row r="37" spans="1:6" ht="46.8">
      <c r="A37" s="2" t="s">
        <v>114</v>
      </c>
      <c r="B37" s="2" t="s">
        <v>115</v>
      </c>
    </row>
    <row r="38" spans="1:6">
      <c r="A38" s="4">
        <v>0.5</v>
      </c>
      <c r="B38" s="28">
        <f>N13+N16</f>
        <v>45</v>
      </c>
      <c r="C38" s="5" t="s">
        <v>118</v>
      </c>
    </row>
    <row r="39" spans="1:6">
      <c r="A39" s="4">
        <v>1</v>
      </c>
      <c r="B39" s="28">
        <f>SUM(N12:N16)</f>
        <v>84.5</v>
      </c>
      <c r="C39" s="5" t="s">
        <v>119</v>
      </c>
    </row>
    <row r="40" spans="1:6">
      <c r="A40" s="4">
        <v>2</v>
      </c>
      <c r="B40" s="4">
        <f>3*(B39-B38*2/3)</f>
        <v>163.5</v>
      </c>
      <c r="C40" s="5" t="s">
        <v>120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zoomScaleNormal="100" workbookViewId="0">
      <selection activeCell="E22" sqref="E22"/>
    </sheetView>
  </sheetViews>
  <sheetFormatPr defaultColWidth="9.109375" defaultRowHeight="15.6"/>
  <cols>
    <col min="1" max="1" width="30.6640625" style="19" customWidth="1"/>
    <col min="2" max="2" width="22.109375" style="19" customWidth="1"/>
    <col min="3" max="3" width="9.109375" style="19"/>
    <col min="4" max="4" width="18" style="19" customWidth="1"/>
    <col min="5" max="5" width="11.6640625" style="19" customWidth="1"/>
    <col min="6" max="6" width="19.5546875" style="19" customWidth="1"/>
    <col min="7" max="7" width="18.6640625" style="19" customWidth="1"/>
    <col min="8" max="8" width="12.109375" style="19" customWidth="1"/>
    <col min="9" max="9" width="14" style="19" customWidth="1"/>
    <col min="10" max="10" width="13" style="19" customWidth="1"/>
    <col min="11" max="11" width="14.33203125" style="19" customWidth="1"/>
    <col min="12" max="13" width="15.5546875" style="19" customWidth="1"/>
    <col min="14" max="14" width="12.33203125" style="19" customWidth="1"/>
    <col min="15" max="15" width="15.6640625" style="19" customWidth="1"/>
    <col min="16" max="16" width="13.5546875" style="19" customWidth="1"/>
    <col min="17" max="17" width="13.6640625" style="19" customWidth="1"/>
    <col min="18" max="16384" width="9.109375" style="19"/>
  </cols>
  <sheetData>
    <row r="1" spans="1:17" ht="54.9" customHeight="1">
      <c r="A1" s="65" t="s">
        <v>134</v>
      </c>
      <c r="B1" s="65" t="s">
        <v>99</v>
      </c>
      <c r="C1" s="66"/>
      <c r="D1" s="66"/>
      <c r="E1" s="66"/>
      <c r="F1" s="66"/>
      <c r="G1" s="66"/>
      <c r="H1" s="66"/>
      <c r="I1" s="66"/>
      <c r="J1" s="66" t="s">
        <v>121</v>
      </c>
      <c r="K1" s="66"/>
      <c r="L1" s="66"/>
      <c r="M1" s="66"/>
      <c r="N1" s="66"/>
      <c r="O1" s="66"/>
      <c r="P1" s="66"/>
      <c r="Q1" s="66"/>
    </row>
    <row r="3" spans="1:17">
      <c r="A3" s="18" t="s">
        <v>6</v>
      </c>
    </row>
    <row r="4" spans="1:17" ht="80.25" customHeight="1">
      <c r="A4" s="20"/>
      <c r="B4" s="21" t="s">
        <v>8</v>
      </c>
      <c r="C4" s="21" t="s">
        <v>103</v>
      </c>
      <c r="D4" s="21" t="s">
        <v>9</v>
      </c>
      <c r="E4" s="21" t="s">
        <v>15</v>
      </c>
      <c r="F4" s="21" t="s">
        <v>107</v>
      </c>
      <c r="G4" s="21" t="s">
        <v>100</v>
      </c>
      <c r="H4" s="21" t="s">
        <v>102</v>
      </c>
      <c r="I4" s="21" t="s">
        <v>101</v>
      </c>
      <c r="J4" s="21" t="s">
        <v>68</v>
      </c>
      <c r="K4" s="21" t="s">
        <v>106</v>
      </c>
      <c r="L4" s="21" t="s">
        <v>105</v>
      </c>
      <c r="M4" s="21" t="s">
        <v>66</v>
      </c>
      <c r="N4" s="21" t="s">
        <v>67</v>
      </c>
      <c r="O4" s="21" t="s">
        <v>104</v>
      </c>
      <c r="P4" s="21" t="s">
        <v>108</v>
      </c>
      <c r="Q4" s="21" t="s">
        <v>109</v>
      </c>
    </row>
    <row r="5" spans="1:17">
      <c r="B5" s="18" t="s">
        <v>10</v>
      </c>
      <c r="C5" s="7">
        <v>4</v>
      </c>
      <c r="D5" s="7" t="s">
        <v>12</v>
      </c>
      <c r="E5" s="7"/>
      <c r="F5" s="6">
        <f>C5</f>
        <v>4</v>
      </c>
      <c r="G5" s="13">
        <v>1</v>
      </c>
      <c r="H5" s="7">
        <f>C5*G5</f>
        <v>4</v>
      </c>
      <c r="I5" s="7"/>
      <c r="J5" s="7"/>
      <c r="K5" s="7">
        <f>H5*I10</f>
        <v>720</v>
      </c>
      <c r="L5" s="7">
        <f>K5</f>
        <v>720</v>
      </c>
      <c r="M5" s="7"/>
      <c r="N5" s="7"/>
      <c r="O5" s="7"/>
      <c r="P5" s="7"/>
      <c r="Q5" s="7"/>
    </row>
    <row r="6" spans="1:17">
      <c r="C6" s="7">
        <v>2</v>
      </c>
      <c r="D6" s="7" t="s">
        <v>13</v>
      </c>
      <c r="E6" s="7"/>
      <c r="F6" s="7"/>
      <c r="G6" s="7"/>
      <c r="H6" s="7">
        <f>C6</f>
        <v>2</v>
      </c>
      <c r="I6" s="7"/>
      <c r="J6" s="7"/>
      <c r="K6" s="7">
        <f>H6*I10</f>
        <v>360</v>
      </c>
      <c r="L6" s="7"/>
      <c r="M6" s="7"/>
      <c r="N6" s="7"/>
      <c r="O6" s="7"/>
      <c r="P6" s="7"/>
      <c r="Q6" s="7"/>
    </row>
    <row r="7" spans="1:17">
      <c r="B7" s="18" t="s">
        <v>11</v>
      </c>
      <c r="C7" s="7">
        <v>6</v>
      </c>
      <c r="D7" s="7" t="s">
        <v>12</v>
      </c>
      <c r="E7" s="7"/>
      <c r="F7" s="7">
        <f>C7</f>
        <v>6</v>
      </c>
      <c r="G7" s="13">
        <v>1</v>
      </c>
      <c r="H7" s="7">
        <f>F7*G7</f>
        <v>6</v>
      </c>
      <c r="I7" s="7"/>
      <c r="J7" s="7"/>
      <c r="K7" s="7">
        <f>H7*I10</f>
        <v>1080</v>
      </c>
      <c r="L7" s="7">
        <f t="shared" ref="L7:L8" si="0">K7</f>
        <v>1080</v>
      </c>
      <c r="M7" s="7"/>
      <c r="N7" s="7"/>
      <c r="O7" s="7"/>
      <c r="P7" s="7"/>
      <c r="Q7" s="7"/>
    </row>
    <row r="8" spans="1:17">
      <c r="C8" s="7">
        <v>2</v>
      </c>
      <c r="D8" s="7" t="s">
        <v>14</v>
      </c>
      <c r="E8" s="7">
        <v>0.6</v>
      </c>
      <c r="F8" s="7">
        <f>C8*E8</f>
        <v>1.2</v>
      </c>
      <c r="G8" s="13">
        <v>1</v>
      </c>
      <c r="H8" s="7">
        <f>F8*G8</f>
        <v>1.2</v>
      </c>
      <c r="I8" s="7"/>
      <c r="J8" s="7"/>
      <c r="K8" s="7">
        <f>H8*I10</f>
        <v>216</v>
      </c>
      <c r="L8" s="7">
        <f t="shared" si="0"/>
        <v>216</v>
      </c>
      <c r="M8" s="7"/>
      <c r="N8" s="7"/>
      <c r="O8" s="7"/>
      <c r="P8" s="7"/>
      <c r="Q8" s="7"/>
    </row>
    <row r="9" spans="1:17">
      <c r="C9" s="7">
        <v>2</v>
      </c>
      <c r="D9" s="7" t="s">
        <v>13</v>
      </c>
      <c r="E9" s="7"/>
      <c r="F9" s="6"/>
      <c r="G9" s="7"/>
      <c r="H9" s="7">
        <f>C9</f>
        <v>2</v>
      </c>
      <c r="I9" s="7"/>
      <c r="J9" s="7"/>
      <c r="K9" s="7">
        <f>H9*I10</f>
        <v>360</v>
      </c>
      <c r="L9" s="7"/>
      <c r="M9" s="7"/>
      <c r="N9" s="7"/>
      <c r="O9" s="7" t="s">
        <v>17</v>
      </c>
      <c r="P9" s="7"/>
      <c r="Q9" s="7"/>
    </row>
    <row r="10" spans="1:17">
      <c r="C10" s="7"/>
      <c r="D10" s="7"/>
      <c r="E10" s="7"/>
      <c r="F10" s="6">
        <f>SUM(F5:F9)</f>
        <v>11.2</v>
      </c>
      <c r="G10" s="7"/>
      <c r="H10" s="6">
        <f>SUM(H5:H9)</f>
        <v>15.2</v>
      </c>
      <c r="I10" s="7">
        <v>180</v>
      </c>
      <c r="J10" s="7">
        <v>48</v>
      </c>
      <c r="K10" s="6">
        <f>H10*I10</f>
        <v>2736</v>
      </c>
      <c r="L10" s="6">
        <f>(F10/H10)*K10</f>
        <v>2016</v>
      </c>
      <c r="M10" s="7">
        <v>270</v>
      </c>
      <c r="N10" s="7">
        <v>84.2</v>
      </c>
      <c r="O10" s="13">
        <f>(L10/M10)*N10</f>
        <v>628.69333333333338</v>
      </c>
      <c r="P10" s="15">
        <f>M10/N10</f>
        <v>3.2066508313539193</v>
      </c>
      <c r="Q10" s="15">
        <f>K10/(J10+O10)</f>
        <v>4.0431904161412353</v>
      </c>
    </row>
    <row r="11" spans="1:17">
      <c r="A11" s="18" t="s">
        <v>7</v>
      </c>
      <c r="M11" s="7"/>
      <c r="N11" s="7"/>
      <c r="O11" s="7"/>
      <c r="P11" s="7"/>
      <c r="Q11" s="7"/>
    </row>
    <row r="12" spans="1:17">
      <c r="B12" s="18" t="s">
        <v>10</v>
      </c>
      <c r="C12" s="7">
        <v>4</v>
      </c>
      <c r="D12" s="7" t="s">
        <v>12</v>
      </c>
      <c r="E12" s="7"/>
      <c r="F12" s="7">
        <v>4</v>
      </c>
      <c r="G12" s="7"/>
      <c r="H12" s="7"/>
      <c r="I12" s="7"/>
      <c r="J12" s="7"/>
      <c r="K12" s="7"/>
      <c r="M12" s="7"/>
      <c r="N12" s="7"/>
      <c r="O12" s="7"/>
      <c r="P12" s="7"/>
      <c r="Q12" s="7"/>
    </row>
    <row r="13" spans="1:17">
      <c r="C13" s="7">
        <v>2</v>
      </c>
      <c r="D13" s="7" t="s">
        <v>13</v>
      </c>
      <c r="E13" s="7"/>
      <c r="F13" s="7"/>
      <c r="G13" s="7"/>
      <c r="H13" s="7">
        <f>C13</f>
        <v>2</v>
      </c>
      <c r="I13" s="7"/>
      <c r="J13" s="7"/>
      <c r="K13" s="7"/>
      <c r="M13" s="7"/>
      <c r="N13" s="7"/>
      <c r="O13" s="7"/>
      <c r="P13" s="7"/>
      <c r="Q13" s="7"/>
    </row>
    <row r="14" spans="1:17">
      <c r="B14" s="18" t="s">
        <v>16</v>
      </c>
      <c r="C14" s="7">
        <v>2</v>
      </c>
      <c r="D14" s="7" t="s">
        <v>13</v>
      </c>
      <c r="E14" s="7"/>
      <c r="F14" s="7"/>
      <c r="G14" s="7"/>
      <c r="H14" s="7">
        <f>C14</f>
        <v>2</v>
      </c>
      <c r="I14" s="7"/>
      <c r="J14" s="7"/>
      <c r="K14" s="7"/>
      <c r="M14" s="7"/>
      <c r="N14" s="7"/>
      <c r="O14" s="7"/>
      <c r="P14" s="7"/>
      <c r="Q14" s="7"/>
    </row>
    <row r="15" spans="1:17">
      <c r="C15" s="7"/>
      <c r="D15" s="7"/>
      <c r="E15" s="7"/>
      <c r="F15" s="7"/>
      <c r="G15" s="7"/>
      <c r="H15" s="7">
        <f>SUM(H13:H14)</f>
        <v>4</v>
      </c>
      <c r="I15" s="7">
        <v>180</v>
      </c>
      <c r="J15" s="7">
        <v>48</v>
      </c>
      <c r="K15" s="6">
        <f>H15*I15</f>
        <v>720</v>
      </c>
      <c r="M15" s="7"/>
      <c r="N15" s="7"/>
      <c r="O15" s="7"/>
      <c r="P15" s="6"/>
      <c r="Q15" s="15">
        <f>K15/J15</f>
        <v>15</v>
      </c>
    </row>
    <row r="16" spans="1:17">
      <c r="A16" s="18" t="s">
        <v>116</v>
      </c>
    </row>
    <row r="17" spans="2:3">
      <c r="B17" s="6" t="s">
        <v>117</v>
      </c>
      <c r="C17" s="18" t="s">
        <v>116</v>
      </c>
    </row>
    <row r="18" spans="2:3">
      <c r="B18" s="22"/>
    </row>
    <row r="19" spans="2:3">
      <c r="B19" s="7">
        <v>0.5</v>
      </c>
      <c r="C19" s="6">
        <f>B19*(F7+F8)</f>
        <v>3.6</v>
      </c>
    </row>
    <row r="20" spans="2:3">
      <c r="B20" s="7">
        <v>1</v>
      </c>
      <c r="C20" s="6">
        <f>B20*(F7+F8)</f>
        <v>7.2</v>
      </c>
    </row>
    <row r="21" spans="2:3">
      <c r="B21" s="7">
        <v>2</v>
      </c>
      <c r="C21" s="6">
        <f>B21*(F7+F8)</f>
        <v>14.4</v>
      </c>
    </row>
    <row r="22" spans="2:3">
      <c r="B22" s="7"/>
      <c r="C22" s="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38" zoomScaleNormal="100" workbookViewId="0">
      <selection activeCell="A54" sqref="A54"/>
    </sheetView>
  </sheetViews>
  <sheetFormatPr defaultColWidth="9.109375" defaultRowHeight="15.6"/>
  <cols>
    <col min="1" max="1" width="30.6640625" style="36" customWidth="1"/>
    <col min="2" max="2" width="45.109375" style="36" customWidth="1"/>
    <col min="3" max="7" width="20.6640625" style="36" customWidth="1"/>
    <col min="8" max="16384" width="9.109375" style="36"/>
  </cols>
  <sheetData>
    <row r="1" spans="1:19" ht="54.9" customHeight="1">
      <c r="A1" s="57" t="s">
        <v>135</v>
      </c>
      <c r="B1" s="58" t="s">
        <v>96</v>
      </c>
      <c r="C1" s="59" t="s">
        <v>97</v>
      </c>
      <c r="D1" s="60"/>
      <c r="E1" s="60"/>
      <c r="F1" s="60"/>
      <c r="G1" s="63"/>
      <c r="H1" s="64"/>
      <c r="I1" s="61"/>
      <c r="J1" s="61"/>
      <c r="K1" s="61"/>
      <c r="L1" s="61"/>
      <c r="M1" s="61"/>
      <c r="N1" s="61"/>
      <c r="O1" s="61"/>
      <c r="P1" s="61"/>
      <c r="Q1" s="61"/>
      <c r="R1" s="61"/>
      <c r="S1" s="62"/>
    </row>
    <row r="2" spans="1:19" ht="42" customHeight="1">
      <c r="A2" s="35"/>
      <c r="D2" s="34"/>
      <c r="E2" s="34"/>
      <c r="F2" s="35"/>
      <c r="G2" s="35"/>
    </row>
    <row r="3" spans="1:19" ht="15" customHeight="1">
      <c r="A3" s="2" t="s">
        <v>1</v>
      </c>
      <c r="B3" s="37"/>
      <c r="C3" s="38">
        <v>0.11</v>
      </c>
      <c r="D3" s="38">
        <v>0.21</v>
      </c>
      <c r="E3" s="38">
        <v>0.31</v>
      </c>
      <c r="F3" s="38">
        <v>0.41</v>
      </c>
      <c r="G3" s="38">
        <v>0.49</v>
      </c>
    </row>
    <row r="4" spans="1:19" ht="33" customHeight="1">
      <c r="C4" s="23" t="s">
        <v>2</v>
      </c>
    </row>
    <row r="5" spans="1:19" ht="39" customHeight="1">
      <c r="B5" s="34" t="s">
        <v>90</v>
      </c>
      <c r="C5" s="34" t="s">
        <v>26</v>
      </c>
    </row>
    <row r="6" spans="1:19" ht="15" customHeight="1">
      <c r="A6" s="35" t="s">
        <v>60</v>
      </c>
      <c r="B6" s="39" t="s">
        <v>27</v>
      </c>
      <c r="C6" s="40">
        <v>942.27806576402304</v>
      </c>
      <c r="D6" s="40">
        <v>995.09847084233297</v>
      </c>
      <c r="E6" s="40">
        <v>1043.6629059829099</v>
      </c>
      <c r="F6" s="40">
        <v>1012.66540164453</v>
      </c>
      <c r="G6" s="40">
        <v>728.46582278481003</v>
      </c>
    </row>
    <row r="7" spans="1:19" ht="15" customHeight="1">
      <c r="A7" s="35" t="s">
        <v>61</v>
      </c>
      <c r="B7" s="39" t="s">
        <v>28</v>
      </c>
      <c r="C7" s="40">
        <v>1096.56921103533</v>
      </c>
      <c r="D7" s="40">
        <v>1191.4777710583201</v>
      </c>
      <c r="E7" s="40">
        <v>1336.9505641025601</v>
      </c>
      <c r="F7" s="40">
        <v>1284.8835926628699</v>
      </c>
      <c r="G7" s="40">
        <v>1188.19161597896</v>
      </c>
    </row>
    <row r="8" spans="1:19" ht="15" customHeight="1">
      <c r="A8" s="35" t="s">
        <v>62</v>
      </c>
      <c r="B8" s="39" t="s">
        <v>29</v>
      </c>
      <c r="C8" s="40">
        <v>551.03980454036503</v>
      </c>
      <c r="D8" s="40">
        <v>533.57961123110101</v>
      </c>
      <c r="E8" s="40">
        <v>570.23617094017095</v>
      </c>
      <c r="F8" s="40">
        <v>570.18211258696999</v>
      </c>
      <c r="G8" s="40">
        <v>441.69153378267293</v>
      </c>
    </row>
    <row r="9" spans="1:19" ht="15" customHeight="1">
      <c r="A9" s="41" t="s">
        <v>63</v>
      </c>
      <c r="B9" s="39" t="s">
        <v>30</v>
      </c>
      <c r="C9" s="40">
        <v>1390.6867067087501</v>
      </c>
      <c r="D9" s="40">
        <v>1599.088587473</v>
      </c>
      <c r="E9" s="40">
        <v>1960.2889572649599</v>
      </c>
      <c r="F9" s="40">
        <v>1764.44073371284</v>
      </c>
      <c r="G9" s="40">
        <v>1365.57777412461</v>
      </c>
    </row>
    <row r="10" spans="1:19" ht="15" customHeight="1">
      <c r="A10" s="39" t="s">
        <v>64</v>
      </c>
      <c r="B10" s="39" t="s">
        <v>31</v>
      </c>
      <c r="C10" s="40">
        <v>806.58451389595905</v>
      </c>
      <c r="D10" s="40">
        <v>747.01145572354187</v>
      </c>
      <c r="E10" s="40">
        <v>770.39070085469996</v>
      </c>
      <c r="F10" s="40">
        <v>830.04235294117598</v>
      </c>
      <c r="G10" s="40">
        <v>532.45411803386503</v>
      </c>
    </row>
    <row r="11" spans="1:19" ht="15" customHeight="1">
      <c r="A11" s="39"/>
      <c r="B11" s="39"/>
      <c r="C11" s="40"/>
      <c r="D11" s="40"/>
      <c r="E11" s="40"/>
      <c r="F11" s="40"/>
      <c r="G11" s="40"/>
    </row>
    <row r="12" spans="1:19" ht="16.2" customHeight="1">
      <c r="A12" s="39"/>
      <c r="B12" s="42" t="s">
        <v>32</v>
      </c>
      <c r="C12" s="43">
        <f>AVERAGE(C6:C10)</f>
        <v>957.43166038888535</v>
      </c>
      <c r="D12" s="43">
        <f>AVERAGE(D6:D10)</f>
        <v>1013.2511792656593</v>
      </c>
      <c r="E12" s="43">
        <f>AVERAGE(E6:E10)</f>
        <v>1136.3058598290604</v>
      </c>
      <c r="F12" s="43">
        <f>AVERAGE(F6:F10)</f>
        <v>1092.4428387096773</v>
      </c>
      <c r="G12" s="43">
        <f>AVERAGE(G6:G10)</f>
        <v>851.27617294098366</v>
      </c>
    </row>
    <row r="13" spans="1:19" ht="15" customHeight="1">
      <c r="A13" s="39"/>
      <c r="C13" s="44"/>
      <c r="D13" s="44"/>
      <c r="E13" s="44"/>
      <c r="F13" s="44"/>
      <c r="G13" s="44"/>
    </row>
    <row r="14" spans="1:19" ht="35.4" customHeight="1">
      <c r="A14" s="41"/>
      <c r="B14" s="42" t="s">
        <v>91</v>
      </c>
      <c r="C14" s="43" t="s">
        <v>33</v>
      </c>
      <c r="D14" s="45"/>
      <c r="E14" s="45"/>
      <c r="F14" s="45"/>
      <c r="G14" s="45"/>
    </row>
    <row r="15" spans="1:19" ht="15" customHeight="1">
      <c r="A15" s="46"/>
      <c r="B15" s="46"/>
      <c r="C15" s="40"/>
      <c r="D15" s="40"/>
      <c r="E15" s="40"/>
      <c r="F15" s="40"/>
      <c r="G15" s="40"/>
    </row>
    <row r="16" spans="1:19" ht="15" customHeight="1">
      <c r="A16" s="46" t="s">
        <v>58</v>
      </c>
      <c r="B16" s="46" t="s">
        <v>34</v>
      </c>
      <c r="C16" s="40">
        <v>2939.7973572228502</v>
      </c>
      <c r="D16" s="40">
        <v>4296.6910755939498</v>
      </c>
      <c r="E16" s="40">
        <v>4826.58352136752</v>
      </c>
      <c r="F16" s="40">
        <v>4098.7203036053097</v>
      </c>
      <c r="G16" s="40">
        <v>2475.7194805194799</v>
      </c>
    </row>
    <row r="17" spans="1:8" ht="15" customHeight="1">
      <c r="A17" s="46" t="s">
        <v>59</v>
      </c>
      <c r="B17" s="46" t="s">
        <v>35</v>
      </c>
      <c r="C17" s="40">
        <v>3051.3829176422701</v>
      </c>
      <c r="D17" s="40">
        <v>4149.8191619870404</v>
      </c>
      <c r="E17" s="40">
        <v>4423.4151111111096</v>
      </c>
      <c r="F17" s="40">
        <v>4554.2480961416804</v>
      </c>
      <c r="G17" s="40">
        <v>2310.7503534440202</v>
      </c>
    </row>
    <row r="18" spans="1:8" ht="15" customHeight="1">
      <c r="A18" s="35"/>
      <c r="B18" s="35"/>
      <c r="C18" s="45"/>
      <c r="D18" s="45"/>
      <c r="E18" s="45"/>
      <c r="F18" s="45"/>
      <c r="G18" s="45"/>
    </row>
    <row r="19" spans="1:8" ht="15" customHeight="1">
      <c r="A19" s="35"/>
      <c r="B19" s="34" t="s">
        <v>32</v>
      </c>
      <c r="C19" s="43">
        <v>2995.5901374325604</v>
      </c>
      <c r="D19" s="43">
        <v>4223.2551187904955</v>
      </c>
      <c r="E19" s="43">
        <v>4624.9993162393148</v>
      </c>
      <c r="F19" s="43">
        <v>4326.4841998734955</v>
      </c>
      <c r="G19" s="43">
        <v>2393.2349169817498</v>
      </c>
    </row>
    <row r="20" spans="1:8" ht="15" customHeight="1">
      <c r="A20" s="35"/>
      <c r="B20" s="41"/>
      <c r="C20" s="45"/>
      <c r="D20" s="45"/>
      <c r="E20" s="45"/>
      <c r="F20" s="45"/>
      <c r="G20" s="45"/>
    </row>
    <row r="21" spans="1:8" ht="15" customHeight="1">
      <c r="A21" s="35"/>
      <c r="B21" s="35"/>
      <c r="C21" s="45"/>
      <c r="D21" s="45"/>
      <c r="E21" s="45"/>
      <c r="F21" s="45"/>
      <c r="G21" s="45"/>
    </row>
    <row r="22" spans="1:8" ht="15" customHeight="1">
      <c r="A22" s="35"/>
      <c r="B22" s="35"/>
      <c r="C22" s="45"/>
      <c r="D22" s="45"/>
      <c r="E22" s="45"/>
      <c r="F22" s="45"/>
      <c r="G22" s="45"/>
    </row>
    <row r="23" spans="1:8" ht="35.4" customHeight="1">
      <c r="A23" s="35"/>
      <c r="B23" s="34" t="s">
        <v>92</v>
      </c>
      <c r="C23" s="43" t="s">
        <v>36</v>
      </c>
      <c r="D23" s="45"/>
      <c r="E23" s="45"/>
      <c r="F23" s="45"/>
      <c r="G23" s="45"/>
    </row>
    <row r="24" spans="1:8" ht="14.4" customHeight="1">
      <c r="A24" s="39" t="s">
        <v>56</v>
      </c>
      <c r="B24" s="39" t="s">
        <v>37</v>
      </c>
      <c r="C24" s="40">
        <v>758.36853099867699</v>
      </c>
      <c r="D24" s="40">
        <v>1169.4744881209499</v>
      </c>
      <c r="E24" s="40">
        <v>1262.19897435897</v>
      </c>
      <c r="F24" s="40">
        <v>1521.40103731815</v>
      </c>
      <c r="G24" s="40">
        <v>1915.17922077922</v>
      </c>
    </row>
    <row r="25" spans="1:8" ht="15" customHeight="1">
      <c r="A25" s="39" t="s">
        <v>57</v>
      </c>
      <c r="B25" s="39" t="s">
        <v>38</v>
      </c>
      <c r="C25" s="40">
        <v>866.51009263972298</v>
      </c>
      <c r="D25" s="40">
        <v>1267.3890971922201</v>
      </c>
      <c r="E25" s="40">
        <v>1525.66769230769</v>
      </c>
      <c r="F25" s="40">
        <v>1423.91053763441</v>
      </c>
      <c r="G25" s="40">
        <v>1863.4415913200701</v>
      </c>
    </row>
    <row r="26" spans="1:8" ht="15" customHeight="1">
      <c r="A26" s="35"/>
      <c r="B26" s="35"/>
      <c r="C26" s="45"/>
      <c r="D26" s="45"/>
      <c r="E26" s="45"/>
      <c r="F26" s="45"/>
      <c r="G26" s="45"/>
    </row>
    <row r="27" spans="1:8" ht="15" customHeight="1">
      <c r="A27" s="35"/>
      <c r="B27" s="34" t="s">
        <v>32</v>
      </c>
      <c r="C27" s="43">
        <v>812.43931181919993</v>
      </c>
      <c r="D27" s="43">
        <v>1218.431792656585</v>
      </c>
      <c r="E27" s="43">
        <v>1393.93333333333</v>
      </c>
      <c r="F27" s="43">
        <v>1472.65578747628</v>
      </c>
      <c r="G27" s="43">
        <v>1889.3104060496451</v>
      </c>
    </row>
    <row r="28" spans="1:8" ht="15" customHeight="1">
      <c r="A28" s="35"/>
      <c r="C28" s="44"/>
      <c r="D28" s="44"/>
      <c r="E28" s="44"/>
      <c r="F28" s="44"/>
      <c r="G28" s="44"/>
    </row>
    <row r="29" spans="1:8" ht="15" customHeight="1">
      <c r="A29" s="35"/>
      <c r="B29" s="41"/>
      <c r="C29" s="45"/>
      <c r="D29" s="45"/>
      <c r="E29" s="45"/>
      <c r="F29" s="45"/>
      <c r="G29" s="45"/>
    </row>
    <row r="30" spans="1:8" ht="15" customHeight="1">
      <c r="A30" s="35"/>
      <c r="B30" s="35"/>
      <c r="C30" s="45"/>
      <c r="D30" s="45"/>
      <c r="E30" s="45"/>
      <c r="F30" s="45"/>
      <c r="G30" s="45"/>
    </row>
    <row r="31" spans="1:8" ht="15" customHeight="1">
      <c r="A31" s="35"/>
      <c r="B31" s="35"/>
      <c r="C31" s="45"/>
      <c r="D31" s="45"/>
      <c r="E31" s="45"/>
      <c r="F31" s="45"/>
      <c r="G31" s="45"/>
    </row>
    <row r="32" spans="1:8" ht="31.95" customHeight="1">
      <c r="A32" s="47"/>
      <c r="B32" s="48" t="s">
        <v>93</v>
      </c>
      <c r="C32" s="49" t="s">
        <v>131</v>
      </c>
      <c r="D32" s="9"/>
      <c r="E32" s="9"/>
      <c r="F32" s="9"/>
      <c r="G32" s="9"/>
      <c r="H32" s="7"/>
    </row>
    <row r="33" spans="1:8" s="53" customFormat="1" ht="15.6" customHeight="1">
      <c r="A33" s="36" t="s">
        <v>55</v>
      </c>
      <c r="B33" s="50" t="s">
        <v>39</v>
      </c>
      <c r="C33" s="51">
        <v>1228.1299643693401</v>
      </c>
      <c r="D33" s="52">
        <v>1280.5910669546399</v>
      </c>
      <c r="E33" s="52">
        <v>1134.75364102564</v>
      </c>
      <c r="F33" s="52">
        <v>807.38611005692587</v>
      </c>
      <c r="G33" s="52">
        <v>692.69294755877002</v>
      </c>
      <c r="H33" s="7"/>
    </row>
    <row r="34" spans="1:8" ht="15" customHeight="1">
      <c r="B34" s="50"/>
      <c r="C34" s="51"/>
      <c r="D34" s="52"/>
      <c r="E34" s="52"/>
      <c r="F34" s="52"/>
      <c r="G34" s="52"/>
      <c r="H34" s="7"/>
    </row>
    <row r="35" spans="1:8" ht="15" customHeight="1">
      <c r="B35" s="54" t="s">
        <v>32</v>
      </c>
      <c r="C35" s="44">
        <v>1228.1299643693401</v>
      </c>
      <c r="D35" s="9">
        <v>1280.5910669546399</v>
      </c>
      <c r="E35" s="9">
        <v>1134.75364102564</v>
      </c>
      <c r="F35" s="9">
        <v>807.38611005692587</v>
      </c>
      <c r="G35" s="9">
        <v>692.69294755877002</v>
      </c>
      <c r="H35" s="7"/>
    </row>
    <row r="36" spans="1:8" ht="15" customHeight="1">
      <c r="A36" s="35"/>
      <c r="B36" s="41"/>
      <c r="C36" s="45"/>
      <c r="D36" s="45"/>
      <c r="E36" s="45"/>
      <c r="F36" s="45"/>
      <c r="G36" s="45"/>
    </row>
    <row r="37" spans="1:8" ht="15" customHeight="1">
      <c r="A37" s="35"/>
      <c r="B37" s="35"/>
      <c r="C37" s="45"/>
      <c r="D37" s="45"/>
      <c r="E37" s="45"/>
      <c r="F37" s="45"/>
      <c r="G37" s="45"/>
    </row>
    <row r="38" spans="1:8" ht="26.4" customHeight="1">
      <c r="A38" s="47"/>
      <c r="B38" s="34" t="s">
        <v>89</v>
      </c>
      <c r="C38" s="43" t="s">
        <v>65</v>
      </c>
      <c r="D38" s="45"/>
      <c r="E38" s="45"/>
      <c r="F38" s="45"/>
      <c r="G38" s="45"/>
    </row>
    <row r="39" spans="1:8" ht="14.4" customHeight="1">
      <c r="A39" s="39" t="s">
        <v>50</v>
      </c>
      <c r="B39" s="55" t="s">
        <v>40</v>
      </c>
      <c r="C39" s="40">
        <v>4635.6223556958203</v>
      </c>
      <c r="D39" s="40">
        <v>5122.3642678185697</v>
      </c>
      <c r="E39" s="40">
        <v>5480.5578119658103</v>
      </c>
      <c r="F39" s="40">
        <v>5022.8203921568602</v>
      </c>
      <c r="G39" s="40">
        <v>4620.9094196942297</v>
      </c>
    </row>
    <row r="40" spans="1:8" ht="15" customHeight="1">
      <c r="A40" s="39" t="s">
        <v>51</v>
      </c>
      <c r="B40" s="55" t="s">
        <v>41</v>
      </c>
      <c r="C40" s="40">
        <v>11570.458295836301</v>
      </c>
      <c r="D40" s="40">
        <v>13552.372043196499</v>
      </c>
      <c r="E40" s="40">
        <v>14835.126974359</v>
      </c>
      <c r="F40" s="40">
        <v>12876.298039215701</v>
      </c>
      <c r="G40" s="40">
        <v>11486.049383527899</v>
      </c>
    </row>
    <row r="41" spans="1:8" ht="15" customHeight="1">
      <c r="A41" s="39" t="s">
        <v>52</v>
      </c>
      <c r="B41" s="55" t="s">
        <v>42</v>
      </c>
      <c r="C41" s="40">
        <v>2973.5485452509402</v>
      </c>
      <c r="D41" s="40">
        <v>3276.2888293736501</v>
      </c>
      <c r="E41" s="40">
        <v>3548.45388034188</v>
      </c>
      <c r="F41" s="40">
        <v>3008.4744339025901</v>
      </c>
      <c r="G41" s="40">
        <v>2515.0400789084301</v>
      </c>
    </row>
    <row r="42" spans="1:8" ht="15" customHeight="1">
      <c r="A42" s="39" t="s">
        <v>53</v>
      </c>
      <c r="B42" s="55" t="s">
        <v>43</v>
      </c>
      <c r="C42" s="40">
        <v>8579.6897566934804</v>
      </c>
      <c r="D42" s="40">
        <v>9160.5167688984893</v>
      </c>
      <c r="E42" s="40">
        <v>9772.4428034188004</v>
      </c>
      <c r="F42" s="40">
        <v>8728.4892093611597</v>
      </c>
      <c r="G42" s="40">
        <v>7186.8001972710799</v>
      </c>
    </row>
    <row r="43" spans="1:8" ht="15" customHeight="1">
      <c r="A43" s="39" t="s">
        <v>54</v>
      </c>
      <c r="B43" s="55" t="s">
        <v>44</v>
      </c>
      <c r="C43" s="40">
        <v>3232.5372533849099</v>
      </c>
      <c r="D43" s="40">
        <v>4142.6680950323998</v>
      </c>
      <c r="E43" s="40">
        <v>3767.8069059828999</v>
      </c>
      <c r="F43" s="40">
        <v>3366.85500316256</v>
      </c>
      <c r="G43" s="40">
        <v>3017.9298372513599</v>
      </c>
    </row>
    <row r="44" spans="1:8" ht="15" customHeight="1">
      <c r="A44" s="39"/>
      <c r="B44" s="39"/>
      <c r="C44" s="40"/>
      <c r="D44" s="40"/>
      <c r="E44" s="40"/>
      <c r="F44" s="40"/>
      <c r="G44" s="40"/>
    </row>
    <row r="45" spans="1:8" ht="15" customHeight="1">
      <c r="A45" s="35"/>
      <c r="B45" s="34" t="s">
        <v>45</v>
      </c>
      <c r="C45" s="45"/>
      <c r="D45" s="45"/>
      <c r="E45" s="45"/>
      <c r="F45" s="45"/>
      <c r="G45" s="45"/>
    </row>
    <row r="46" spans="1:8" ht="28.2" customHeight="1">
      <c r="A46" s="35"/>
      <c r="B46" s="35"/>
      <c r="C46" s="40">
        <v>4635.6223556958203</v>
      </c>
      <c r="D46" s="40">
        <v>5122.3642678185697</v>
      </c>
      <c r="E46" s="40">
        <v>5480.5578119658103</v>
      </c>
      <c r="F46" s="40">
        <v>5022.8203921568602</v>
      </c>
      <c r="G46" s="40">
        <v>4620.9094196942297</v>
      </c>
    </row>
    <row r="47" spans="1:8" ht="15" customHeight="1">
      <c r="A47" s="35"/>
      <c r="B47" s="35"/>
      <c r="C47" s="45">
        <v>3856.8194319454337</v>
      </c>
      <c r="D47" s="45">
        <v>4517.4573477321665</v>
      </c>
      <c r="E47" s="45">
        <v>4945.0423247863337</v>
      </c>
      <c r="F47" s="45">
        <v>4292.0993464052335</v>
      </c>
      <c r="G47" s="45">
        <v>3828.683127842633</v>
      </c>
    </row>
    <row r="48" spans="1:8" ht="15" customHeight="1">
      <c r="A48" s="35"/>
      <c r="B48" s="35"/>
      <c r="C48" s="45">
        <v>2973.5485452509402</v>
      </c>
      <c r="D48" s="45">
        <v>3276.2888293736501</v>
      </c>
      <c r="E48" s="45">
        <v>3548.45388034188</v>
      </c>
      <c r="F48" s="45">
        <v>3008.4744339025901</v>
      </c>
      <c r="G48" s="45">
        <v>2515.0400789084301</v>
      </c>
    </row>
    <row r="49" spans="1:7" ht="15" customHeight="1">
      <c r="A49" s="35"/>
      <c r="B49" s="35"/>
      <c r="C49" s="45">
        <v>2859.8965855644933</v>
      </c>
      <c r="D49" s="45">
        <v>3053.5055896328299</v>
      </c>
      <c r="E49" s="45">
        <v>3257.4809344729333</v>
      </c>
      <c r="F49" s="45">
        <v>2909.4964031203867</v>
      </c>
      <c r="G49" s="45">
        <v>2395.6000657570266</v>
      </c>
    </row>
    <row r="50" spans="1:7" ht="15" customHeight="1">
      <c r="A50" s="35"/>
      <c r="B50" s="35"/>
      <c r="C50" s="45">
        <v>3232.5372533849099</v>
      </c>
      <c r="D50" s="45">
        <v>4142.6680950323998</v>
      </c>
      <c r="E50" s="45">
        <v>3767.8069059828999</v>
      </c>
      <c r="F50" s="45">
        <v>3366.85500316256</v>
      </c>
      <c r="G50" s="45">
        <v>3017.9298372513599</v>
      </c>
    </row>
    <row r="51" spans="1:7" ht="15" customHeight="1">
      <c r="A51" s="35"/>
      <c r="B51" s="35"/>
      <c r="C51" s="45"/>
      <c r="D51" s="45"/>
      <c r="E51" s="45"/>
      <c r="F51" s="45"/>
      <c r="G51" s="45"/>
    </row>
    <row r="52" spans="1:7" ht="15" customHeight="1">
      <c r="A52" s="35"/>
      <c r="B52" s="34" t="s">
        <v>32</v>
      </c>
      <c r="C52" s="43">
        <v>3511.6848343683196</v>
      </c>
      <c r="D52" s="43">
        <v>4022.4568259179237</v>
      </c>
      <c r="E52" s="43">
        <v>4199.8683715099714</v>
      </c>
      <c r="F52" s="43">
        <v>3719.9491157495258</v>
      </c>
      <c r="G52" s="43">
        <v>3275.632505890736</v>
      </c>
    </row>
    <row r="53" spans="1:7" ht="15" customHeight="1">
      <c r="B53" s="36" t="s">
        <v>161</v>
      </c>
      <c r="C53" s="44">
        <f>STDEV(C46:C50)/SQRT(4)</f>
        <v>368.671212024108</v>
      </c>
      <c r="D53" s="44">
        <f t="shared" ref="D53:G53" si="0">STDEV(D46:D50)/SQRT(4)</f>
        <v>430.47254731952717</v>
      </c>
      <c r="E53" s="44">
        <f t="shared" si="0"/>
        <v>480.53106652425612</v>
      </c>
      <c r="F53" s="44">
        <f t="shared" si="0"/>
        <v>455.00925292702743</v>
      </c>
      <c r="G53" s="44">
        <f t="shared" si="0"/>
        <v>470.04012902812423</v>
      </c>
    </row>
    <row r="54" spans="1:7" ht="15" customHeight="1">
      <c r="C54" s="44"/>
      <c r="D54" s="44"/>
      <c r="E54" s="44"/>
      <c r="F54" s="44"/>
      <c r="G54" s="44"/>
    </row>
    <row r="55" spans="1:7" ht="15" customHeight="1">
      <c r="B55" s="53" t="s">
        <v>49</v>
      </c>
      <c r="C55" s="44"/>
      <c r="D55" s="44"/>
      <c r="E55" s="44"/>
      <c r="F55" s="44"/>
      <c r="G55" s="44"/>
    </row>
    <row r="56" spans="1:7" ht="15" customHeight="1">
      <c r="A56" s="35"/>
      <c r="C56" s="44"/>
      <c r="D56" s="44"/>
      <c r="E56" s="44"/>
      <c r="F56" s="44"/>
      <c r="G56" s="44"/>
    </row>
    <row r="57" spans="1:7" ht="15" customHeight="1">
      <c r="B57" s="53" t="s">
        <v>98</v>
      </c>
      <c r="C57" s="44"/>
      <c r="D57" s="44"/>
      <c r="E57" s="44"/>
      <c r="F57" s="44"/>
      <c r="G57" s="44"/>
    </row>
    <row r="58" spans="1:7" ht="15" customHeight="1">
      <c r="B58" s="1" t="s">
        <v>47</v>
      </c>
      <c r="C58" s="44" t="s">
        <v>86</v>
      </c>
      <c r="D58" s="44"/>
      <c r="E58" s="44"/>
      <c r="F58" s="44"/>
      <c r="G58" s="44"/>
    </row>
    <row r="59" spans="1:7" ht="15" customHeight="1">
      <c r="B59" s="1" t="s">
        <v>48</v>
      </c>
      <c r="C59" s="44"/>
      <c r="D59" s="44"/>
      <c r="E59" s="44"/>
      <c r="F59" s="44"/>
      <c r="G59" s="44"/>
    </row>
    <row r="60" spans="1:7" ht="15" customHeight="1">
      <c r="C60" s="44"/>
      <c r="D60" s="44"/>
      <c r="E60" s="44"/>
      <c r="F60" s="44"/>
      <c r="G60" s="44"/>
    </row>
    <row r="61" spans="1:7" ht="15" customHeight="1">
      <c r="C61" s="44"/>
      <c r="D61" s="44"/>
      <c r="E61" s="44"/>
      <c r="F61" s="44"/>
      <c r="G61" s="44"/>
    </row>
    <row r="62" spans="1:7" ht="15" customHeight="1"/>
    <row r="63" spans="1:7" ht="15" customHeight="1"/>
    <row r="64" spans="1:7" ht="15" customHeight="1"/>
    <row r="65" ht="15" customHeight="1"/>
    <row r="66" ht="15" customHeight="1"/>
    <row r="67" ht="15" customHeight="1"/>
    <row r="68" ht="15" customHeight="1"/>
    <row r="69" ht="15" customHeight="1"/>
    <row r="70" ht="15" customHeight="1"/>
    <row r="71" ht="15" customHeight="1"/>
    <row r="72" ht="15" customHeight="1"/>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S1A - Constants</vt:lpstr>
      <vt:lpstr>S1B - ETC Surface Area</vt:lpstr>
      <vt:lpstr>S1C - Surface Fluxes</vt:lpstr>
      <vt:lpstr>S1D - ETC Complex Abundances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mszenk</dc:creator>
  <cp:lastModifiedBy>adegraff</cp:lastModifiedBy>
  <dcterms:created xsi:type="dcterms:W3CDTF">2017-03-13T16:52:47Z</dcterms:created>
  <dcterms:modified xsi:type="dcterms:W3CDTF">2017-06-21T15:47:39Z</dcterms:modified>
</cp:coreProperties>
</file>