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j\nycu\11201\運輸工程\"/>
    </mc:Choice>
  </mc:AlternateContent>
  <xr:revisionPtr revIDLastSave="0" documentId="13_ncr:1_{152027B0-6F5E-4EA8-BD11-A9B3CC403EE1}" xr6:coauthVersionLast="47" xr6:coauthVersionMax="47" xr10:uidLastSave="{00000000-0000-0000-0000-000000000000}"/>
  <bookViews>
    <workbookView xWindow="-98" yWindow="-98" windowWidth="21795" windowHeight="12975" activeTab="1" xr2:uid="{BF49BCBD-9285-49E9-AD38-E89DA10C52E3}"/>
  </bookViews>
  <sheets>
    <sheet name="1-2" sheetId="1" r:id="rId1"/>
    <sheet name="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5" i="2" l="1"/>
  <c r="L11" i="2"/>
  <c r="L12" i="2"/>
  <c r="L13" i="2"/>
  <c r="M11" i="2"/>
  <c r="N11" i="2"/>
  <c r="M12" i="2"/>
  <c r="N12" i="2"/>
  <c r="M13" i="2"/>
  <c r="N13" i="2"/>
  <c r="C18" i="2" l="1"/>
  <c r="H12" i="2" l="1"/>
  <c r="G11" i="2"/>
  <c r="N73" i="2"/>
  <c r="M73" i="2"/>
  <c r="L73" i="2"/>
  <c r="O72" i="2"/>
  <c r="O71" i="2"/>
  <c r="O70" i="2"/>
  <c r="O73" i="2" s="1"/>
  <c r="G72" i="2"/>
  <c r="G71" i="2"/>
  <c r="G70" i="2"/>
  <c r="F73" i="2"/>
  <c r="F75" i="2" s="1"/>
  <c r="E73" i="2"/>
  <c r="E75" i="2" s="1"/>
  <c r="D73" i="2"/>
  <c r="D75" i="2" s="1"/>
  <c r="K43" i="2"/>
  <c r="D46" i="2"/>
  <c r="M5" i="1"/>
  <c r="L5" i="1"/>
  <c r="M4" i="1"/>
  <c r="L4" i="1"/>
  <c r="N3" i="1"/>
  <c r="M3" i="1"/>
  <c r="N5" i="1"/>
  <c r="G73" i="2" l="1"/>
  <c r="C80" i="2"/>
  <c r="I80" i="2"/>
  <c r="G80" i="2"/>
  <c r="H78" i="2"/>
  <c r="I78" i="2"/>
  <c r="H79" i="2"/>
  <c r="I79" i="2"/>
  <c r="H80" i="2"/>
  <c r="G79" i="2"/>
  <c r="G78" i="2"/>
  <c r="D78" i="2"/>
  <c r="L78" i="2" s="1"/>
  <c r="E78" i="2"/>
  <c r="M78" i="2" s="1"/>
  <c r="D79" i="2"/>
  <c r="E79" i="2"/>
  <c r="D80" i="2"/>
  <c r="E80" i="2"/>
  <c r="C79" i="2"/>
  <c r="C78" i="2"/>
  <c r="I12" i="2"/>
  <c r="G13" i="2"/>
  <c r="I13" i="2"/>
  <c r="H13" i="2"/>
  <c r="H11" i="2"/>
  <c r="I11" i="2"/>
  <c r="G12" i="2"/>
  <c r="K80" i="2" l="1"/>
  <c r="F86" i="2" s="1"/>
  <c r="K79" i="2"/>
  <c r="M80" i="2"/>
  <c r="L80" i="2"/>
  <c r="M79" i="2"/>
  <c r="L79" i="2"/>
  <c r="K78" i="2"/>
  <c r="D84" i="2" s="1"/>
  <c r="F84" i="2"/>
  <c r="E84" i="2"/>
  <c r="C13" i="2"/>
  <c r="C11" i="2"/>
  <c r="C10" i="2"/>
  <c r="C12" i="2"/>
  <c r="O5" i="2"/>
  <c r="M6" i="2"/>
  <c r="N6" i="2"/>
  <c r="L6" i="2"/>
  <c r="O4" i="2"/>
  <c r="O3" i="2"/>
  <c r="G84" i="2" l="1"/>
  <c r="I84" i="2" s="1"/>
  <c r="D86" i="2"/>
  <c r="E86" i="2"/>
  <c r="E85" i="2"/>
  <c r="E87" i="2" s="1"/>
  <c r="E89" i="2" s="1"/>
  <c r="F85" i="2"/>
  <c r="F87" i="2" s="1"/>
  <c r="F89" i="2" s="1"/>
  <c r="D85" i="2"/>
  <c r="O6" i="2"/>
  <c r="G86" i="2" l="1"/>
  <c r="I86" i="2" s="1"/>
  <c r="G85" i="2"/>
  <c r="I85" i="2" s="1"/>
  <c r="D87" i="2"/>
  <c r="D89" i="2" s="1"/>
  <c r="C21" i="2"/>
  <c r="D21" i="2" s="1"/>
  <c r="I20" i="2" s="1"/>
  <c r="M14" i="2"/>
  <c r="M15" i="2" s="1"/>
  <c r="O13" i="2"/>
  <c r="C20" i="2"/>
  <c r="D20" i="2" s="1"/>
  <c r="H19" i="2" s="1"/>
  <c r="O12" i="2"/>
  <c r="D18" i="2"/>
  <c r="G19" i="2" s="1"/>
  <c r="L14" i="2"/>
  <c r="L15" i="2" s="1"/>
  <c r="O11" i="2"/>
  <c r="C19" i="2"/>
  <c r="D19" i="2" s="1"/>
  <c r="N14" i="2"/>
  <c r="N15" i="2" s="1"/>
  <c r="G87" i="2" l="1"/>
  <c r="G21" i="2"/>
  <c r="I21" i="2"/>
  <c r="H21" i="2"/>
  <c r="G20" i="2"/>
  <c r="I19" i="2"/>
  <c r="L19" i="2" s="1"/>
  <c r="O14" i="2"/>
  <c r="M19" i="2"/>
  <c r="H20" i="2"/>
  <c r="M20" i="2" s="1"/>
  <c r="L20" i="2" l="1"/>
  <c r="N20" i="2"/>
  <c r="M21" i="2"/>
  <c r="N21" i="2"/>
  <c r="L21" i="2"/>
  <c r="C26" i="2"/>
  <c r="D26" i="2" s="1"/>
  <c r="N19" i="2"/>
  <c r="O20" i="2" l="1"/>
  <c r="C29" i="2"/>
  <c r="D29" i="2" s="1"/>
  <c r="I28" i="2" s="1"/>
  <c r="C27" i="2"/>
  <c r="D27" i="2" s="1"/>
  <c r="O21" i="2"/>
  <c r="M22" i="2"/>
  <c r="M23" i="2" s="1"/>
  <c r="C28" i="2"/>
  <c r="D28" i="2" s="1"/>
  <c r="H27" i="2" s="1"/>
  <c r="L22" i="2"/>
  <c r="L23" i="2" s="1"/>
  <c r="G27" i="2"/>
  <c r="H28" i="2"/>
  <c r="O19" i="2"/>
  <c r="N22" i="2"/>
  <c r="N23" i="2" s="1"/>
  <c r="G29" i="2" l="1"/>
  <c r="O22" i="2"/>
  <c r="H29" i="2"/>
  <c r="I29" i="2"/>
  <c r="I27" i="2"/>
  <c r="N27" i="2" s="1"/>
  <c r="G28" i="2"/>
  <c r="N28" i="2" s="1"/>
  <c r="N29" i="2" l="1"/>
  <c r="N30" i="2" s="1"/>
  <c r="N31" i="2" s="1"/>
  <c r="L29" i="2"/>
  <c r="C37" i="2" s="1"/>
  <c r="D37" i="2" s="1"/>
  <c r="M28" i="2"/>
  <c r="M29" i="2"/>
  <c r="L27" i="2"/>
  <c r="M27" i="2"/>
  <c r="L28" i="2"/>
  <c r="C35" i="2" s="1"/>
  <c r="D35" i="2" s="1"/>
  <c r="O29" i="2" l="1"/>
  <c r="I36" i="2"/>
  <c r="G37" i="2"/>
  <c r="G36" i="2"/>
  <c r="I35" i="2"/>
  <c r="C36" i="2"/>
  <c r="D36" i="2" s="1"/>
  <c r="M30" i="2"/>
  <c r="M31" i="2" s="1"/>
  <c r="O27" i="2"/>
  <c r="C34" i="2"/>
  <c r="D34" i="2" s="1"/>
  <c r="L30" i="2"/>
  <c r="L31" i="2" s="1"/>
  <c r="O28" i="2"/>
  <c r="O30" i="2" l="1"/>
  <c r="G35" i="2"/>
  <c r="H36" i="2"/>
  <c r="N36" i="2" s="1"/>
  <c r="I37" i="2"/>
  <c r="H37" i="2"/>
  <c r="H35" i="2"/>
  <c r="M35" i="2" l="1"/>
  <c r="N35" i="2"/>
  <c r="L37" i="2"/>
  <c r="M37" i="2"/>
  <c r="L36" i="2"/>
  <c r="L35" i="2"/>
  <c r="N37" i="2"/>
  <c r="N38" i="2" s="1"/>
  <c r="N39" i="2" s="1"/>
  <c r="M36" i="2"/>
  <c r="M38" i="2" l="1"/>
  <c r="M39" i="2" s="1"/>
  <c r="L38" i="2"/>
  <c r="L39" i="2" s="1"/>
  <c r="O37" i="2"/>
  <c r="O36" i="2"/>
  <c r="O38" i="2" l="1"/>
  <c r="Q36" i="1"/>
  <c r="Q26" i="1" l="1"/>
  <c r="Q16" i="1"/>
  <c r="O15" i="1"/>
  <c r="O17" i="1" s="1"/>
  <c r="N15" i="1"/>
  <c r="N17" i="1" s="1"/>
  <c r="M15" i="1"/>
  <c r="M17" i="1" s="1"/>
  <c r="L15" i="1"/>
  <c r="L17" i="1" s="1"/>
  <c r="P14" i="1"/>
  <c r="R14" i="1" s="1"/>
  <c r="P13" i="1"/>
  <c r="R13" i="1" s="1"/>
  <c r="P12" i="1"/>
  <c r="R12" i="1" s="1"/>
  <c r="P11" i="1"/>
  <c r="R11" i="1" s="1"/>
  <c r="H46" i="1"/>
  <c r="H36" i="1"/>
  <c r="P15" i="1" l="1"/>
  <c r="R17" i="1" s="1"/>
  <c r="M23" i="1" l="1"/>
  <c r="N23" i="1"/>
  <c r="L24" i="1"/>
  <c r="M24" i="1"/>
  <c r="N24" i="1"/>
  <c r="O24" i="1"/>
  <c r="M21" i="1"/>
  <c r="O21" i="1"/>
  <c r="L21" i="1"/>
  <c r="O22" i="1"/>
  <c r="L23" i="1"/>
  <c r="N21" i="1"/>
  <c r="N22" i="1"/>
  <c r="M22" i="1"/>
  <c r="O23" i="1"/>
  <c r="L22" i="1"/>
  <c r="P22" i="1" l="1"/>
  <c r="R22" i="1" s="1"/>
  <c r="N25" i="1"/>
  <c r="N27" i="1" s="1"/>
  <c r="P23" i="1"/>
  <c r="R23" i="1" s="1"/>
  <c r="P21" i="1"/>
  <c r="L25" i="1"/>
  <c r="L27" i="1" s="1"/>
  <c r="O25" i="1"/>
  <c r="O27" i="1" s="1"/>
  <c r="M25" i="1"/>
  <c r="M27" i="1" s="1"/>
  <c r="P24" i="1"/>
  <c r="R24" i="1" s="1"/>
  <c r="R21" i="1" l="1"/>
  <c r="P25" i="1"/>
  <c r="R27" i="1" s="1"/>
  <c r="M32" i="1" s="1"/>
  <c r="N33" i="1"/>
  <c r="M34" i="1"/>
  <c r="N34" i="1"/>
  <c r="L34" i="1" l="1"/>
  <c r="O34" i="1"/>
  <c r="L33" i="1"/>
  <c r="M33" i="1"/>
  <c r="N31" i="1"/>
  <c r="L31" i="1"/>
  <c r="O31" i="1"/>
  <c r="M31" i="1"/>
  <c r="M35" i="1" s="1"/>
  <c r="M37" i="1" s="1"/>
  <c r="L32" i="1"/>
  <c r="N32" i="1"/>
  <c r="N35" i="1" s="1"/>
  <c r="N37" i="1" s="1"/>
  <c r="O33" i="1"/>
  <c r="O32" i="1"/>
  <c r="O35" i="1" s="1"/>
  <c r="O37" i="1" s="1"/>
  <c r="H26" i="1"/>
  <c r="H16" i="1"/>
  <c r="G14" i="1"/>
  <c r="G13" i="1"/>
  <c r="I13" i="1" s="1"/>
  <c r="G12" i="1"/>
  <c r="I12" i="1" s="1"/>
  <c r="G11" i="1"/>
  <c r="I11" i="1" s="1"/>
  <c r="F15" i="1"/>
  <c r="F17" i="1" s="1"/>
  <c r="E15" i="1"/>
  <c r="E17" i="1" s="1"/>
  <c r="D15" i="1"/>
  <c r="D17" i="1" s="1"/>
  <c r="C15" i="1"/>
  <c r="C17" i="1" s="1"/>
  <c r="P32" i="1" l="1"/>
  <c r="R32" i="1" s="1"/>
  <c r="F21" i="1"/>
  <c r="D21" i="1"/>
  <c r="C21" i="1"/>
  <c r="E21" i="1"/>
  <c r="P31" i="1"/>
  <c r="L35" i="1"/>
  <c r="L37" i="1" s="1"/>
  <c r="C23" i="1"/>
  <c r="D23" i="1"/>
  <c r="E23" i="1"/>
  <c r="F23" i="1"/>
  <c r="P33" i="1"/>
  <c r="R33" i="1" s="1"/>
  <c r="P34" i="1"/>
  <c r="R34" i="1" s="1"/>
  <c r="D22" i="1"/>
  <c r="E22" i="1"/>
  <c r="F22" i="1"/>
  <c r="C22" i="1"/>
  <c r="G15" i="1"/>
  <c r="I14" i="1"/>
  <c r="L3" i="1"/>
  <c r="N4" i="1"/>
  <c r="C3" i="1"/>
  <c r="C4" i="1"/>
  <c r="D5" i="1"/>
  <c r="E3" i="1"/>
  <c r="E5" i="1"/>
  <c r="E4" i="1"/>
  <c r="D4" i="1"/>
  <c r="C5" i="1"/>
  <c r="D3" i="1"/>
  <c r="G23" i="1" l="1"/>
  <c r="I23" i="1" s="1"/>
  <c r="R31" i="1"/>
  <c r="P35" i="1"/>
  <c r="R37" i="1" s="1"/>
  <c r="E24" i="1"/>
  <c r="C24" i="1"/>
  <c r="F24" i="1"/>
  <c r="D24" i="1"/>
  <c r="D25" i="1"/>
  <c r="D27" i="1" s="1"/>
  <c r="G22" i="1"/>
  <c r="I22" i="1" s="1"/>
  <c r="N6" i="1"/>
  <c r="F3" i="1"/>
  <c r="O5" i="1"/>
  <c r="F4" i="1"/>
  <c r="M6" i="1"/>
  <c r="L6" i="1"/>
  <c r="D6" i="1"/>
  <c r="E6" i="1"/>
  <c r="F5" i="1"/>
  <c r="F6" i="1" s="1"/>
  <c r="C6" i="1"/>
  <c r="O4" i="1"/>
  <c r="O3" i="1"/>
  <c r="D33" i="1" l="1"/>
  <c r="G24" i="1"/>
  <c r="I24" i="1" s="1"/>
  <c r="F34" i="1" s="1"/>
  <c r="E25" i="1"/>
  <c r="E27" i="1" s="1"/>
  <c r="E32" i="1" s="1"/>
  <c r="C32" i="1"/>
  <c r="F25" i="1"/>
  <c r="F27" i="1" s="1"/>
  <c r="F32" i="1" s="1"/>
  <c r="D32" i="1"/>
  <c r="D34" i="1"/>
  <c r="O6" i="1"/>
  <c r="C25" i="1"/>
  <c r="C27" i="1" s="1"/>
  <c r="C33" i="1" s="1"/>
  <c r="G21" i="1"/>
  <c r="G32" i="1" l="1"/>
  <c r="I32" i="1" s="1"/>
  <c r="C34" i="1"/>
  <c r="E33" i="1"/>
  <c r="F33" i="1"/>
  <c r="I21" i="1"/>
  <c r="G25" i="1"/>
  <c r="E34" i="1"/>
  <c r="F31" i="1" l="1"/>
  <c r="C31" i="1"/>
  <c r="D31" i="1"/>
  <c r="E31" i="1"/>
  <c r="G34" i="1"/>
  <c r="I34" i="1" s="1"/>
  <c r="G33" i="1"/>
  <c r="I33" i="1" s="1"/>
  <c r="E35" i="1" l="1"/>
  <c r="E37" i="1" s="1"/>
  <c r="D35" i="1"/>
  <c r="D37" i="1" s="1"/>
  <c r="D42" i="1" s="1"/>
  <c r="F35" i="1"/>
  <c r="F37" i="1" s="1"/>
  <c r="F42" i="1" s="1"/>
  <c r="D44" i="1"/>
  <c r="F44" i="1"/>
  <c r="E43" i="1"/>
  <c r="G31" i="1"/>
  <c r="C35" i="1"/>
  <c r="C37" i="1" s="1"/>
  <c r="C42" i="1" s="1"/>
  <c r="D43" i="1" l="1"/>
  <c r="I31" i="1"/>
  <c r="G35" i="1"/>
  <c r="E42" i="1"/>
  <c r="G42" i="1" s="1"/>
  <c r="I42" i="1" s="1"/>
  <c r="E44" i="1"/>
  <c r="F43" i="1"/>
  <c r="C43" i="1"/>
  <c r="G43" i="1" s="1"/>
  <c r="I43" i="1" s="1"/>
  <c r="C44" i="1"/>
  <c r="G44" i="1" s="1"/>
  <c r="I44" i="1" s="1"/>
  <c r="F41" i="1" l="1"/>
  <c r="F45" i="1" s="1"/>
  <c r="F47" i="1" s="1"/>
  <c r="E41" i="1"/>
  <c r="E45" i="1" s="1"/>
  <c r="E47" i="1" s="1"/>
  <c r="D41" i="1"/>
  <c r="D45" i="1" s="1"/>
  <c r="D47" i="1" s="1"/>
  <c r="C41" i="1"/>
  <c r="C45" i="1" l="1"/>
  <c r="C47" i="1" s="1"/>
  <c r="G41" i="1"/>
  <c r="G45" i="1" l="1"/>
  <c r="I41" i="1"/>
  <c r="E46" i="2" l="1"/>
  <c r="L44" i="2" s="1"/>
  <c r="F46" i="2"/>
  <c r="F48" i="2" s="1"/>
  <c r="D48" i="2"/>
  <c r="G43" i="2"/>
  <c r="G44" i="2"/>
  <c r="I44" i="2" s="1"/>
  <c r="G45" i="2"/>
  <c r="I45" i="2" s="1"/>
  <c r="E48" i="2" l="1"/>
  <c r="G46" i="2"/>
  <c r="M45" i="2"/>
  <c r="P43" i="2" s="1" a="1"/>
  <c r="I43" i="2"/>
  <c r="S45" i="2" l="1"/>
  <c r="P43" i="2"/>
  <c r="Q46" i="2"/>
  <c r="Q48" i="2" s="1"/>
  <c r="S44" i="2"/>
  <c r="R46" i="2"/>
  <c r="R48" i="2" s="1"/>
  <c r="U44" i="2" l="1"/>
  <c r="X44" i="2"/>
  <c r="P46" i="2"/>
  <c r="P48" i="2" s="1"/>
  <c r="S43" i="2"/>
  <c r="Y45" i="2"/>
  <c r="U45" i="2"/>
  <c r="W43" i="2" l="1"/>
  <c r="D52" i="2" s="1" a="1"/>
  <c r="S46" i="2"/>
  <c r="U43" i="2"/>
  <c r="F55" i="2" l="1"/>
  <c r="G54" i="2"/>
  <c r="I54" i="2" s="1"/>
  <c r="D52" i="2"/>
  <c r="G53" i="2"/>
  <c r="I53" i="2" s="1"/>
  <c r="E55" i="2"/>
  <c r="E57" i="2" l="1"/>
  <c r="L53" i="2"/>
  <c r="G52" i="2"/>
  <c r="D55" i="2"/>
  <c r="F57" i="2"/>
  <c r="M54" i="2"/>
  <c r="K52" i="2" l="1"/>
  <c r="P52" i="2" s="1" a="1"/>
  <c r="D57" i="2"/>
  <c r="G55" i="2"/>
  <c r="I52" i="2"/>
  <c r="R55" i="2" l="1"/>
  <c r="R57" i="2" s="1"/>
  <c r="P52" i="2"/>
  <c r="P55" i="2" s="1"/>
  <c r="S54" i="2"/>
  <c r="Q55" i="2"/>
  <c r="Q57" i="2" s="1"/>
  <c r="S53" i="2"/>
  <c r="X53" i="2" l="1"/>
  <c r="U53" i="2"/>
  <c r="Y54" i="2"/>
  <c r="U54" i="2"/>
  <c r="P57" i="2"/>
  <c r="S52" i="2"/>
  <c r="U52" i="2" l="1"/>
  <c r="S55" i="2"/>
  <c r="W52" i="2"/>
  <c r="D61" i="2" s="1" a="1"/>
  <c r="G62" i="2" l="1"/>
  <c r="I62" i="2" s="1"/>
  <c r="G63" i="2"/>
  <c r="I63" i="2" s="1"/>
  <c r="E64" i="2"/>
  <c r="E66" i="2" s="1"/>
  <c r="F64" i="2"/>
  <c r="F66" i="2" s="1"/>
  <c r="D61" i="2"/>
  <c r="G61" i="2" l="1"/>
  <c r="I61" i="2" s="1"/>
  <c r="D64" i="2"/>
  <c r="D66" i="2" s="1"/>
  <c r="G6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<sst xmlns="http://schemas.openxmlformats.org/spreadsheetml/2006/main" count="390" uniqueCount="55">
  <si>
    <t>A</t>
  </si>
  <si>
    <t>A</t>
    <phoneticPr fontId="2" type="noConversion"/>
  </si>
  <si>
    <t>B</t>
  </si>
  <si>
    <t>B</t>
    <phoneticPr fontId="2" type="noConversion"/>
  </si>
  <si>
    <t>C</t>
  </si>
  <si>
    <t>C</t>
    <phoneticPr fontId="2" type="noConversion"/>
  </si>
  <si>
    <t>P-A表</t>
    <phoneticPr fontId="2" type="noConversion"/>
  </si>
  <si>
    <t>O-D表</t>
    <phoneticPr fontId="2" type="noConversion"/>
  </si>
  <si>
    <t>迄點區 j</t>
  </si>
  <si>
    <t>迄點區 j</t>
    <phoneticPr fontId="2" type="noConversion"/>
  </si>
  <si>
    <t>起點區 i</t>
  </si>
  <si>
    <t>起點區 i</t>
    <phoneticPr fontId="2" type="noConversion"/>
  </si>
  <si>
    <t>產生區 i</t>
    <phoneticPr fontId="2" type="noConversion"/>
  </si>
  <si>
    <t>吸引區 j</t>
    <phoneticPr fontId="2" type="noConversion"/>
  </si>
  <si>
    <t>1.</t>
    <phoneticPr fontId="2" type="noConversion"/>
  </si>
  <si>
    <t>(1)</t>
    <phoneticPr fontId="2" type="noConversion"/>
  </si>
  <si>
    <t>(2)</t>
    <phoneticPr fontId="2" type="noConversion"/>
  </si>
  <si>
    <t>2.</t>
    <phoneticPr fontId="2" type="noConversion"/>
  </si>
  <si>
    <t>D</t>
    <phoneticPr fontId="2" type="noConversion"/>
  </si>
  <si>
    <t>Ti</t>
    <phoneticPr fontId="2" type="noConversion"/>
  </si>
  <si>
    <t>Vi</t>
    <phoneticPr fontId="2" type="noConversion"/>
  </si>
  <si>
    <t>Tj</t>
    <phoneticPr fontId="2" type="noConversion"/>
  </si>
  <si>
    <t>Vj</t>
    <phoneticPr fontId="2" type="noConversion"/>
  </si>
  <si>
    <t>Fj</t>
    <phoneticPr fontId="2" type="noConversion"/>
  </si>
  <si>
    <t>Fi</t>
    <phoneticPr fontId="2" type="noConversion"/>
  </si>
  <si>
    <t>3.</t>
    <phoneticPr fontId="2" type="noConversion"/>
  </si>
  <si>
    <t>起點分區 i</t>
  </si>
  <si>
    <t>起點分區 i</t>
    <phoneticPr fontId="2" type="noConversion"/>
  </si>
  <si>
    <t>迄點分區 j</t>
  </si>
  <si>
    <t>迄點分區 j</t>
    <phoneticPr fontId="2" type="noConversion"/>
  </si>
  <si>
    <t>T</t>
    <phoneticPr fontId="2" type="noConversion"/>
  </si>
  <si>
    <t>誤差</t>
    <phoneticPr fontId="2" type="noConversion"/>
  </si>
  <si>
    <t>k = 1</t>
    <phoneticPr fontId="2" type="noConversion"/>
  </si>
  <si>
    <t>k = 2</t>
    <phoneticPr fontId="2" type="noConversion"/>
  </si>
  <si>
    <t>k = 3</t>
    <phoneticPr fontId="2" type="noConversion"/>
  </si>
  <si>
    <t>(3)</t>
    <phoneticPr fontId="2" type="noConversion"/>
  </si>
  <si>
    <r>
      <t>P</t>
    </r>
    <r>
      <rPr>
        <b/>
        <vertAlign val="subscript"/>
        <sz val="12"/>
        <color theme="1"/>
        <rFont val="微軟正黑體"/>
        <family val="2"/>
        <charset val="136"/>
      </rPr>
      <t>i</t>
    </r>
    <phoneticPr fontId="2" type="noConversion"/>
  </si>
  <si>
    <r>
      <t>O</t>
    </r>
    <r>
      <rPr>
        <b/>
        <vertAlign val="subscript"/>
        <sz val="12"/>
        <color theme="1"/>
        <rFont val="微軟正黑體"/>
        <family val="2"/>
        <charset val="136"/>
      </rPr>
      <t>i</t>
    </r>
    <phoneticPr fontId="2" type="noConversion"/>
  </si>
  <si>
    <r>
      <t>A</t>
    </r>
    <r>
      <rPr>
        <b/>
        <vertAlign val="subscript"/>
        <sz val="12"/>
        <color theme="1"/>
        <rFont val="微軟正黑體"/>
        <family val="2"/>
        <charset val="136"/>
      </rPr>
      <t>j</t>
    </r>
    <phoneticPr fontId="2" type="noConversion"/>
  </si>
  <si>
    <r>
      <t>D</t>
    </r>
    <r>
      <rPr>
        <b/>
        <vertAlign val="subscript"/>
        <sz val="12"/>
        <color theme="1"/>
        <rFont val="微軟正黑體"/>
        <family val="2"/>
        <charset val="136"/>
      </rPr>
      <t>j</t>
    </r>
    <phoneticPr fontId="2" type="noConversion"/>
  </si>
  <si>
    <t>旅次長度</t>
    <phoneticPr fontId="2" type="noConversion"/>
  </si>
  <si>
    <t>0.1 ~ 5.0</t>
    <phoneticPr fontId="2" type="noConversion"/>
  </si>
  <si>
    <t>5.1 ~ 10.0</t>
    <phoneticPr fontId="2" type="noConversion"/>
  </si>
  <si>
    <t>10.1 ~ 15.0</t>
    <phoneticPr fontId="2" type="noConversion"/>
  </si>
  <si>
    <t>15.1 ~ 20.0</t>
    <phoneticPr fontId="2" type="noConversion"/>
  </si>
  <si>
    <t>k = 0</t>
    <phoneticPr fontId="2" type="noConversion"/>
  </si>
  <si>
    <r>
      <t>P</t>
    </r>
    <r>
      <rPr>
        <b/>
        <vertAlign val="subscript"/>
        <sz val="12"/>
        <color theme="1"/>
        <rFont val="微軟正黑體"/>
        <family val="2"/>
        <charset val="136"/>
      </rPr>
      <t>i</t>
    </r>
    <r>
      <rPr>
        <b/>
        <vertAlign val="superscript"/>
        <sz val="12"/>
        <color theme="1"/>
        <rFont val="微軟正黑體"/>
        <family val="2"/>
        <charset val="136"/>
      </rPr>
      <t>0</t>
    </r>
    <phoneticPr fontId="2" type="noConversion"/>
  </si>
  <si>
    <r>
      <t>A</t>
    </r>
    <r>
      <rPr>
        <b/>
        <vertAlign val="subscript"/>
        <sz val="12"/>
        <color theme="1"/>
        <rFont val="微軟正黑體"/>
        <family val="2"/>
        <charset val="136"/>
      </rPr>
      <t>j</t>
    </r>
    <r>
      <rPr>
        <b/>
        <vertAlign val="superscript"/>
        <sz val="12"/>
        <color theme="1"/>
        <rFont val="微軟正黑體"/>
        <family val="2"/>
        <charset val="136"/>
      </rPr>
      <t>0</t>
    </r>
    <phoneticPr fontId="2" type="noConversion"/>
  </si>
  <si>
    <r>
      <t>f</t>
    </r>
    <r>
      <rPr>
        <b/>
        <vertAlign val="subscript"/>
        <sz val="12"/>
        <color theme="1"/>
        <rFont val="微軟正黑體"/>
        <family val="2"/>
        <charset val="136"/>
      </rPr>
      <t>ij</t>
    </r>
    <phoneticPr fontId="2" type="noConversion"/>
  </si>
  <si>
    <r>
      <rPr>
        <b/>
        <sz val="12"/>
        <color theme="1"/>
        <rFont val="微軟正黑體"/>
        <family val="2"/>
        <charset val="136"/>
      </rPr>
      <t>A</t>
    </r>
    <r>
      <rPr>
        <b/>
        <vertAlign val="subscript"/>
        <sz val="12"/>
        <color theme="1"/>
        <rFont val="微軟正黑體"/>
        <family val="2"/>
        <charset val="136"/>
      </rPr>
      <t>j</t>
    </r>
    <phoneticPr fontId="2" type="noConversion"/>
  </si>
  <si>
    <r>
      <t>C</t>
    </r>
    <r>
      <rPr>
        <b/>
        <vertAlign val="subscript"/>
        <sz val="12"/>
        <color theme="1"/>
        <rFont val="微軟正黑體"/>
        <family val="2"/>
        <charset val="136"/>
      </rPr>
      <t>j</t>
    </r>
    <phoneticPr fontId="2" type="noConversion"/>
  </si>
  <si>
    <r>
      <t>R</t>
    </r>
    <r>
      <rPr>
        <b/>
        <vertAlign val="subscript"/>
        <sz val="12"/>
        <color theme="1"/>
        <rFont val="微軟正黑體"/>
        <family val="2"/>
        <charset val="136"/>
      </rPr>
      <t>j</t>
    </r>
    <phoneticPr fontId="2" type="noConversion"/>
  </si>
  <si>
    <r>
      <t>R</t>
    </r>
    <r>
      <rPr>
        <b/>
        <vertAlign val="subscript"/>
        <sz val="12"/>
        <color theme="1"/>
        <rFont val="微軟正黑體"/>
        <family val="2"/>
        <charset val="136"/>
      </rPr>
      <t>ij</t>
    </r>
    <phoneticPr fontId="2" type="noConversion"/>
  </si>
  <si>
    <r>
      <t>X</t>
    </r>
    <r>
      <rPr>
        <b/>
        <vertAlign val="subscript"/>
        <sz val="12"/>
        <color theme="1"/>
        <rFont val="微軟正黑體"/>
        <family val="2"/>
        <charset val="136"/>
      </rPr>
      <t>ij</t>
    </r>
    <phoneticPr fontId="2" type="noConversion"/>
  </si>
  <si>
    <r>
      <t>K</t>
    </r>
    <r>
      <rPr>
        <b/>
        <vertAlign val="subscript"/>
        <sz val="12"/>
        <color theme="1"/>
        <rFont val="微軟正黑體"/>
        <family val="2"/>
        <charset val="136"/>
      </rPr>
      <t>ij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</si>
</sst>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"/>
    <numFmt numFmtId="179" formatCode="0.0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vertAlign val="subscript"/>
      <sz val="12"/>
      <color theme="1"/>
      <name val="微軟正黑體"/>
      <family val="2"/>
      <charset val="136"/>
    </font>
    <font>
      <b/>
      <vertAlign val="superscript"/>
      <sz val="12"/>
      <color theme="1"/>
      <name val="微軟正黑體"/>
      <family val="2"/>
      <charset val="136"/>
    </font>
    <font>
      <b/>
      <sz val="9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10" fontId="3" fillId="0" borderId="6" xfId="1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7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49" xfId="0" applyFont="1" applyBorder="1">
      <alignment vertical="center"/>
    </xf>
    <xf numFmtId="0" fontId="3" fillId="0" borderId="47" xfId="0" applyFont="1" applyBorder="1">
      <alignment vertical="center"/>
    </xf>
    <xf numFmtId="0" fontId="6" fillId="0" borderId="53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3" fillId="0" borderId="4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6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79" fontId="3" fillId="0" borderId="38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48" xfId="0" applyNumberFormat="1" applyFont="1" applyBorder="1" applyAlignment="1">
      <alignment horizontal="center" vertical="center"/>
    </xf>
    <xf numFmtId="179" fontId="3" fillId="0" borderId="40" xfId="0" applyNumberFormat="1" applyFont="1" applyBorder="1" applyAlignment="1">
      <alignment horizontal="center" vertical="center"/>
    </xf>
    <xf numFmtId="177" fontId="3" fillId="0" borderId="41" xfId="0" applyNumberFormat="1" applyFont="1" applyBorder="1" applyAlignment="1">
      <alignment horizontal="center" vertical="center"/>
    </xf>
    <xf numFmtId="177" fontId="3" fillId="0" borderId="30" xfId="0" applyNumberFormat="1" applyFont="1" applyBorder="1" applyAlignment="1">
      <alignment horizontal="center" vertical="center"/>
    </xf>
    <xf numFmtId="179" fontId="3" fillId="0" borderId="46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179" fontId="3" fillId="0" borderId="49" xfId="0" applyNumberFormat="1" applyFont="1" applyBorder="1" applyAlignment="1">
      <alignment horizontal="center" vertical="center"/>
    </xf>
    <xf numFmtId="179" fontId="3" fillId="0" borderId="47" xfId="0" applyNumberFormat="1" applyFont="1" applyBorder="1" applyAlignment="1">
      <alignment horizontal="center" vertical="center"/>
    </xf>
    <xf numFmtId="179" fontId="3" fillId="0" borderId="48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42" xfId="0" applyNumberFormat="1" applyFont="1" applyBorder="1" applyAlignment="1">
      <alignment horizontal="center" vertical="center"/>
    </xf>
    <xf numFmtId="2" fontId="3" fillId="0" borderId="49" xfId="0" applyNumberFormat="1" applyFont="1" applyBorder="1">
      <alignment vertical="center"/>
    </xf>
    <xf numFmtId="2" fontId="3" fillId="0" borderId="48" xfId="0" applyNumberFormat="1" applyFont="1" applyBorder="1">
      <alignment vertical="center"/>
    </xf>
    <xf numFmtId="2" fontId="3" fillId="0" borderId="47" xfId="0" applyNumberFormat="1" applyFont="1" applyBorder="1">
      <alignment vertical="center"/>
    </xf>
    <xf numFmtId="177" fontId="3" fillId="0" borderId="13" xfId="0" applyNumberFormat="1" applyFont="1" applyBorder="1">
      <alignment vertical="center"/>
    </xf>
    <xf numFmtId="177" fontId="3" fillId="0" borderId="6" xfId="0" applyNumberFormat="1" applyFont="1" applyBorder="1">
      <alignment vertical="center"/>
    </xf>
    <xf numFmtId="177" fontId="3" fillId="0" borderId="9" xfId="0" applyNumberFormat="1" applyFont="1" applyBorder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3" fillId="0" borderId="8" xfId="0" applyNumberFormat="1" applyFont="1" applyFill="1" applyBorder="1" applyAlignment="1">
      <alignment horizontal="center" vertical="center"/>
    </xf>
    <xf numFmtId="177" fontId="3" fillId="0" borderId="6" xfId="0" applyNumberFormat="1" applyFont="1" applyFill="1" applyBorder="1" applyAlignment="1">
      <alignment horizontal="center" vertical="center"/>
    </xf>
    <xf numFmtId="177" fontId="3" fillId="0" borderId="9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177" fontId="3" fillId="0" borderId="2" xfId="0" applyNumberFormat="1" applyFont="1" applyBorder="1">
      <alignment vertical="center"/>
    </xf>
    <xf numFmtId="177" fontId="3" fillId="0" borderId="3" xfId="0" applyNumberFormat="1" applyFont="1" applyBorder="1">
      <alignment vertical="center"/>
    </xf>
    <xf numFmtId="177" fontId="3" fillId="0" borderId="4" xfId="0" applyNumberFormat="1" applyFont="1" applyBorder="1">
      <alignment vertical="center"/>
    </xf>
    <xf numFmtId="177" fontId="3" fillId="0" borderId="5" xfId="0" applyNumberFormat="1" applyFont="1" applyBorder="1">
      <alignment vertical="center"/>
    </xf>
    <xf numFmtId="177" fontId="3" fillId="0" borderId="7" xfId="0" applyNumberFormat="1" applyFont="1" applyBorder="1">
      <alignment vertical="center"/>
    </xf>
    <xf numFmtId="177" fontId="3" fillId="0" borderId="8" xfId="0" applyNumberFormat="1" applyFont="1" applyBorder="1">
      <alignment vertical="center"/>
    </xf>
    <xf numFmtId="1" fontId="3" fillId="0" borderId="3" xfId="0" applyNumberFormat="1" applyFont="1" applyBorder="1">
      <alignment vertical="center"/>
    </xf>
    <xf numFmtId="1" fontId="3" fillId="0" borderId="4" xfId="0" applyNumberFormat="1" applyFont="1" applyBorder="1">
      <alignment vertical="center"/>
    </xf>
    <xf numFmtId="1" fontId="3" fillId="0" borderId="6" xfId="0" applyNumberFormat="1" applyFont="1" applyBorder="1">
      <alignment vertical="center"/>
    </xf>
    <xf numFmtId="1" fontId="3" fillId="0" borderId="5" xfId="0" applyNumberFormat="1" applyFont="1" applyBorder="1">
      <alignment vertical="center"/>
    </xf>
    <xf numFmtId="1" fontId="3" fillId="0" borderId="7" xfId="0" applyNumberFormat="1" applyFont="1" applyBorder="1">
      <alignment vertical="center"/>
    </xf>
    <xf numFmtId="1" fontId="3" fillId="0" borderId="8" xfId="0" applyNumberFormat="1" applyFont="1" applyBorder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8C3A-A07C-4F7A-BA66-48FB3BEE9FE8}">
  <dimension ref="A1:R47"/>
  <sheetViews>
    <sheetView zoomScale="83" workbookViewId="0">
      <selection activeCell="K29" sqref="K29:R37"/>
    </sheetView>
  </sheetViews>
  <sheetFormatPr defaultRowHeight="15.4" x14ac:dyDescent="0.45"/>
  <cols>
    <col min="1" max="1" width="3.1328125" style="1" customWidth="1"/>
    <col min="2" max="4" width="9.06640625" style="3"/>
    <col min="5" max="5" width="9.53125" style="3" bestFit="1" customWidth="1"/>
    <col min="6" max="9" width="9.06640625" style="3"/>
    <col min="10" max="10" width="3.1328125" style="3" customWidth="1"/>
    <col min="11" max="15" width="9.06640625" style="3"/>
    <col min="16" max="16" width="9.06640625" style="3" customWidth="1"/>
    <col min="17" max="16384" width="9.06640625" style="3"/>
  </cols>
  <sheetData>
    <row r="1" spans="1:18" ht="19.149999999999999" customHeight="1" x14ac:dyDescent="0.45">
      <c r="A1" s="1" t="s">
        <v>14</v>
      </c>
      <c r="B1" s="22" t="s">
        <v>6</v>
      </c>
      <c r="C1" s="104" t="s">
        <v>13</v>
      </c>
      <c r="D1" s="105"/>
      <c r="E1" s="106"/>
      <c r="F1" s="96" t="s">
        <v>36</v>
      </c>
      <c r="J1" s="1" t="s">
        <v>16</v>
      </c>
      <c r="K1" s="22" t="s">
        <v>7</v>
      </c>
      <c r="L1" s="104" t="s">
        <v>9</v>
      </c>
      <c r="M1" s="105"/>
      <c r="N1" s="106"/>
      <c r="O1" s="96" t="s">
        <v>37</v>
      </c>
    </row>
    <row r="2" spans="1:18" ht="15.75" thickBot="1" x14ac:dyDescent="0.5">
      <c r="A2" s="1" t="s">
        <v>15</v>
      </c>
      <c r="B2" s="23" t="s">
        <v>12</v>
      </c>
      <c r="C2" s="7" t="s">
        <v>1</v>
      </c>
      <c r="D2" s="8" t="s">
        <v>3</v>
      </c>
      <c r="E2" s="9" t="s">
        <v>5</v>
      </c>
      <c r="F2" s="97"/>
      <c r="J2" s="1"/>
      <c r="K2" s="23" t="s">
        <v>11</v>
      </c>
      <c r="L2" s="7" t="s">
        <v>1</v>
      </c>
      <c r="M2" s="8" t="s">
        <v>3</v>
      </c>
      <c r="N2" s="9" t="s">
        <v>5</v>
      </c>
      <c r="O2" s="97"/>
    </row>
    <row r="3" spans="1:18" x14ac:dyDescent="0.45">
      <c r="B3" s="30" t="s">
        <v>1</v>
      </c>
      <c r="C3" s="13">
        <f>120</f>
        <v>120</v>
      </c>
      <c r="D3" s="14">
        <f>100</f>
        <v>100</v>
      </c>
      <c r="E3" s="15">
        <f>100+100+50+120</f>
        <v>370</v>
      </c>
      <c r="F3" s="31">
        <f>SUM(C3:E3)</f>
        <v>590</v>
      </c>
      <c r="J3" s="1"/>
      <c r="K3" s="22" t="s">
        <v>1</v>
      </c>
      <c r="L3" s="2">
        <f>120</f>
        <v>120</v>
      </c>
      <c r="M3" s="20">
        <f>100</f>
        <v>100</v>
      </c>
      <c r="N3" s="21">
        <f>100+50+80+120</f>
        <v>350</v>
      </c>
      <c r="O3" s="26">
        <f>SUM(L3:N3)</f>
        <v>570</v>
      </c>
    </row>
    <row r="4" spans="1:18" x14ac:dyDescent="0.45">
      <c r="B4" s="24" t="s">
        <v>3</v>
      </c>
      <c r="C4" s="4">
        <f>100+50+120</f>
        <v>270</v>
      </c>
      <c r="D4" s="5">
        <f>50+150</f>
        <v>200</v>
      </c>
      <c r="E4" s="6">
        <f>150</f>
        <v>150</v>
      </c>
      <c r="F4" s="27">
        <f t="shared" ref="F4:F5" si="0">SUM(C4:E4)</f>
        <v>620</v>
      </c>
      <c r="J4" s="1"/>
      <c r="K4" s="24" t="s">
        <v>3</v>
      </c>
      <c r="L4" s="4">
        <f>100+50+120</f>
        <v>270</v>
      </c>
      <c r="M4" s="5">
        <f>50+150</f>
        <v>200</v>
      </c>
      <c r="N4" s="6">
        <f>80+150</f>
        <v>230</v>
      </c>
      <c r="O4" s="27">
        <f t="shared" ref="O4:O5" si="1">SUM(L4:N4)</f>
        <v>700</v>
      </c>
    </row>
    <row r="5" spans="1:18" ht="15.75" thickBot="1" x14ac:dyDescent="0.5">
      <c r="B5" s="32" t="s">
        <v>5</v>
      </c>
      <c r="C5" s="33">
        <f>80+80</f>
        <v>160</v>
      </c>
      <c r="D5" s="34">
        <f>50+80+80+150+120</f>
        <v>480</v>
      </c>
      <c r="E5" s="35">
        <f>150</f>
        <v>150</v>
      </c>
      <c r="F5" s="36">
        <f t="shared" si="0"/>
        <v>790</v>
      </c>
      <c r="J5" s="1"/>
      <c r="K5" s="23" t="s">
        <v>5</v>
      </c>
      <c r="L5" s="7">
        <f>100+80</f>
        <v>180</v>
      </c>
      <c r="M5" s="8">
        <f>50+80+150+120</f>
        <v>400</v>
      </c>
      <c r="N5" s="9">
        <f>150</f>
        <v>150</v>
      </c>
      <c r="O5" s="28">
        <f t="shared" si="1"/>
        <v>730</v>
      </c>
    </row>
    <row r="6" spans="1:18" ht="18" thickBot="1" x14ac:dyDescent="0.5">
      <c r="B6" s="37" t="s">
        <v>38</v>
      </c>
      <c r="C6" s="38">
        <f>SUM(C3:C5)</f>
        <v>550</v>
      </c>
      <c r="D6" s="39">
        <f t="shared" ref="D6:E6" si="2">SUM(D3:D5)</f>
        <v>780</v>
      </c>
      <c r="E6" s="40">
        <f t="shared" si="2"/>
        <v>670</v>
      </c>
      <c r="F6" s="41">
        <f>SUM(F3:F5)</f>
        <v>2000</v>
      </c>
      <c r="J6" s="1"/>
      <c r="K6" s="25" t="s">
        <v>39</v>
      </c>
      <c r="L6" s="17">
        <f>SUM(L3:L5)</f>
        <v>570</v>
      </c>
      <c r="M6" s="18">
        <f t="shared" ref="M6" si="3">SUM(M3:M5)</f>
        <v>700</v>
      </c>
      <c r="N6" s="19">
        <f t="shared" ref="N6" si="4">SUM(N3:N5)</f>
        <v>730</v>
      </c>
      <c r="O6" s="29">
        <f>SUM(O3:O5)</f>
        <v>2000</v>
      </c>
    </row>
    <row r="8" spans="1:18" ht="15.75" thickBot="1" x14ac:dyDescent="0.5"/>
    <row r="9" spans="1:18" ht="16.149999999999999" customHeight="1" x14ac:dyDescent="0.45">
      <c r="A9" s="1" t="s">
        <v>17</v>
      </c>
      <c r="B9" s="98" t="s">
        <v>8</v>
      </c>
      <c r="C9" s="101" t="s">
        <v>10</v>
      </c>
      <c r="D9" s="101"/>
      <c r="E9" s="101"/>
      <c r="F9" s="101"/>
      <c r="G9" s="100" t="s">
        <v>21</v>
      </c>
      <c r="H9" s="101" t="s">
        <v>22</v>
      </c>
      <c r="I9" s="102" t="s">
        <v>23</v>
      </c>
      <c r="K9" s="98" t="s">
        <v>8</v>
      </c>
      <c r="L9" s="100" t="s">
        <v>10</v>
      </c>
      <c r="M9" s="101"/>
      <c r="N9" s="101"/>
      <c r="O9" s="102"/>
      <c r="P9" s="101" t="s">
        <v>21</v>
      </c>
      <c r="Q9" s="101" t="s">
        <v>22</v>
      </c>
      <c r="R9" s="102" t="s">
        <v>23</v>
      </c>
    </row>
    <row r="10" spans="1:18" ht="15.75" thickBot="1" x14ac:dyDescent="0.5">
      <c r="A10" s="1" t="s">
        <v>15</v>
      </c>
      <c r="B10" s="99"/>
      <c r="C10" s="45" t="s">
        <v>1</v>
      </c>
      <c r="D10" s="45" t="s">
        <v>3</v>
      </c>
      <c r="E10" s="45" t="s">
        <v>5</v>
      </c>
      <c r="F10" s="45" t="s">
        <v>18</v>
      </c>
      <c r="G10" s="108"/>
      <c r="H10" s="109"/>
      <c r="I10" s="107"/>
      <c r="J10" s="1" t="s">
        <v>16</v>
      </c>
      <c r="K10" s="99"/>
      <c r="L10" s="25" t="s">
        <v>1</v>
      </c>
      <c r="M10" s="45" t="s">
        <v>3</v>
      </c>
      <c r="N10" s="45" t="s">
        <v>5</v>
      </c>
      <c r="O10" s="29" t="s">
        <v>18</v>
      </c>
      <c r="P10" s="109"/>
      <c r="Q10" s="109"/>
      <c r="R10" s="107"/>
    </row>
    <row r="11" spans="1:18" x14ac:dyDescent="0.45">
      <c r="B11" s="46" t="s">
        <v>1</v>
      </c>
      <c r="C11" s="42">
        <v>290</v>
      </c>
      <c r="D11" s="42">
        <v>120</v>
      </c>
      <c r="E11" s="42">
        <v>90</v>
      </c>
      <c r="F11" s="42">
        <v>160</v>
      </c>
      <c r="G11" s="43">
        <f>SUM(C11:F11)</f>
        <v>660</v>
      </c>
      <c r="H11" s="42">
        <v>850</v>
      </c>
      <c r="I11" s="44">
        <f>H11/G11</f>
        <v>1.2878787878787878</v>
      </c>
      <c r="K11" s="48" t="s">
        <v>1</v>
      </c>
      <c r="L11" s="51">
        <v>290</v>
      </c>
      <c r="M11" s="49">
        <v>120</v>
      </c>
      <c r="N11" s="49">
        <v>90</v>
      </c>
      <c r="O11" s="50">
        <v>160</v>
      </c>
      <c r="P11" s="49">
        <f>SUM(L11:O11)</f>
        <v>660</v>
      </c>
      <c r="Q11" s="49">
        <v>850</v>
      </c>
      <c r="R11" s="50">
        <f>Q11/P11</f>
        <v>1.2878787878787878</v>
      </c>
    </row>
    <row r="12" spans="1:18" x14ac:dyDescent="0.45">
      <c r="B12" s="46" t="s">
        <v>3</v>
      </c>
      <c r="C12" s="42">
        <v>170</v>
      </c>
      <c r="D12" s="42">
        <v>690</v>
      </c>
      <c r="E12" s="42">
        <v>60</v>
      </c>
      <c r="F12" s="42">
        <v>100</v>
      </c>
      <c r="G12" s="43">
        <f>SUM(C12:F12)</f>
        <v>1020</v>
      </c>
      <c r="H12" s="42">
        <v>1230</v>
      </c>
      <c r="I12" s="44">
        <f t="shared" ref="I12:I14" si="5">H12/G12</f>
        <v>1.2058823529411764</v>
      </c>
      <c r="K12" s="46" t="s">
        <v>3</v>
      </c>
      <c r="L12" s="43">
        <v>170</v>
      </c>
      <c r="M12" s="42">
        <v>690</v>
      </c>
      <c r="N12" s="42">
        <v>60</v>
      </c>
      <c r="O12" s="44">
        <v>100</v>
      </c>
      <c r="P12" s="42">
        <f>SUM(L12:O12)</f>
        <v>1020</v>
      </c>
      <c r="Q12" s="42">
        <v>1230</v>
      </c>
      <c r="R12" s="44">
        <f t="shared" ref="R12:R14" si="6">Q12/P12</f>
        <v>1.2058823529411764</v>
      </c>
    </row>
    <row r="13" spans="1:18" x14ac:dyDescent="0.45">
      <c r="B13" s="46" t="s">
        <v>5</v>
      </c>
      <c r="C13" s="42">
        <v>340</v>
      </c>
      <c r="D13" s="42">
        <v>530</v>
      </c>
      <c r="E13" s="42">
        <v>300</v>
      </c>
      <c r="F13" s="42">
        <v>720</v>
      </c>
      <c r="G13" s="43">
        <f>SUM(C13:F13)</f>
        <v>1890</v>
      </c>
      <c r="H13" s="42">
        <v>2270</v>
      </c>
      <c r="I13" s="44">
        <f t="shared" si="5"/>
        <v>1.2010582010582012</v>
      </c>
      <c r="K13" s="46" t="s">
        <v>5</v>
      </c>
      <c r="L13" s="43">
        <v>340</v>
      </c>
      <c r="M13" s="42">
        <v>530</v>
      </c>
      <c r="N13" s="42">
        <v>300</v>
      </c>
      <c r="O13" s="44">
        <v>720</v>
      </c>
      <c r="P13" s="42">
        <f>SUM(L13:O13)</f>
        <v>1890</v>
      </c>
      <c r="Q13" s="42">
        <v>2270</v>
      </c>
      <c r="R13" s="44">
        <f t="shared" si="6"/>
        <v>1.2010582010582012</v>
      </c>
    </row>
    <row r="14" spans="1:18" ht="15.75" thickBot="1" x14ac:dyDescent="0.5">
      <c r="B14" s="46" t="s">
        <v>18</v>
      </c>
      <c r="C14" s="42">
        <v>250</v>
      </c>
      <c r="D14" s="42">
        <v>410</v>
      </c>
      <c r="E14" s="42">
        <v>170</v>
      </c>
      <c r="F14" s="42">
        <v>130</v>
      </c>
      <c r="G14" s="43">
        <f>SUM(C14:F14)</f>
        <v>960</v>
      </c>
      <c r="H14" s="42">
        <v>1390</v>
      </c>
      <c r="I14" s="44">
        <f t="shared" si="5"/>
        <v>1.4479166666666667</v>
      </c>
      <c r="K14" s="47" t="s">
        <v>18</v>
      </c>
      <c r="L14" s="25">
        <v>250</v>
      </c>
      <c r="M14" s="45">
        <v>410</v>
      </c>
      <c r="N14" s="45">
        <v>170</v>
      </c>
      <c r="O14" s="29">
        <v>130</v>
      </c>
      <c r="P14" s="45">
        <f>SUM(L14:O14)</f>
        <v>960</v>
      </c>
      <c r="Q14" s="45">
        <v>1390</v>
      </c>
      <c r="R14" s="29">
        <f t="shared" si="6"/>
        <v>1.4479166666666667</v>
      </c>
    </row>
    <row r="15" spans="1:18" x14ac:dyDescent="0.45">
      <c r="B15" s="48" t="s">
        <v>19</v>
      </c>
      <c r="C15" s="49">
        <f>SUM(C11:C14)</f>
        <v>1050</v>
      </c>
      <c r="D15" s="49">
        <f>SUM(D11:D14)</f>
        <v>1750</v>
      </c>
      <c r="E15" s="49">
        <f>SUM(E11:E14)</f>
        <v>620</v>
      </c>
      <c r="F15" s="49">
        <f>SUM(F11:F14)</f>
        <v>1110</v>
      </c>
      <c r="G15" s="51">
        <f>SUM(G11:G14)</f>
        <v>4530</v>
      </c>
      <c r="H15" s="49"/>
      <c r="I15" s="50"/>
      <c r="K15" s="46" t="s">
        <v>19</v>
      </c>
      <c r="L15" s="43">
        <f>SUM(L11:L14)</f>
        <v>1050</v>
      </c>
      <c r="M15" s="42">
        <f>SUM(M11:M14)</f>
        <v>1750</v>
      </c>
      <c r="N15" s="42">
        <f>SUM(N11:N14)</f>
        <v>620</v>
      </c>
      <c r="O15" s="44">
        <f>SUM(O11:O14)</f>
        <v>1110</v>
      </c>
      <c r="P15" s="42">
        <f>SUM(P11:P14)</f>
        <v>4530</v>
      </c>
      <c r="Q15" s="42"/>
      <c r="R15" s="44"/>
    </row>
    <row r="16" spans="1:18" x14ac:dyDescent="0.45">
      <c r="B16" s="46" t="s">
        <v>20</v>
      </c>
      <c r="C16" s="42">
        <v>1300</v>
      </c>
      <c r="D16" s="42">
        <v>1920</v>
      </c>
      <c r="E16" s="42">
        <v>1040</v>
      </c>
      <c r="F16" s="42">
        <v>1480</v>
      </c>
      <c r="G16" s="43"/>
      <c r="H16" s="42">
        <f>SUM(H11:H14)</f>
        <v>5740</v>
      </c>
      <c r="I16" s="44"/>
      <c r="K16" s="46" t="s">
        <v>20</v>
      </c>
      <c r="L16" s="43">
        <v>1300</v>
      </c>
      <c r="M16" s="42">
        <v>1920</v>
      </c>
      <c r="N16" s="42">
        <v>1040</v>
      </c>
      <c r="O16" s="44">
        <v>1480</v>
      </c>
      <c r="P16" s="42"/>
      <c r="Q16" s="42">
        <f>SUM(Q11:Q14)</f>
        <v>5740</v>
      </c>
      <c r="R16" s="44"/>
    </row>
    <row r="17" spans="2:18" ht="15.75" thickBot="1" x14ac:dyDescent="0.5">
      <c r="B17" s="47" t="s">
        <v>24</v>
      </c>
      <c r="C17" s="45">
        <f>C16/C15</f>
        <v>1.2380952380952381</v>
      </c>
      <c r="D17" s="45">
        <f t="shared" ref="D17:F17" si="7">D16/D15</f>
        <v>1.0971428571428572</v>
      </c>
      <c r="E17" s="45">
        <f t="shared" si="7"/>
        <v>1.6774193548387097</v>
      </c>
      <c r="F17" s="45">
        <f t="shared" si="7"/>
        <v>1.3333333333333333</v>
      </c>
      <c r="G17" s="25"/>
      <c r="H17" s="45"/>
      <c r="I17" s="29"/>
      <c r="K17" s="47" t="s">
        <v>24</v>
      </c>
      <c r="L17" s="25">
        <f>L16/L15</f>
        <v>1.2380952380952381</v>
      </c>
      <c r="M17" s="45">
        <f t="shared" ref="M17" si="8">M16/M15</f>
        <v>1.0971428571428572</v>
      </c>
      <c r="N17" s="45">
        <f t="shared" ref="N17" si="9">N16/N15</f>
        <v>1.6774193548387097</v>
      </c>
      <c r="O17" s="29">
        <f t="shared" ref="O17" si="10">O16/O15</f>
        <v>1.3333333333333333</v>
      </c>
      <c r="P17" s="45"/>
      <c r="Q17" s="45"/>
      <c r="R17" s="29">
        <f>Q16/P15</f>
        <v>1.2671081677704195</v>
      </c>
    </row>
    <row r="18" spans="2:18" ht="15.75" thickBot="1" x14ac:dyDescent="0.5"/>
    <row r="19" spans="2:18" x14ac:dyDescent="0.45">
      <c r="B19" s="98" t="s">
        <v>8</v>
      </c>
      <c r="C19" s="101" t="s">
        <v>10</v>
      </c>
      <c r="D19" s="101"/>
      <c r="E19" s="101"/>
      <c r="F19" s="101"/>
      <c r="G19" s="100" t="s">
        <v>21</v>
      </c>
      <c r="H19" s="101" t="s">
        <v>22</v>
      </c>
      <c r="I19" s="102" t="s">
        <v>23</v>
      </c>
      <c r="K19" s="100" t="s">
        <v>8</v>
      </c>
      <c r="L19" s="100" t="s">
        <v>10</v>
      </c>
      <c r="M19" s="101"/>
      <c r="N19" s="101"/>
      <c r="O19" s="102"/>
      <c r="P19" s="101" t="s">
        <v>21</v>
      </c>
      <c r="Q19" s="101" t="s">
        <v>22</v>
      </c>
      <c r="R19" s="102" t="s">
        <v>23</v>
      </c>
    </row>
    <row r="20" spans="2:18" ht="15.75" thickBot="1" x14ac:dyDescent="0.5">
      <c r="B20" s="99"/>
      <c r="C20" s="45" t="s">
        <v>1</v>
      </c>
      <c r="D20" s="45" t="s">
        <v>3</v>
      </c>
      <c r="E20" s="45" t="s">
        <v>5</v>
      </c>
      <c r="F20" s="45" t="s">
        <v>18</v>
      </c>
      <c r="G20" s="108"/>
      <c r="H20" s="109"/>
      <c r="I20" s="107"/>
      <c r="K20" s="103"/>
      <c r="L20" s="43" t="s">
        <v>1</v>
      </c>
      <c r="M20" s="42" t="s">
        <v>3</v>
      </c>
      <c r="N20" s="42" t="s">
        <v>5</v>
      </c>
      <c r="O20" s="44" t="s">
        <v>18</v>
      </c>
      <c r="P20" s="122"/>
      <c r="Q20" s="122"/>
      <c r="R20" s="123"/>
    </row>
    <row r="21" spans="2:18" x14ac:dyDescent="0.45">
      <c r="B21" s="46" t="s">
        <v>1</v>
      </c>
      <c r="C21" s="42">
        <f>C11*($I11+C$17)/2</f>
        <v>366.26623376623382</v>
      </c>
      <c r="D21" s="128">
        <f t="shared" ref="D21:F21" si="11">D11*($I11+D$17)/2</f>
        <v>143.1012987012987</v>
      </c>
      <c r="E21" s="42">
        <f t="shared" si="11"/>
        <v>133.43841642228739</v>
      </c>
      <c r="F21" s="128">
        <f t="shared" si="11"/>
        <v>209.69696969696969</v>
      </c>
      <c r="G21" s="43">
        <f>SUM(C21:F21)</f>
        <v>852.50291858678975</v>
      </c>
      <c r="H21" s="42">
        <v>850</v>
      </c>
      <c r="I21" s="44">
        <f>H21/G21</f>
        <v>0.99706403516959341</v>
      </c>
      <c r="K21" s="51" t="s">
        <v>1</v>
      </c>
      <c r="L21" s="51">
        <f>L11*($R11*L$17/$R$17)</f>
        <v>364.9331794802178</v>
      </c>
      <c r="M21" s="49">
        <f t="shared" ref="M21:O21" si="12">M11*($R11*M$17/$R$17)</f>
        <v>133.81528575953664</v>
      </c>
      <c r="N21" s="49">
        <f t="shared" si="12"/>
        <v>153.44242696721059</v>
      </c>
      <c r="O21" s="50">
        <f t="shared" si="12"/>
        <v>216.83032414739731</v>
      </c>
      <c r="P21" s="129">
        <f>SUM(L21:O21)</f>
        <v>869.02121635436231</v>
      </c>
      <c r="Q21" s="49">
        <v>850</v>
      </c>
      <c r="R21" s="50">
        <f>Q21/P21</f>
        <v>0.978111907976012</v>
      </c>
    </row>
    <row r="22" spans="2:18" x14ac:dyDescent="0.45">
      <c r="B22" s="46" t="s">
        <v>3</v>
      </c>
      <c r="C22" s="42">
        <f>C12*($I12+C$17)/2</f>
        <v>207.73809523809524</v>
      </c>
      <c r="D22" s="42">
        <f t="shared" ref="D22:F24" si="13">D12*($I12+D$17)/2</f>
        <v>794.54369747899159</v>
      </c>
      <c r="E22" s="128">
        <f t="shared" si="13"/>
        <v>86.499051233396585</v>
      </c>
      <c r="F22" s="42">
        <f t="shared" si="13"/>
        <v>126.96078431372548</v>
      </c>
      <c r="G22" s="43">
        <f>SUM(C22:F22)</f>
        <v>1215.7416282642089</v>
      </c>
      <c r="H22" s="42">
        <v>1230</v>
      </c>
      <c r="I22" s="44">
        <f t="shared" ref="I22:I24" si="14">H22/G22</f>
        <v>1.0117281266054439</v>
      </c>
      <c r="K22" s="43" t="s">
        <v>3</v>
      </c>
      <c r="L22" s="43">
        <f t="shared" ref="L22:O24" si="15">L12*($R12*L$17/$R$17)</f>
        <v>200.30612244897958</v>
      </c>
      <c r="M22" s="42">
        <f t="shared" si="15"/>
        <v>720.44945978391365</v>
      </c>
      <c r="N22" s="128">
        <f t="shared" si="15"/>
        <v>95.782054757386831</v>
      </c>
      <c r="O22" s="44">
        <f t="shared" si="15"/>
        <v>126.890756302521</v>
      </c>
      <c r="P22" s="140">
        <f>SUM(L22:O22)</f>
        <v>1143.428393292801</v>
      </c>
      <c r="Q22" s="42">
        <v>1230</v>
      </c>
      <c r="R22" s="44">
        <f t="shared" ref="R22:R24" si="16">Q22/P22</f>
        <v>1.0757123115142291</v>
      </c>
    </row>
    <row r="23" spans="2:18" x14ac:dyDescent="0.45">
      <c r="B23" s="46" t="s">
        <v>5</v>
      </c>
      <c r="C23" s="42">
        <f>C13*($I13+C$17)/2</f>
        <v>414.65608465608466</v>
      </c>
      <c r="D23" s="42">
        <f t="shared" si="13"/>
        <v>609.02328042328043</v>
      </c>
      <c r="E23" s="42">
        <f t="shared" si="13"/>
        <v>431.77163338453664</v>
      </c>
      <c r="F23" s="42">
        <f t="shared" si="13"/>
        <v>912.38095238095241</v>
      </c>
      <c r="G23" s="43">
        <f>SUM(C23:F23)</f>
        <v>2367.831950844854</v>
      </c>
      <c r="H23" s="42">
        <v>2270</v>
      </c>
      <c r="I23" s="44">
        <f t="shared" si="14"/>
        <v>0.9586828994304486</v>
      </c>
      <c r="K23" s="43" t="s">
        <v>5</v>
      </c>
      <c r="L23" s="43">
        <f t="shared" si="15"/>
        <v>399.00958912407395</v>
      </c>
      <c r="M23" s="42">
        <f t="shared" si="15"/>
        <v>551.17487496740853</v>
      </c>
      <c r="N23" s="42">
        <f t="shared" si="15"/>
        <v>476.99438548039205</v>
      </c>
      <c r="O23" s="44">
        <f t="shared" si="15"/>
        <v>909.95851999336321</v>
      </c>
      <c r="P23" s="140">
        <f>SUM(L23:O23)</f>
        <v>2337.1373695652378</v>
      </c>
      <c r="Q23" s="42">
        <v>2270</v>
      </c>
      <c r="R23" s="44">
        <f t="shared" si="16"/>
        <v>0.97127367417956822</v>
      </c>
    </row>
    <row r="24" spans="2:18" ht="15.75" thickBot="1" x14ac:dyDescent="0.5">
      <c r="B24" s="46" t="s">
        <v>18</v>
      </c>
      <c r="C24" s="42">
        <f>C14*($I14+C$17)/2</f>
        <v>335.75148809523813</v>
      </c>
      <c r="D24" s="42">
        <f t="shared" si="13"/>
        <v>521.73720238095245</v>
      </c>
      <c r="E24" s="42">
        <f t="shared" si="13"/>
        <v>265.65356182795699</v>
      </c>
      <c r="F24" s="42">
        <f t="shared" si="13"/>
        <v>180.78125</v>
      </c>
      <c r="G24" s="43">
        <f>SUM(C24:F24)</f>
        <v>1303.9235023041476</v>
      </c>
      <c r="H24" s="42">
        <v>1390</v>
      </c>
      <c r="I24" s="133">
        <f t="shared" si="14"/>
        <v>1.0660134567279043</v>
      </c>
      <c r="K24" s="25" t="s">
        <v>18</v>
      </c>
      <c r="L24" s="25">
        <f t="shared" si="15"/>
        <v>353.69094284055086</v>
      </c>
      <c r="M24" s="45">
        <f t="shared" si="15"/>
        <v>514.01632653061233</v>
      </c>
      <c r="N24" s="45">
        <f t="shared" si="15"/>
        <v>325.85204282342369</v>
      </c>
      <c r="O24" s="29">
        <f t="shared" si="15"/>
        <v>198.06692799070848</v>
      </c>
      <c r="P24" s="141">
        <f>SUM(L24:O24)</f>
        <v>1391.6262401852955</v>
      </c>
      <c r="Q24" s="45">
        <v>1390</v>
      </c>
      <c r="R24" s="29">
        <f t="shared" si="16"/>
        <v>0.99883141023190325</v>
      </c>
    </row>
    <row r="25" spans="2:18" x14ac:dyDescent="0.45">
      <c r="B25" s="48" t="s">
        <v>19</v>
      </c>
      <c r="C25" s="49">
        <f>SUM(C21:C24)</f>
        <v>1324.4119017556518</v>
      </c>
      <c r="D25" s="49">
        <f>SUM(D21:D24)</f>
        <v>2068.4054789845231</v>
      </c>
      <c r="E25" s="129">
        <f>SUM(E21:E24)</f>
        <v>917.36266286817761</v>
      </c>
      <c r="F25" s="49">
        <f>SUM(F21:F24)</f>
        <v>1429.8199563916476</v>
      </c>
      <c r="G25" s="51">
        <f>SUM(G21:G24)</f>
        <v>5740</v>
      </c>
      <c r="H25" s="49"/>
      <c r="I25" s="50"/>
      <c r="K25" s="43" t="s">
        <v>19</v>
      </c>
      <c r="L25" s="43">
        <f>SUM(L21:L24)</f>
        <v>1317.9398338938222</v>
      </c>
      <c r="M25" s="42">
        <f>SUM(M21:M24)</f>
        <v>1919.4559470414711</v>
      </c>
      <c r="N25" s="42">
        <f>SUM(N21:N24)</f>
        <v>1052.0709100284132</v>
      </c>
      <c r="O25" s="44">
        <f>SUM(O21:O24)</f>
        <v>1451.7465284339901</v>
      </c>
      <c r="P25" s="140">
        <f>SUM(P21:P24)</f>
        <v>5741.2132193976968</v>
      </c>
      <c r="Q25" s="42"/>
      <c r="R25" s="44"/>
    </row>
    <row r="26" spans="2:18" x14ac:dyDescent="0.45">
      <c r="B26" s="46" t="s">
        <v>20</v>
      </c>
      <c r="C26" s="42">
        <v>1300</v>
      </c>
      <c r="D26" s="42">
        <v>1920</v>
      </c>
      <c r="E26" s="42">
        <v>1040</v>
      </c>
      <c r="F26" s="42">
        <v>1480</v>
      </c>
      <c r="G26" s="43"/>
      <c r="H26" s="42">
        <f>SUM(H21:H24)</f>
        <v>5740</v>
      </c>
      <c r="I26" s="44"/>
      <c r="K26" s="43" t="s">
        <v>20</v>
      </c>
      <c r="L26" s="43">
        <v>1300</v>
      </c>
      <c r="M26" s="42">
        <v>1920</v>
      </c>
      <c r="N26" s="42">
        <v>1040</v>
      </c>
      <c r="O26" s="44">
        <v>1480</v>
      </c>
      <c r="P26" s="42"/>
      <c r="Q26" s="42">
        <f>SUM(Q21:Q24)</f>
        <v>5740</v>
      </c>
      <c r="R26" s="44"/>
    </row>
    <row r="27" spans="2:18" ht="15.75" thickBot="1" x14ac:dyDescent="0.5">
      <c r="B27" s="47" t="s">
        <v>24</v>
      </c>
      <c r="C27" s="45">
        <f>C26/C25</f>
        <v>0.98156774208741915</v>
      </c>
      <c r="D27" s="45">
        <f t="shared" ref="D27" si="17">D26/D25</f>
        <v>0.92825126383953382</v>
      </c>
      <c r="E27" s="45">
        <f t="shared" ref="E27" si="18">E26/E25</f>
        <v>1.1336846833818055</v>
      </c>
      <c r="F27" s="45">
        <f t="shared" ref="F27" si="19">F26/F25</f>
        <v>1.0350953582540481</v>
      </c>
      <c r="G27" s="25"/>
      <c r="H27" s="45"/>
      <c r="I27" s="29"/>
      <c r="K27" s="25" t="s">
        <v>24</v>
      </c>
      <c r="L27" s="25">
        <f>L26/L25</f>
        <v>0.98638797202083239</v>
      </c>
      <c r="M27" s="45">
        <f t="shared" ref="M27" si="20">M26/M25</f>
        <v>1.0002834412320676</v>
      </c>
      <c r="N27" s="45">
        <f t="shared" ref="N27" si="21">N26/N25</f>
        <v>0.98852652429284715</v>
      </c>
      <c r="O27" s="29">
        <f t="shared" ref="O27" si="22">O26/O25</f>
        <v>1.0194617111270017</v>
      </c>
      <c r="P27" s="45"/>
      <c r="Q27" s="45"/>
      <c r="R27" s="29">
        <f>Q26/P25</f>
        <v>0.99978868240015928</v>
      </c>
    </row>
    <row r="28" spans="2:18" ht="15.75" thickBot="1" x14ac:dyDescent="0.5">
      <c r="B28" s="10"/>
      <c r="C28" s="10"/>
      <c r="D28" s="10"/>
      <c r="E28" s="10"/>
      <c r="F28" s="10"/>
      <c r="G28" s="10"/>
      <c r="H28" s="10"/>
      <c r="I28" s="10"/>
    </row>
    <row r="29" spans="2:18" x14ac:dyDescent="0.45">
      <c r="B29" s="98" t="s">
        <v>8</v>
      </c>
      <c r="C29" s="101" t="s">
        <v>10</v>
      </c>
      <c r="D29" s="101"/>
      <c r="E29" s="101"/>
      <c r="F29" s="101"/>
      <c r="G29" s="100" t="s">
        <v>21</v>
      </c>
      <c r="H29" s="101" t="s">
        <v>22</v>
      </c>
      <c r="I29" s="102" t="s">
        <v>23</v>
      </c>
      <c r="K29" s="120" t="s">
        <v>9</v>
      </c>
      <c r="L29" s="104" t="s">
        <v>10</v>
      </c>
      <c r="M29" s="105"/>
      <c r="N29" s="105"/>
      <c r="O29" s="106"/>
      <c r="P29" s="110" t="s">
        <v>21</v>
      </c>
      <c r="Q29" s="105" t="s">
        <v>22</v>
      </c>
      <c r="R29" s="106" t="s">
        <v>23</v>
      </c>
    </row>
    <row r="30" spans="2:18" ht="15.75" thickBot="1" x14ac:dyDescent="0.5">
      <c r="B30" s="99"/>
      <c r="C30" s="45" t="s">
        <v>1</v>
      </c>
      <c r="D30" s="45" t="s">
        <v>3</v>
      </c>
      <c r="E30" s="45" t="s">
        <v>5</v>
      </c>
      <c r="F30" s="45" t="s">
        <v>18</v>
      </c>
      <c r="G30" s="108"/>
      <c r="H30" s="109"/>
      <c r="I30" s="107"/>
      <c r="K30" s="121"/>
      <c r="L30" s="33" t="s">
        <v>1</v>
      </c>
      <c r="M30" s="34" t="s">
        <v>3</v>
      </c>
      <c r="N30" s="34" t="s">
        <v>5</v>
      </c>
      <c r="O30" s="35" t="s">
        <v>18</v>
      </c>
      <c r="P30" s="111"/>
      <c r="Q30" s="112"/>
      <c r="R30" s="113"/>
    </row>
    <row r="31" spans="2:18" x14ac:dyDescent="0.45">
      <c r="B31" s="46" t="s">
        <v>1</v>
      </c>
      <c r="C31" s="42">
        <f>C21*($I21+C$27)/2</f>
        <v>362.35300453305786</v>
      </c>
      <c r="D31" s="42">
        <f t="shared" ref="D31:F31" si="23">D21*($I21+D$27)/2</f>
        <v>137.75755984884267</v>
      </c>
      <c r="E31" s="42">
        <f t="shared" si="23"/>
        <v>142.16186739865839</v>
      </c>
      <c r="F31" s="42">
        <f t="shared" si="23"/>
        <v>213.06883337108479</v>
      </c>
      <c r="G31" s="132">
        <f>SUM(C31:F31)</f>
        <v>855.34126515164371</v>
      </c>
      <c r="H31" s="42">
        <v>850</v>
      </c>
      <c r="I31" s="44">
        <f>H31/G31</f>
        <v>0.99375539872883745</v>
      </c>
      <c r="K31" s="22" t="s">
        <v>1</v>
      </c>
      <c r="L31" s="2">
        <f>L21*($R21*L$27/$R$27)</f>
        <v>352.16115433901507</v>
      </c>
      <c r="M31" s="20">
        <f t="shared" ref="M31:O31" si="24">M21*($R21*M$27/$R$27)</f>
        <v>130.95109532284454</v>
      </c>
      <c r="N31" s="20">
        <f t="shared" si="24"/>
        <v>148.39323952940347</v>
      </c>
      <c r="O31" s="21">
        <f t="shared" si="24"/>
        <v>216.2575448946782</v>
      </c>
      <c r="P31" s="135">
        <f>SUM(L31:O31)</f>
        <v>847.76303408594129</v>
      </c>
      <c r="Q31" s="20">
        <v>850</v>
      </c>
      <c r="R31" s="21">
        <f>Q31/P31</f>
        <v>1.0026386688545232</v>
      </c>
    </row>
    <row r="32" spans="2:18" x14ac:dyDescent="0.45">
      <c r="B32" s="46" t="s">
        <v>3</v>
      </c>
      <c r="C32" s="42">
        <f t="shared" ref="C32:F34" si="25">C22*($I22+C$27)/2</f>
        <v>207.04174350410989</v>
      </c>
      <c r="D32" s="128">
        <f t="shared" si="25"/>
        <v>770.69919895859653</v>
      </c>
      <c r="E32" s="128">
        <f t="shared" si="25"/>
        <v>92.788086283936195</v>
      </c>
      <c r="F32" s="42">
        <f t="shared" si="25"/>
        <v>129.93315749475695</v>
      </c>
      <c r="G32" s="43">
        <f>SUM(C32:F32)</f>
        <v>1200.4621862413996</v>
      </c>
      <c r="H32" s="42">
        <v>1230</v>
      </c>
      <c r="I32" s="44">
        <f t="shared" ref="I32:I34" si="26">H32/G32</f>
        <v>1.0246053679134051</v>
      </c>
      <c r="K32" s="24" t="s">
        <v>3</v>
      </c>
      <c r="L32" s="4">
        <f t="shared" ref="L32:O34" si="27">L22*($R22*L$27/$R$27)</f>
        <v>212.58367700950598</v>
      </c>
      <c r="M32" s="5">
        <f t="shared" si="27"/>
        <v>775.37987104799049</v>
      </c>
      <c r="N32" s="5">
        <f t="shared" si="27"/>
        <v>101.87330579086417</v>
      </c>
      <c r="O32" s="6">
        <f t="shared" si="27"/>
        <v>139.18384441634069</v>
      </c>
      <c r="P32" s="137">
        <f>SUM(L32:O32)</f>
        <v>1229.0206982647014</v>
      </c>
      <c r="Q32" s="5">
        <v>1230</v>
      </c>
      <c r="R32" s="6">
        <f t="shared" ref="R32:R34" si="28">Q32/P32</f>
        <v>1.0007968146807302</v>
      </c>
    </row>
    <row r="33" spans="2:18" x14ac:dyDescent="0.45">
      <c r="B33" s="46" t="s">
        <v>5</v>
      </c>
      <c r="C33" s="42">
        <f t="shared" si="25"/>
        <v>402.26836713162777</v>
      </c>
      <c r="D33" s="42">
        <f t="shared" si="25"/>
        <v>574.59341702872132</v>
      </c>
      <c r="E33" s="42">
        <f t="shared" si="25"/>
        <v>451.7124844358508</v>
      </c>
      <c r="F33" s="42">
        <f t="shared" si="25"/>
        <v>909.54265279130846</v>
      </c>
      <c r="G33" s="43">
        <f>SUM(C33:F33)</f>
        <v>2338.1169213875082</v>
      </c>
      <c r="H33" s="42">
        <v>2270</v>
      </c>
      <c r="I33" s="44">
        <f t="shared" si="26"/>
        <v>0.97086676001340189</v>
      </c>
      <c r="K33" s="24" t="s">
        <v>5</v>
      </c>
      <c r="L33" s="4">
        <f t="shared" si="27"/>
        <v>382.35300003491051</v>
      </c>
      <c r="M33" s="5">
        <f t="shared" si="27"/>
        <v>535.60656691493648</v>
      </c>
      <c r="N33" s="5">
        <f t="shared" si="27"/>
        <v>458.07331777017112</v>
      </c>
      <c r="O33" s="6">
        <f t="shared" si="27"/>
        <v>901.2098218611651</v>
      </c>
      <c r="P33" s="137">
        <f>SUM(L33:O33)</f>
        <v>2277.242706581183</v>
      </c>
      <c r="Q33" s="5">
        <v>2270</v>
      </c>
      <c r="R33" s="6">
        <f t="shared" si="28"/>
        <v>0.99681952803701956</v>
      </c>
    </row>
    <row r="34" spans="2:18" ht="15.75" thickBot="1" x14ac:dyDescent="0.5">
      <c r="B34" s="46" t="s">
        <v>18</v>
      </c>
      <c r="C34" s="42">
        <f t="shared" si="25"/>
        <v>343.73921724903823</v>
      </c>
      <c r="D34" s="42">
        <f t="shared" si="25"/>
        <v>520.24104805794354</v>
      </c>
      <c r="E34" s="42">
        <f t="shared" si="25"/>
        <v>292.17882293323839</v>
      </c>
      <c r="F34" s="42">
        <f t="shared" si="25"/>
        <v>189.92053897922801</v>
      </c>
      <c r="G34" s="43">
        <f>SUM(C34:F34)</f>
        <v>1346.0796272194482</v>
      </c>
      <c r="H34" s="42">
        <v>1390</v>
      </c>
      <c r="I34" s="44">
        <f t="shared" si="26"/>
        <v>1.0326283615712071</v>
      </c>
      <c r="K34" s="23" t="s">
        <v>18</v>
      </c>
      <c r="L34" s="7">
        <f t="shared" si="27"/>
        <v>348.542451486235</v>
      </c>
      <c r="M34" s="8">
        <f t="shared" si="27"/>
        <v>513.66972292880791</v>
      </c>
      <c r="N34" s="136">
        <f t="shared" si="27"/>
        <v>321.80497197166073</v>
      </c>
      <c r="O34" s="9">
        <f t="shared" si="27"/>
        <v>201.72831449695488</v>
      </c>
      <c r="P34" s="138">
        <f>SUM(L34:O34)</f>
        <v>1385.7454608836586</v>
      </c>
      <c r="Q34" s="8">
        <v>1390</v>
      </c>
      <c r="R34" s="9">
        <f t="shared" si="28"/>
        <v>1.003070216887904</v>
      </c>
    </row>
    <row r="35" spans="2:18" x14ac:dyDescent="0.45">
      <c r="B35" s="48" t="s">
        <v>19</v>
      </c>
      <c r="C35" s="49">
        <f>SUM(C31:C34)</f>
        <v>1315.4023324178338</v>
      </c>
      <c r="D35" s="49">
        <f>SUM(D31:D34)</f>
        <v>2003.2912238941042</v>
      </c>
      <c r="E35" s="129">
        <f>SUM(E31:E34)</f>
        <v>978.84126105168377</v>
      </c>
      <c r="F35" s="49">
        <f>SUM(F31:F34)</f>
        <v>1442.4651826363781</v>
      </c>
      <c r="G35" s="51">
        <f>SUM(G31:G34)</f>
        <v>5740</v>
      </c>
      <c r="H35" s="49"/>
      <c r="I35" s="50"/>
      <c r="K35" s="30" t="s">
        <v>19</v>
      </c>
      <c r="L35" s="13">
        <f>SUM(L31:L34)</f>
        <v>1295.6402828696666</v>
      </c>
      <c r="M35" s="14">
        <f>SUM(M31:M34)</f>
        <v>1955.6072562145796</v>
      </c>
      <c r="N35" s="14">
        <f>SUM(N31:N34)</f>
        <v>1030.1448350620994</v>
      </c>
      <c r="O35" s="15">
        <f>SUM(O31:O34)</f>
        <v>1458.379525669139</v>
      </c>
      <c r="P35" s="139">
        <f>SUM(P31:P34)</f>
        <v>5739.7718998154842</v>
      </c>
      <c r="Q35" s="14"/>
      <c r="R35" s="15"/>
    </row>
    <row r="36" spans="2:18" x14ac:dyDescent="0.45">
      <c r="B36" s="46" t="s">
        <v>20</v>
      </c>
      <c r="C36" s="42">
        <v>1300</v>
      </c>
      <c r="D36" s="42">
        <v>1920</v>
      </c>
      <c r="E36" s="42">
        <v>1040</v>
      </c>
      <c r="F36" s="42">
        <v>1480</v>
      </c>
      <c r="G36" s="43"/>
      <c r="H36" s="42">
        <f>SUM(H31:H34)</f>
        <v>5740</v>
      </c>
      <c r="I36" s="44"/>
      <c r="K36" s="24" t="s">
        <v>20</v>
      </c>
      <c r="L36" s="4">
        <v>1300</v>
      </c>
      <c r="M36" s="5">
        <v>1920</v>
      </c>
      <c r="N36" s="5">
        <v>1040</v>
      </c>
      <c r="O36" s="6">
        <v>1480</v>
      </c>
      <c r="P36" s="55"/>
      <c r="Q36" s="5">
        <f>SUM(Q31:Q34)</f>
        <v>5740</v>
      </c>
      <c r="R36" s="6"/>
    </row>
    <row r="37" spans="2:18" ht="15.75" thickBot="1" x14ac:dyDescent="0.5">
      <c r="B37" s="47" t="s">
        <v>24</v>
      </c>
      <c r="C37" s="45">
        <f>C36/C35</f>
        <v>0.98829078219017386</v>
      </c>
      <c r="D37" s="45">
        <f>D36/D35</f>
        <v>0.95842280797686608</v>
      </c>
      <c r="E37" s="45">
        <f t="shared" ref="E37" si="29">E36/E35</f>
        <v>1.062480752887967</v>
      </c>
      <c r="F37" s="45">
        <f t="shared" ref="F37" si="30">F36/F35</f>
        <v>1.0260212986874455</v>
      </c>
      <c r="G37" s="25"/>
      <c r="H37" s="45"/>
      <c r="I37" s="29"/>
      <c r="K37" s="23" t="s">
        <v>24</v>
      </c>
      <c r="L37" s="7">
        <f>L36/L35</f>
        <v>1.0033649132309141</v>
      </c>
      <c r="M37" s="8">
        <f t="shared" ref="M37" si="31">M36/M35</f>
        <v>0.98179222535535915</v>
      </c>
      <c r="N37" s="8">
        <f t="shared" ref="N37" si="32">N36/N35</f>
        <v>1.0095667760517446</v>
      </c>
      <c r="O37" s="9">
        <f t="shared" ref="O37" si="33">O36/O35</f>
        <v>1.0148249985345488</v>
      </c>
      <c r="P37" s="54"/>
      <c r="Q37" s="8"/>
      <c r="R37" s="9">
        <f>Q36/P35</f>
        <v>1.0000397402873316</v>
      </c>
    </row>
    <row r="38" spans="2:18" ht="15.75" thickBot="1" x14ac:dyDescent="0.5"/>
    <row r="39" spans="2:18" x14ac:dyDescent="0.45">
      <c r="B39" s="114" t="s">
        <v>8</v>
      </c>
      <c r="C39" s="110" t="s">
        <v>10</v>
      </c>
      <c r="D39" s="105"/>
      <c r="E39" s="105"/>
      <c r="F39" s="116"/>
      <c r="G39" s="104" t="s">
        <v>21</v>
      </c>
      <c r="H39" s="105" t="s">
        <v>22</v>
      </c>
      <c r="I39" s="106" t="s">
        <v>23</v>
      </c>
    </row>
    <row r="40" spans="2:18" ht="15.75" thickBot="1" x14ac:dyDescent="0.5">
      <c r="B40" s="115"/>
      <c r="C40" s="54" t="s">
        <v>1</v>
      </c>
      <c r="D40" s="8" t="s">
        <v>3</v>
      </c>
      <c r="E40" s="8" t="s">
        <v>5</v>
      </c>
      <c r="F40" s="59" t="s">
        <v>18</v>
      </c>
      <c r="G40" s="117"/>
      <c r="H40" s="118"/>
      <c r="I40" s="119"/>
    </row>
    <row r="41" spans="2:18" x14ac:dyDescent="0.45">
      <c r="B41" s="56" t="s">
        <v>1</v>
      </c>
      <c r="C41" s="131">
        <f>C31*($I31+C$37)/2</f>
        <v>359.10019438963826</v>
      </c>
      <c r="D41" s="14">
        <f t="shared" ref="D41:F41" si="34">D31*($I31+D$37)/2</f>
        <v>134.46365307293368</v>
      </c>
      <c r="E41" s="14">
        <f t="shared" si="34"/>
        <v>146.15918556323791</v>
      </c>
      <c r="F41" s="60">
        <f t="shared" si="34"/>
        <v>215.17573229429499</v>
      </c>
      <c r="G41" s="13">
        <f>SUM(C41:F41)</f>
        <v>854.89876532010487</v>
      </c>
      <c r="H41" s="14">
        <v>850</v>
      </c>
      <c r="I41" s="15">
        <f>H41/G41</f>
        <v>0.99426977144098394</v>
      </c>
    </row>
    <row r="42" spans="2:18" x14ac:dyDescent="0.45">
      <c r="B42" s="57" t="s">
        <v>3</v>
      </c>
      <c r="C42" s="55">
        <f t="shared" ref="C42:F44" si="35">C32*($I32+C$37)/2</f>
        <v>208.37676420507773</v>
      </c>
      <c r="D42" s="5">
        <f t="shared" si="35"/>
        <v>764.15911333547945</v>
      </c>
      <c r="E42" s="130">
        <f t="shared" si="35"/>
        <v>96.828363529461683</v>
      </c>
      <c r="F42" s="61">
        <f t="shared" si="35"/>
        <v>133.22219881719838</v>
      </c>
      <c r="G42" s="4">
        <f>SUM(C42:F42)</f>
        <v>1202.5864398872172</v>
      </c>
      <c r="H42" s="5">
        <v>1230</v>
      </c>
      <c r="I42" s="6">
        <f t="shared" ref="I42:I44" si="36">H42/G42</f>
        <v>1.0227955007669582</v>
      </c>
    </row>
    <row r="43" spans="2:18" x14ac:dyDescent="0.45">
      <c r="B43" s="57" t="s">
        <v>5</v>
      </c>
      <c r="C43" s="55">
        <f t="shared" si="35"/>
        <v>394.05355272792275</v>
      </c>
      <c r="D43" s="5">
        <f t="shared" si="35"/>
        <v>554.27854265469682</v>
      </c>
      <c r="E43" s="5">
        <f t="shared" si="35"/>
        <v>459.24422838706778</v>
      </c>
      <c r="F43" s="61">
        <f t="shared" si="35"/>
        <v>908.12743111902751</v>
      </c>
      <c r="G43" s="4">
        <f>SUM(C43:F43)</f>
        <v>2315.7037548887147</v>
      </c>
      <c r="H43" s="5">
        <v>2270</v>
      </c>
      <c r="I43" s="6">
        <f t="shared" si="36"/>
        <v>0.98026355711855251</v>
      </c>
    </row>
    <row r="44" spans="2:18" ht="15.75" thickBot="1" x14ac:dyDescent="0.5">
      <c r="B44" s="62" t="s">
        <v>18</v>
      </c>
      <c r="C44" s="63">
        <f t="shared" si="35"/>
        <v>347.33458230006681</v>
      </c>
      <c r="D44" s="34">
        <f t="shared" si="35"/>
        <v>517.91327359134186</v>
      </c>
      <c r="E44" s="34">
        <f t="shared" si="35"/>
        <v>306.07325748969043</v>
      </c>
      <c r="F44" s="64">
        <f t="shared" si="35"/>
        <v>195.48992652286398</v>
      </c>
      <c r="G44" s="33">
        <f>SUM(C44:F44)</f>
        <v>1366.8110399039631</v>
      </c>
      <c r="H44" s="34">
        <v>1390</v>
      </c>
      <c r="I44" s="134">
        <f t="shared" si="36"/>
        <v>1.0169657395346077</v>
      </c>
    </row>
    <row r="45" spans="2:18" x14ac:dyDescent="0.45">
      <c r="B45" s="65" t="s">
        <v>19</v>
      </c>
      <c r="C45" s="66">
        <f>SUM(C41:C44)</f>
        <v>1308.8650936227057</v>
      </c>
      <c r="D45" s="20">
        <f>SUM(D41:D44)</f>
        <v>1970.8145826544519</v>
      </c>
      <c r="E45" s="20">
        <f>SUM(E41:E44)</f>
        <v>1008.3050349694579</v>
      </c>
      <c r="F45" s="67">
        <f>SUM(F41:F44)</f>
        <v>1452.0152887533848</v>
      </c>
      <c r="G45" s="2">
        <f>SUM(G41:G44)</f>
        <v>5740</v>
      </c>
      <c r="H45" s="20"/>
      <c r="I45" s="21"/>
    </row>
    <row r="46" spans="2:18" x14ac:dyDescent="0.45">
      <c r="B46" s="57" t="s">
        <v>20</v>
      </c>
      <c r="C46" s="55">
        <v>1300</v>
      </c>
      <c r="D46" s="5">
        <v>1920</v>
      </c>
      <c r="E46" s="5">
        <v>1040</v>
      </c>
      <c r="F46" s="61">
        <v>1480</v>
      </c>
      <c r="G46" s="4"/>
      <c r="H46" s="5">
        <f>SUM(H41:H44)</f>
        <v>5740</v>
      </c>
      <c r="I46" s="6"/>
    </row>
    <row r="47" spans="2:18" ht="15.75" thickBot="1" x14ac:dyDescent="0.5">
      <c r="B47" s="58" t="s">
        <v>24</v>
      </c>
      <c r="C47" s="54">
        <f>C46/C45</f>
        <v>0.99322688513438107</v>
      </c>
      <c r="D47" s="8">
        <f>D46/D45</f>
        <v>0.97421645694035275</v>
      </c>
      <c r="E47" s="8">
        <f>E46/E45</f>
        <v>1.0314339053474053</v>
      </c>
      <c r="F47" s="59">
        <f t="shared" ref="F47" si="37">F46/F45</f>
        <v>1.0192730141778612</v>
      </c>
      <c r="G47" s="7"/>
      <c r="H47" s="8"/>
      <c r="I47" s="9"/>
    </row>
  </sheetData>
  <mergeCells count="39">
    <mergeCell ref="P9:P10"/>
    <mergeCell ref="Q9:Q10"/>
    <mergeCell ref="R9:R10"/>
    <mergeCell ref="P19:P20"/>
    <mergeCell ref="Q19:Q20"/>
    <mergeCell ref="R19:R20"/>
    <mergeCell ref="L29:O29"/>
    <mergeCell ref="P29:P30"/>
    <mergeCell ref="Q29:Q30"/>
    <mergeCell ref="R29:R30"/>
    <mergeCell ref="B39:B40"/>
    <mergeCell ref="C39:F39"/>
    <mergeCell ref="G39:G40"/>
    <mergeCell ref="H39:H40"/>
    <mergeCell ref="I39:I40"/>
    <mergeCell ref="K29:K30"/>
    <mergeCell ref="B29:B30"/>
    <mergeCell ref="C29:F29"/>
    <mergeCell ref="G29:G30"/>
    <mergeCell ref="H29:H30"/>
    <mergeCell ref="I29:I30"/>
    <mergeCell ref="B9:B10"/>
    <mergeCell ref="C9:F9"/>
    <mergeCell ref="G9:G10"/>
    <mergeCell ref="H9:H10"/>
    <mergeCell ref="B19:B20"/>
    <mergeCell ref="C19:F19"/>
    <mergeCell ref="G19:G20"/>
    <mergeCell ref="H19:H20"/>
    <mergeCell ref="C1:E1"/>
    <mergeCell ref="F1:F2"/>
    <mergeCell ref="L1:N1"/>
    <mergeCell ref="I9:I10"/>
    <mergeCell ref="I19:I20"/>
    <mergeCell ref="O1:O2"/>
    <mergeCell ref="K9:K10"/>
    <mergeCell ref="L19:O19"/>
    <mergeCell ref="L9:O9"/>
    <mergeCell ref="K19:K20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7CC0-AD69-4635-937B-8E1EA3172DFC}">
  <dimension ref="A1:Y89"/>
  <sheetViews>
    <sheetView tabSelected="1" topLeftCell="A19" zoomScale="87" zoomScaleNormal="85" workbookViewId="0">
      <selection activeCell="C82" sqref="C82:I89"/>
    </sheetView>
  </sheetViews>
  <sheetFormatPr defaultColWidth="9.796875" defaultRowHeight="15.4" x14ac:dyDescent="0.45"/>
  <cols>
    <col min="1" max="1" width="3.1328125" style="3" customWidth="1"/>
    <col min="2" max="2" width="9.59765625" style="3" customWidth="1"/>
    <col min="3" max="15" width="10.1328125" style="3" customWidth="1"/>
    <col min="16" max="18" width="9.796875" style="3" customWidth="1"/>
    <col min="19" max="20" width="9.59765625" style="3" customWidth="1"/>
    <col min="21" max="16384" width="9.796875" style="3"/>
  </cols>
  <sheetData>
    <row r="1" spans="1:15" x14ac:dyDescent="0.45">
      <c r="A1" s="1" t="s">
        <v>25</v>
      </c>
      <c r="B1" s="1"/>
      <c r="C1" s="124" t="s">
        <v>27</v>
      </c>
      <c r="D1" s="124" t="s">
        <v>29</v>
      </c>
      <c r="E1" s="124"/>
      <c r="F1" s="124"/>
      <c r="K1" s="124" t="s">
        <v>27</v>
      </c>
      <c r="L1" s="124" t="s">
        <v>29</v>
      </c>
      <c r="M1" s="124"/>
      <c r="N1" s="124"/>
      <c r="O1" s="124" t="s">
        <v>46</v>
      </c>
    </row>
    <row r="2" spans="1:15" x14ac:dyDescent="0.45">
      <c r="A2" s="1" t="s">
        <v>15</v>
      </c>
      <c r="B2" s="1"/>
      <c r="C2" s="124"/>
      <c r="D2" s="10" t="s">
        <v>1</v>
      </c>
      <c r="E2" s="10" t="s">
        <v>3</v>
      </c>
      <c r="F2" s="10" t="s">
        <v>5</v>
      </c>
      <c r="K2" s="124"/>
      <c r="L2" s="10" t="s">
        <v>1</v>
      </c>
      <c r="M2" s="10" t="s">
        <v>3</v>
      </c>
      <c r="N2" s="10" t="s">
        <v>5</v>
      </c>
      <c r="O2" s="124"/>
    </row>
    <row r="3" spans="1:15" x14ac:dyDescent="0.45">
      <c r="C3" s="10" t="s">
        <v>1</v>
      </c>
      <c r="D3" s="68">
        <v>4.5</v>
      </c>
      <c r="E3" s="69">
        <v>11.3</v>
      </c>
      <c r="F3" s="70">
        <v>6.5</v>
      </c>
      <c r="K3" s="10" t="s">
        <v>1</v>
      </c>
      <c r="L3" s="10">
        <v>290</v>
      </c>
      <c r="M3" s="10">
        <v>120</v>
      </c>
      <c r="N3" s="10">
        <v>90</v>
      </c>
      <c r="O3" s="10">
        <f>SUM(L3:N3)</f>
        <v>500</v>
      </c>
    </row>
    <row r="4" spans="1:15" x14ac:dyDescent="0.45">
      <c r="C4" s="10" t="s">
        <v>3</v>
      </c>
      <c r="D4" s="70">
        <v>7.5</v>
      </c>
      <c r="E4" s="68">
        <v>3.8</v>
      </c>
      <c r="F4" s="71">
        <v>18.2</v>
      </c>
      <c r="K4" s="10" t="s">
        <v>3</v>
      </c>
      <c r="L4" s="10">
        <v>170</v>
      </c>
      <c r="M4" s="10">
        <v>690</v>
      </c>
      <c r="N4" s="10">
        <v>60</v>
      </c>
      <c r="O4" s="10">
        <f t="shared" ref="O4:O5" si="0">SUM(L4:N4)</f>
        <v>920</v>
      </c>
    </row>
    <row r="5" spans="1:15" x14ac:dyDescent="0.45">
      <c r="C5" s="10" t="s">
        <v>5</v>
      </c>
      <c r="D5" s="71">
        <v>16.399999999999999</v>
      </c>
      <c r="E5" s="69">
        <v>14.7</v>
      </c>
      <c r="F5" s="69">
        <v>12.5</v>
      </c>
      <c r="K5" s="10" t="s">
        <v>5</v>
      </c>
      <c r="L5" s="10">
        <v>340</v>
      </c>
      <c r="M5" s="10">
        <v>530</v>
      </c>
      <c r="N5" s="10">
        <v>300</v>
      </c>
      <c r="O5" s="10">
        <f t="shared" si="0"/>
        <v>1170</v>
      </c>
    </row>
    <row r="6" spans="1:15" ht="17.649999999999999" x14ac:dyDescent="0.45">
      <c r="C6" s="10"/>
      <c r="D6" s="10"/>
      <c r="E6" s="10"/>
      <c r="F6" s="10"/>
      <c r="K6" s="10" t="s">
        <v>47</v>
      </c>
      <c r="L6" s="10">
        <f>SUM(L3:L5)</f>
        <v>800</v>
      </c>
      <c r="M6" s="10">
        <f t="shared" ref="M6:N6" si="1">SUM(M3:M5)</f>
        <v>1340</v>
      </c>
      <c r="N6" s="10">
        <f t="shared" si="1"/>
        <v>450</v>
      </c>
      <c r="O6" s="10">
        <f>SUM(O3:O5)</f>
        <v>2590</v>
      </c>
    </row>
    <row r="7" spans="1:15" x14ac:dyDescent="0.45">
      <c r="C7" s="10"/>
      <c r="D7" s="10"/>
      <c r="E7" s="10"/>
      <c r="F7" s="10"/>
      <c r="K7" s="10"/>
      <c r="L7" s="10"/>
      <c r="M7" s="10"/>
      <c r="N7" s="10"/>
      <c r="O7" s="10"/>
    </row>
    <row r="8" spans="1:15" ht="15.75" thickBot="1" x14ac:dyDescent="0.5">
      <c r="B8" s="3" t="s">
        <v>45</v>
      </c>
      <c r="C8" s="72"/>
      <c r="D8" s="10"/>
      <c r="E8" s="10"/>
      <c r="F8" s="10"/>
      <c r="K8" s="10"/>
      <c r="L8" s="10"/>
      <c r="M8" s="10"/>
      <c r="N8" s="10"/>
      <c r="O8" s="10"/>
    </row>
    <row r="9" spans="1:15" ht="18" thickBot="1" x14ac:dyDescent="0.5">
      <c r="B9" s="94" t="s">
        <v>40</v>
      </c>
      <c r="C9" s="95" t="s">
        <v>30</v>
      </c>
      <c r="D9" s="40" t="s">
        <v>48</v>
      </c>
      <c r="F9" s="2" t="s">
        <v>48</v>
      </c>
      <c r="G9" s="105" t="s">
        <v>29</v>
      </c>
      <c r="H9" s="105"/>
      <c r="I9" s="106"/>
      <c r="K9" s="104" t="s">
        <v>27</v>
      </c>
      <c r="L9" s="105" t="s">
        <v>29</v>
      </c>
      <c r="M9" s="105"/>
      <c r="N9" s="105"/>
      <c r="O9" s="106" t="s">
        <v>36</v>
      </c>
    </row>
    <row r="10" spans="1:15" x14ac:dyDescent="0.45">
      <c r="B10" s="91" t="s">
        <v>41</v>
      </c>
      <c r="C10" s="92">
        <f>L3+M4</f>
        <v>980</v>
      </c>
      <c r="D10" s="93">
        <v>1</v>
      </c>
      <c r="F10" s="4" t="s">
        <v>27</v>
      </c>
      <c r="G10" s="5" t="s">
        <v>1</v>
      </c>
      <c r="H10" s="5" t="s">
        <v>3</v>
      </c>
      <c r="I10" s="6" t="s">
        <v>5</v>
      </c>
      <c r="K10" s="125"/>
      <c r="L10" s="5" t="s">
        <v>1</v>
      </c>
      <c r="M10" s="5" t="s">
        <v>3</v>
      </c>
      <c r="N10" s="5" t="s">
        <v>5</v>
      </c>
      <c r="O10" s="126"/>
    </row>
    <row r="11" spans="1:15" x14ac:dyDescent="0.45">
      <c r="B11" s="89" t="s">
        <v>42</v>
      </c>
      <c r="C11" s="87">
        <f>N3+L4</f>
        <v>260</v>
      </c>
      <c r="D11" s="86">
        <v>1</v>
      </c>
      <c r="F11" s="4" t="s">
        <v>1</v>
      </c>
      <c r="G11" s="82">
        <f>D10</f>
        <v>1</v>
      </c>
      <c r="H11" s="82">
        <f>D12</f>
        <v>1</v>
      </c>
      <c r="I11" s="83">
        <f>D11</f>
        <v>1</v>
      </c>
      <c r="K11" s="4" t="s">
        <v>1</v>
      </c>
      <c r="L11" s="5">
        <f>$O3*L$6*G11/($L$6*$G11+$M$6*$H11+$N$6*$I11)</f>
        <v>154.44015444015443</v>
      </c>
      <c r="M11" s="130">
        <f t="shared" ref="L11:N13" si="2">$O3*M$6*H11/($L$6*$G11+$M$6*$H11+$N$6*$I11)</f>
        <v>258.68725868725869</v>
      </c>
      <c r="N11" s="130">
        <f t="shared" si="2"/>
        <v>86.872586872586879</v>
      </c>
      <c r="O11" s="6">
        <f>SUM(L11:N11)</f>
        <v>500</v>
      </c>
    </row>
    <row r="12" spans="1:15" x14ac:dyDescent="0.45">
      <c r="B12" s="89" t="s">
        <v>43</v>
      </c>
      <c r="C12" s="87">
        <f>M3+M5+N5</f>
        <v>950</v>
      </c>
      <c r="D12" s="86">
        <v>1</v>
      </c>
      <c r="F12" s="4" t="s">
        <v>3</v>
      </c>
      <c r="G12" s="82">
        <f>D11</f>
        <v>1</v>
      </c>
      <c r="H12" s="82">
        <f>D10</f>
        <v>1</v>
      </c>
      <c r="I12" s="83">
        <f>D13</f>
        <v>1</v>
      </c>
      <c r="K12" s="4" t="s">
        <v>3</v>
      </c>
      <c r="L12" s="5">
        <f t="shared" si="2"/>
        <v>284.16988416988414</v>
      </c>
      <c r="M12" s="130">
        <f t="shared" si="2"/>
        <v>475.98455598455598</v>
      </c>
      <c r="N12" s="130">
        <f t="shared" si="2"/>
        <v>159.84555984555985</v>
      </c>
      <c r="O12" s="6">
        <f t="shared" ref="O12:O13" si="3">SUM(L12:N12)</f>
        <v>920</v>
      </c>
    </row>
    <row r="13" spans="1:15" ht="15.75" thickBot="1" x14ac:dyDescent="0.5">
      <c r="B13" s="90" t="s">
        <v>44</v>
      </c>
      <c r="C13" s="88">
        <f>N4+L5</f>
        <v>400</v>
      </c>
      <c r="D13" s="77">
        <v>1</v>
      </c>
      <c r="F13" s="7" t="s">
        <v>5</v>
      </c>
      <c r="G13" s="84">
        <f>D13</f>
        <v>1</v>
      </c>
      <c r="H13" s="84">
        <f>D12</f>
        <v>1</v>
      </c>
      <c r="I13" s="85">
        <f>D12</f>
        <v>1</v>
      </c>
      <c r="K13" s="4" t="s">
        <v>5</v>
      </c>
      <c r="L13" s="5">
        <f t="shared" si="2"/>
        <v>361.3899613899614</v>
      </c>
      <c r="M13" s="130">
        <f t="shared" si="2"/>
        <v>605.32818532818533</v>
      </c>
      <c r="N13" s="130">
        <f t="shared" si="2"/>
        <v>203.28185328185327</v>
      </c>
      <c r="O13" s="6">
        <f t="shared" si="3"/>
        <v>1170</v>
      </c>
    </row>
    <row r="14" spans="1:15" ht="17.649999999999999" x14ac:dyDescent="0.45">
      <c r="K14" s="75" t="s">
        <v>49</v>
      </c>
      <c r="L14" s="5">
        <f>SUM(L11:L13)</f>
        <v>800</v>
      </c>
      <c r="M14" s="5">
        <f t="shared" ref="M14" si="4">SUM(M11:M13)</f>
        <v>1340</v>
      </c>
      <c r="N14" s="5">
        <f>SUM(N11:N13)</f>
        <v>450</v>
      </c>
      <c r="O14" s="6">
        <f>SUM(O11:O13)</f>
        <v>2590</v>
      </c>
    </row>
    <row r="15" spans="1:15" ht="15.75" thickBot="1" x14ac:dyDescent="0.5">
      <c r="K15" s="7" t="s">
        <v>31</v>
      </c>
      <c r="L15" s="8">
        <f>L14/L6-1</f>
        <v>0</v>
      </c>
      <c r="M15" s="8">
        <f t="shared" ref="M15:N15" si="5">M14/M6-1</f>
        <v>0</v>
      </c>
      <c r="N15" s="8">
        <f t="shared" si="5"/>
        <v>0</v>
      </c>
      <c r="O15" s="9"/>
    </row>
    <row r="16" spans="1:15" ht="15.75" thickBot="1" x14ac:dyDescent="0.5">
      <c r="B16" s="3" t="s">
        <v>32</v>
      </c>
    </row>
    <row r="17" spans="2:15" ht="18" thickBot="1" x14ac:dyDescent="0.5">
      <c r="B17" s="94" t="s">
        <v>40</v>
      </c>
      <c r="C17" s="95" t="s">
        <v>30</v>
      </c>
      <c r="D17" s="40" t="s">
        <v>48</v>
      </c>
      <c r="F17" s="2" t="s">
        <v>48</v>
      </c>
      <c r="G17" s="105" t="s">
        <v>29</v>
      </c>
      <c r="H17" s="105"/>
      <c r="I17" s="106"/>
      <c r="K17" s="104" t="s">
        <v>27</v>
      </c>
      <c r="L17" s="105" t="s">
        <v>29</v>
      </c>
      <c r="M17" s="105"/>
      <c r="N17" s="105"/>
      <c r="O17" s="106" t="s">
        <v>36</v>
      </c>
    </row>
    <row r="18" spans="2:15" x14ac:dyDescent="0.45">
      <c r="B18" s="91" t="s">
        <v>41</v>
      </c>
      <c r="C18" s="143">
        <f>L11+M12</f>
        <v>630.42471042471038</v>
      </c>
      <c r="D18" s="145">
        <f>D10*C10/C18</f>
        <v>1.5545075943165116</v>
      </c>
      <c r="F18" s="4" t="s">
        <v>27</v>
      </c>
      <c r="G18" s="5" t="s">
        <v>1</v>
      </c>
      <c r="H18" s="5" t="s">
        <v>3</v>
      </c>
      <c r="I18" s="6" t="s">
        <v>5</v>
      </c>
      <c r="K18" s="125"/>
      <c r="L18" s="5" t="s">
        <v>1</v>
      </c>
      <c r="M18" s="5" t="s">
        <v>3</v>
      </c>
      <c r="N18" s="5" t="s">
        <v>5</v>
      </c>
      <c r="O18" s="126"/>
    </row>
    <row r="19" spans="2:15" x14ac:dyDescent="0.45">
      <c r="B19" s="89" t="s">
        <v>42</v>
      </c>
      <c r="C19" s="142">
        <f>N11+L12</f>
        <v>371.04247104247099</v>
      </c>
      <c r="D19" s="146">
        <f>D11*C11/C19</f>
        <v>0.70072840790842883</v>
      </c>
      <c r="F19" s="4" t="s">
        <v>1</v>
      </c>
      <c r="G19" s="148">
        <f>D18</f>
        <v>1.5545075943165116</v>
      </c>
      <c r="H19" s="82">
        <f>D20</f>
        <v>0.89009875917953918</v>
      </c>
      <c r="I19" s="150">
        <f>D19</f>
        <v>0.70072840790842883</v>
      </c>
      <c r="K19" s="4" t="s">
        <v>1</v>
      </c>
      <c r="L19" s="130">
        <f>$O11*L$14*G19/($L$14*$G19+$M$14*$H19+$N$14*$I19)</f>
        <v>225.97328068348622</v>
      </c>
      <c r="M19" s="130">
        <f t="shared" ref="L19:N21" si="6">$O11*M$14*H19/($L$14*$G19+$M$14*$H19+$N$14*$I19)</f>
        <v>216.72911105622532</v>
      </c>
      <c r="N19" s="130">
        <f t="shared" si="6"/>
        <v>57.297608260288456</v>
      </c>
      <c r="O19" s="6">
        <f>SUM(L19:N19)</f>
        <v>500</v>
      </c>
    </row>
    <row r="20" spans="2:15" x14ac:dyDescent="0.45">
      <c r="B20" s="89" t="s">
        <v>43</v>
      </c>
      <c r="C20" s="142">
        <f>M11+M13+N13</f>
        <v>1067.2972972972973</v>
      </c>
      <c r="D20" s="146">
        <f>D12*C12/C20</f>
        <v>0.89009875917953918</v>
      </c>
      <c r="F20" s="4" t="s">
        <v>3</v>
      </c>
      <c r="G20" s="148">
        <f>D19</f>
        <v>0.70072840790842883</v>
      </c>
      <c r="H20" s="148">
        <f>D18</f>
        <v>1.5545075943165116</v>
      </c>
      <c r="I20" s="150">
        <f>D21</f>
        <v>0.76740740740740743</v>
      </c>
      <c r="K20" s="4" t="s">
        <v>3</v>
      </c>
      <c r="L20" s="130">
        <f t="shared" si="6"/>
        <v>172.54722635322543</v>
      </c>
      <c r="M20" s="130">
        <f t="shared" si="6"/>
        <v>641.15925792533255</v>
      </c>
      <c r="N20" s="130">
        <f t="shared" si="6"/>
        <v>106.29351572144206</v>
      </c>
      <c r="O20" s="6">
        <f t="shared" ref="O20:O21" si="7">SUM(L20:N20)</f>
        <v>920.00000000000011</v>
      </c>
    </row>
    <row r="21" spans="2:15" ht="15.75" thickBot="1" x14ac:dyDescent="0.5">
      <c r="B21" s="90" t="s">
        <v>44</v>
      </c>
      <c r="C21" s="144">
        <f>N12+L13</f>
        <v>521.23552123552122</v>
      </c>
      <c r="D21" s="147">
        <f>D13*C13/C21</f>
        <v>0.76740740740740743</v>
      </c>
      <c r="F21" s="7" t="s">
        <v>5</v>
      </c>
      <c r="G21" s="149">
        <f>D21</f>
        <v>0.76740740740740743</v>
      </c>
      <c r="H21" s="84">
        <f>D20</f>
        <v>0.89009875917953918</v>
      </c>
      <c r="I21" s="85">
        <f>D20</f>
        <v>0.89009875917953918</v>
      </c>
      <c r="K21" s="4" t="s">
        <v>5</v>
      </c>
      <c r="L21" s="130">
        <f t="shared" si="6"/>
        <v>325.43152097114341</v>
      </c>
      <c r="M21" s="130">
        <f t="shared" si="6"/>
        <v>632.24679435679752</v>
      </c>
      <c r="N21" s="130">
        <f t="shared" si="6"/>
        <v>212.32168467205889</v>
      </c>
      <c r="O21" s="6">
        <f t="shared" si="7"/>
        <v>1169.9999999999998</v>
      </c>
    </row>
    <row r="22" spans="2:15" ht="17.649999999999999" x14ac:dyDescent="0.45">
      <c r="K22" s="75" t="s">
        <v>49</v>
      </c>
      <c r="L22" s="130">
        <f>SUM(L19:L21)</f>
        <v>723.95202800785501</v>
      </c>
      <c r="M22" s="130">
        <f t="shared" ref="M22" si="8">SUM(M19:M21)</f>
        <v>1490.1351633383554</v>
      </c>
      <c r="N22" s="130">
        <f>SUM(N19:N21)</f>
        <v>375.9128086537894</v>
      </c>
      <c r="O22" s="6">
        <f>SUM(O19:O21)</f>
        <v>2590</v>
      </c>
    </row>
    <row r="23" spans="2:15" ht="15.75" thickBot="1" x14ac:dyDescent="0.5">
      <c r="K23" s="7" t="s">
        <v>31</v>
      </c>
      <c r="L23" s="76">
        <f>L22/L14-1</f>
        <v>-9.5059964990181212E-2</v>
      </c>
      <c r="M23" s="76">
        <f t="shared" ref="M23" si="9">M22/M14-1</f>
        <v>0.11204116667041442</v>
      </c>
      <c r="N23" s="76">
        <f t="shared" ref="N23" si="10">N22/N14-1</f>
        <v>-0.16463820299157916</v>
      </c>
      <c r="O23" s="77"/>
    </row>
    <row r="24" spans="2:15" ht="15.75" thickBot="1" x14ac:dyDescent="0.5">
      <c r="B24" s="3" t="s">
        <v>33</v>
      </c>
    </row>
    <row r="25" spans="2:15" ht="18" thickBot="1" x14ac:dyDescent="0.5">
      <c r="B25" s="94" t="s">
        <v>40</v>
      </c>
      <c r="C25" s="95" t="s">
        <v>30</v>
      </c>
      <c r="D25" s="40" t="s">
        <v>48</v>
      </c>
      <c r="F25" s="2" t="s">
        <v>48</v>
      </c>
      <c r="G25" s="105" t="s">
        <v>29</v>
      </c>
      <c r="H25" s="105"/>
      <c r="I25" s="106"/>
      <c r="K25" s="104" t="s">
        <v>27</v>
      </c>
      <c r="L25" s="105" t="s">
        <v>29</v>
      </c>
      <c r="M25" s="105"/>
      <c r="N25" s="105"/>
      <c r="O25" s="106" t="s">
        <v>36</v>
      </c>
    </row>
    <row r="26" spans="2:15" x14ac:dyDescent="0.45">
      <c r="B26" s="91" t="s">
        <v>41</v>
      </c>
      <c r="C26" s="143">
        <f>L19+M20</f>
        <v>867.13253860881878</v>
      </c>
      <c r="D26" s="145">
        <f>D18*C18/C26</f>
        <v>1.1301617184983737</v>
      </c>
      <c r="F26" s="4" t="s">
        <v>27</v>
      </c>
      <c r="G26" s="5" t="s">
        <v>1</v>
      </c>
      <c r="H26" s="5" t="s">
        <v>3</v>
      </c>
      <c r="I26" s="6" t="s">
        <v>5</v>
      </c>
      <c r="K26" s="125"/>
      <c r="L26" s="5" t="s">
        <v>1</v>
      </c>
      <c r="M26" s="5" t="s">
        <v>3</v>
      </c>
      <c r="N26" s="5" t="s">
        <v>5</v>
      </c>
      <c r="O26" s="126"/>
    </row>
    <row r="27" spans="2:15" x14ac:dyDescent="0.45">
      <c r="B27" s="89" t="s">
        <v>42</v>
      </c>
      <c r="C27" s="142">
        <f>N19+L20</f>
        <v>229.84483461351388</v>
      </c>
      <c r="D27" s="86">
        <f>D19*C19/C27</f>
        <v>1.1311979250575386</v>
      </c>
      <c r="F27" s="4" t="s">
        <v>1</v>
      </c>
      <c r="G27" s="148">
        <f>D26</f>
        <v>1.1301617184983737</v>
      </c>
      <c r="H27" s="148">
        <f>D28</f>
        <v>0.89513064843937007</v>
      </c>
      <c r="I27" s="83">
        <f>D27</f>
        <v>1.1311979250575386</v>
      </c>
      <c r="K27" s="4" t="s">
        <v>1</v>
      </c>
      <c r="L27" s="130">
        <f>$O19*L$22*G27/($L$22*$G27+$M$22*$H27+$N$22*$I27)</f>
        <v>158.72989526841346</v>
      </c>
      <c r="M27" s="130">
        <f t="shared" ref="M27:N29" si="11">$O19*M$22*H27/($L$22*$G27+$M$22*$H27+$N$22*$I27)</f>
        <v>258.77388048903242</v>
      </c>
      <c r="N27" s="130">
        <f>$O19*N$22*I27/($L$22*$G27+$M$22*$H27+$N$22*$I27)</f>
        <v>82.496224242554092</v>
      </c>
      <c r="O27" s="6">
        <f>SUM(L27:N27)</f>
        <v>499.99999999999994</v>
      </c>
    </row>
    <row r="28" spans="2:15" x14ac:dyDescent="0.45">
      <c r="B28" s="89" t="s">
        <v>43</v>
      </c>
      <c r="C28" s="142">
        <f>M19+M21+N21</f>
        <v>1061.2975900850818</v>
      </c>
      <c r="D28" s="146">
        <f>D20*C20/C28</f>
        <v>0.89513064843937007</v>
      </c>
      <c r="F28" s="4" t="s">
        <v>3</v>
      </c>
      <c r="G28" s="82">
        <f>D27</f>
        <v>1.1311979250575386</v>
      </c>
      <c r="H28" s="148">
        <f>D26</f>
        <v>1.1301617184983737</v>
      </c>
      <c r="I28" s="150">
        <f>D29</f>
        <v>0.92651564306849399</v>
      </c>
      <c r="K28" s="4" t="s">
        <v>3</v>
      </c>
      <c r="L28" s="130">
        <f t="shared" ref="L28:L29" si="12">$O20*L$22*G28/($L$22*$G28+$M$22*$H28+$N$22*$I28)</f>
        <v>264.23533200559041</v>
      </c>
      <c r="M28" s="130">
        <f t="shared" si="11"/>
        <v>543.38638825321107</v>
      </c>
      <c r="N28" s="130">
        <f t="shared" si="11"/>
        <v>112.37827974119884</v>
      </c>
      <c r="O28" s="6">
        <f t="shared" ref="O28:O29" si="13">SUM(L28:N28)</f>
        <v>920.00000000000034</v>
      </c>
    </row>
    <row r="29" spans="2:15" ht="15.75" thickBot="1" x14ac:dyDescent="0.5">
      <c r="B29" s="90" t="s">
        <v>44</v>
      </c>
      <c r="C29" s="144">
        <f>N20+L21</f>
        <v>431.72503669258549</v>
      </c>
      <c r="D29" s="147">
        <f>D21*C21/C29</f>
        <v>0.92651564306849399</v>
      </c>
      <c r="F29" s="7" t="s">
        <v>5</v>
      </c>
      <c r="G29" s="149">
        <f>D29</f>
        <v>0.92651564306849399</v>
      </c>
      <c r="H29" s="149">
        <f>D28</f>
        <v>0.89513064843937007</v>
      </c>
      <c r="I29" s="151">
        <f>D28</f>
        <v>0.89513064843937007</v>
      </c>
      <c r="K29" s="4" t="s">
        <v>5</v>
      </c>
      <c r="L29" s="130">
        <f t="shared" si="12"/>
        <v>335.21748184340333</v>
      </c>
      <c r="M29" s="130">
        <f t="shared" si="11"/>
        <v>666.61672299736563</v>
      </c>
      <c r="N29" s="130">
        <f>$O21*N$22*I29/($L$22*$G29+$M$22*$H29+$N$22*$I29)</f>
        <v>168.16579515923084</v>
      </c>
      <c r="O29" s="6">
        <f t="shared" si="13"/>
        <v>1169.9999999999998</v>
      </c>
    </row>
    <row r="30" spans="2:15" ht="17.649999999999999" x14ac:dyDescent="0.45">
      <c r="K30" s="75" t="s">
        <v>49</v>
      </c>
      <c r="L30" s="130">
        <f>SUM(L27:L29)</f>
        <v>758.18270911740717</v>
      </c>
      <c r="M30" s="5">
        <f t="shared" ref="M30" si="14">SUM(M27:M29)</f>
        <v>1468.776991739609</v>
      </c>
      <c r="N30" s="5">
        <f>SUM(N27:N29)</f>
        <v>363.04029914298377</v>
      </c>
      <c r="O30" s="6">
        <f>SUM(O27:O29)</f>
        <v>2590</v>
      </c>
    </row>
    <row r="31" spans="2:15" ht="15.75" thickBot="1" x14ac:dyDescent="0.5">
      <c r="C31" s="10"/>
      <c r="D31" s="10"/>
      <c r="E31" s="10"/>
      <c r="F31" s="10"/>
      <c r="K31" s="7" t="s">
        <v>31</v>
      </c>
      <c r="L31" s="76">
        <f>L30/L22-1</f>
        <v>4.7283079244555548E-2</v>
      </c>
      <c r="M31" s="76">
        <f t="shared" ref="M31" si="15">M30/M22-1</f>
        <v>-1.4333043152204739E-2</v>
      </c>
      <c r="N31" s="76">
        <f t="shared" ref="N31" si="16">N30/N22-1</f>
        <v>-3.4243338387176414E-2</v>
      </c>
      <c r="O31" s="77"/>
    </row>
    <row r="32" spans="2:15" ht="15.75" thickBot="1" x14ac:dyDescent="0.5">
      <c r="B32" s="3" t="s">
        <v>34</v>
      </c>
    </row>
    <row r="33" spans="1:25" ht="18" thickBot="1" x14ac:dyDescent="0.5">
      <c r="B33" s="94" t="s">
        <v>40</v>
      </c>
      <c r="C33" s="95" t="s">
        <v>30</v>
      </c>
      <c r="D33" s="40" t="s">
        <v>48</v>
      </c>
      <c r="F33" s="2" t="s">
        <v>48</v>
      </c>
      <c r="G33" s="105" t="s">
        <v>29</v>
      </c>
      <c r="H33" s="105"/>
      <c r="I33" s="106"/>
      <c r="K33" s="104" t="s">
        <v>27</v>
      </c>
      <c r="L33" s="105" t="s">
        <v>29</v>
      </c>
      <c r="M33" s="105"/>
      <c r="N33" s="105"/>
      <c r="O33" s="106" t="s">
        <v>36</v>
      </c>
    </row>
    <row r="34" spans="1:25" x14ac:dyDescent="0.45">
      <c r="B34" s="91" t="s">
        <v>41</v>
      </c>
      <c r="C34" s="143">
        <f>L27+M28</f>
        <v>702.1162835216245</v>
      </c>
      <c r="D34" s="145">
        <f>D26*C26/C34</f>
        <v>1.3957801905470506</v>
      </c>
      <c r="F34" s="4" t="s">
        <v>27</v>
      </c>
      <c r="G34" s="5" t="s">
        <v>1</v>
      </c>
      <c r="H34" s="5" t="s">
        <v>3</v>
      </c>
      <c r="I34" s="6" t="s">
        <v>5</v>
      </c>
      <c r="K34" s="125"/>
      <c r="L34" s="5" t="s">
        <v>1</v>
      </c>
      <c r="M34" s="5" t="s">
        <v>3</v>
      </c>
      <c r="N34" s="5" t="s">
        <v>5</v>
      </c>
      <c r="O34" s="126"/>
    </row>
    <row r="35" spans="1:25" x14ac:dyDescent="0.45">
      <c r="B35" s="89" t="s">
        <v>42</v>
      </c>
      <c r="C35" s="142">
        <f>N27+L28</f>
        <v>346.7315562481445</v>
      </c>
      <c r="D35" s="146">
        <f>D27*C27/C35</f>
        <v>0.74985964015898932</v>
      </c>
      <c r="F35" s="4" t="s">
        <v>1</v>
      </c>
      <c r="G35" s="148">
        <f>D34</f>
        <v>1.3957801905470506</v>
      </c>
      <c r="H35" s="148">
        <f>D36</f>
        <v>0.86872519897151745</v>
      </c>
      <c r="I35" s="150">
        <f>D35</f>
        <v>0.74985964015898932</v>
      </c>
      <c r="K35" s="4" t="s">
        <v>1</v>
      </c>
      <c r="L35" s="130">
        <f>$O27*L$30*G35/($L$30*$G35+$M$30*$H35+$N$30*$I35)</f>
        <v>203.00729098786709</v>
      </c>
      <c r="M35" s="130">
        <f t="shared" ref="M35:N37" si="17">$O27*M$30*H35/($L$30*$G35+$M$30*$H35+$N$30*$I35)</f>
        <v>244.77046314015834</v>
      </c>
      <c r="N35" s="130">
        <f t="shared" si="17"/>
        <v>52.222245871974515</v>
      </c>
      <c r="O35" s="152">
        <f>SUM(L35:N35)</f>
        <v>499.99999999999994</v>
      </c>
    </row>
    <row r="36" spans="1:25" x14ac:dyDescent="0.45">
      <c r="B36" s="89" t="s">
        <v>43</v>
      </c>
      <c r="C36" s="87">
        <f>M27+M29+N29</f>
        <v>1093.5563986456289</v>
      </c>
      <c r="D36" s="146">
        <f>D28*C28/C36</f>
        <v>0.86872519897151745</v>
      </c>
      <c r="F36" s="4" t="s">
        <v>3</v>
      </c>
      <c r="G36" s="148">
        <f>D35</f>
        <v>0.74985964015898932</v>
      </c>
      <c r="H36" s="148">
        <f>D34</f>
        <v>1.3957801905470506</v>
      </c>
      <c r="I36" s="150">
        <f>D37</f>
        <v>0.89366351143250067</v>
      </c>
      <c r="K36" s="4" t="s">
        <v>3</v>
      </c>
      <c r="L36" s="130">
        <f t="shared" ref="L36:L37" si="18">$O28*L$30*G36/($L$30*$G36+$M$30*$H36+$N$30*$I36)</f>
        <v>177.72278509934725</v>
      </c>
      <c r="M36" s="130">
        <f t="shared" si="17"/>
        <v>640.85849658059954</v>
      </c>
      <c r="N36" s="130">
        <f t="shared" si="17"/>
        <v>101.41871832005364</v>
      </c>
      <c r="O36" s="6">
        <f t="shared" ref="O36:O37" si="19">SUM(L36:N36)</f>
        <v>920.00000000000045</v>
      </c>
    </row>
    <row r="37" spans="1:25" ht="15.75" thickBot="1" x14ac:dyDescent="0.5">
      <c r="B37" s="90" t="s">
        <v>44</v>
      </c>
      <c r="C37" s="144">
        <f>N28+L29</f>
        <v>447.5957615846022</v>
      </c>
      <c r="D37" s="147">
        <f>D29*C29/C37</f>
        <v>0.89366351143250067</v>
      </c>
      <c r="F37" s="7" t="s">
        <v>5</v>
      </c>
      <c r="G37" s="149">
        <f>D37</f>
        <v>0.89366351143250067</v>
      </c>
      <c r="H37" s="149">
        <f>D36</f>
        <v>0.86872519897151745</v>
      </c>
      <c r="I37" s="151">
        <f>D36</f>
        <v>0.86872519897151745</v>
      </c>
      <c r="K37" s="4" t="s">
        <v>5</v>
      </c>
      <c r="L37" s="130">
        <f t="shared" si="18"/>
        <v>349.39545226418443</v>
      </c>
      <c r="M37" s="130">
        <f t="shared" si="17"/>
        <v>657.97232345728719</v>
      </c>
      <c r="N37" s="130">
        <f t="shared" si="17"/>
        <v>162.63222427852793</v>
      </c>
      <c r="O37" s="6">
        <f t="shared" si="19"/>
        <v>1169.9999999999995</v>
      </c>
    </row>
    <row r="38" spans="1:25" ht="17.649999999999999" x14ac:dyDescent="0.45">
      <c r="K38" s="75" t="s">
        <v>49</v>
      </c>
      <c r="L38" s="130">
        <f>SUM(L35:L37)</f>
        <v>730.12552835139877</v>
      </c>
      <c r="M38" s="130">
        <f t="shared" ref="M38" si="20">SUM(M35:M37)</f>
        <v>1543.6012831780449</v>
      </c>
      <c r="N38" s="130">
        <f>SUM(N35:N37)</f>
        <v>316.27318847055608</v>
      </c>
      <c r="O38" s="6">
        <f>SUM(O35:O37)</f>
        <v>2590</v>
      </c>
    </row>
    <row r="39" spans="1:25" ht="15.75" thickBot="1" x14ac:dyDescent="0.5">
      <c r="C39" s="10"/>
      <c r="D39" s="10"/>
      <c r="E39" s="10"/>
      <c r="F39" s="10"/>
      <c r="K39" s="7" t="s">
        <v>31</v>
      </c>
      <c r="L39" s="76">
        <f>L38/L30-1</f>
        <v>-3.7005830426638853E-2</v>
      </c>
      <c r="M39" s="76">
        <f t="shared" ref="M39" si="21">M38/M30-1</f>
        <v>5.0943262223773322E-2</v>
      </c>
      <c r="N39" s="76">
        <f t="shared" ref="N39" si="22">N38/N30-1</f>
        <v>-0.1288207143472202</v>
      </c>
      <c r="O39" s="77"/>
    </row>
    <row r="40" spans="1:25" ht="15.75" thickBot="1" x14ac:dyDescent="0.5"/>
    <row r="41" spans="1:25" ht="16.149999999999999" customHeight="1" x14ac:dyDescent="0.45">
      <c r="A41" s="1" t="s">
        <v>16</v>
      </c>
      <c r="B41" s="1"/>
      <c r="C41" s="104" t="s">
        <v>26</v>
      </c>
      <c r="D41" s="105" t="s">
        <v>28</v>
      </c>
      <c r="E41" s="105"/>
      <c r="F41" s="105"/>
      <c r="G41" s="105" t="s">
        <v>36</v>
      </c>
      <c r="H41" s="105" t="s">
        <v>46</v>
      </c>
      <c r="I41" s="106" t="s">
        <v>31</v>
      </c>
      <c r="O41" s="104" t="s">
        <v>26</v>
      </c>
      <c r="P41" s="105" t="s">
        <v>28</v>
      </c>
      <c r="Q41" s="105"/>
      <c r="R41" s="105"/>
      <c r="S41" s="105" t="s">
        <v>36</v>
      </c>
      <c r="T41" s="105" t="s">
        <v>46</v>
      </c>
      <c r="U41" s="106" t="s">
        <v>31</v>
      </c>
    </row>
    <row r="42" spans="1:25" ht="18" thickBot="1" x14ac:dyDescent="0.5">
      <c r="C42" s="125"/>
      <c r="D42" s="12" t="s">
        <v>0</v>
      </c>
      <c r="E42" s="12" t="s">
        <v>2</v>
      </c>
      <c r="F42" s="12" t="s">
        <v>4</v>
      </c>
      <c r="G42" s="127"/>
      <c r="H42" s="127"/>
      <c r="I42" s="126"/>
      <c r="K42" s="3" t="s">
        <v>50</v>
      </c>
      <c r="O42" s="125"/>
      <c r="P42" s="12" t="s">
        <v>0</v>
      </c>
      <c r="Q42" s="12" t="s">
        <v>2</v>
      </c>
      <c r="R42" s="12" t="s">
        <v>4</v>
      </c>
      <c r="S42" s="127"/>
      <c r="T42" s="127"/>
      <c r="U42" s="126"/>
      <c r="W42" s="3" t="s">
        <v>51</v>
      </c>
    </row>
    <row r="43" spans="1:25" x14ac:dyDescent="0.45">
      <c r="C43" s="11" t="s">
        <v>0</v>
      </c>
      <c r="D43" s="130">
        <v>203.00729098786709</v>
      </c>
      <c r="E43" s="130">
        <v>244.77046314015834</v>
      </c>
      <c r="F43" s="130">
        <v>52.222245871974515</v>
      </c>
      <c r="G43" s="12">
        <f>SUM(D43:F43)</f>
        <v>499.99999999999994</v>
      </c>
      <c r="H43" s="12">
        <v>500</v>
      </c>
      <c r="I43" s="78">
        <f>G43/H43-1</f>
        <v>0</v>
      </c>
      <c r="K43" s="155">
        <f>D47/D46</f>
        <v>1.0957019977186329</v>
      </c>
      <c r="L43" s="156">
        <v>0</v>
      </c>
      <c r="M43" s="157">
        <v>0</v>
      </c>
      <c r="O43" s="11" t="s">
        <v>0</v>
      </c>
      <c r="P43" s="130" cm="1">
        <f t="array" ref="P43:R45">MMULT(D43:F45,K43:M45)</f>
        <v>222.43549428685378</v>
      </c>
      <c r="Q43" s="130">
        <v>212.48519561510383</v>
      </c>
      <c r="R43" s="130">
        <v>74.302885919703243</v>
      </c>
      <c r="S43" s="130">
        <f>SUM(P43:R43)</f>
        <v>509.22357582166092</v>
      </c>
      <c r="T43" s="12">
        <v>500</v>
      </c>
      <c r="U43" s="78">
        <f>S43/T43-1</f>
        <v>1.844715164332178E-2</v>
      </c>
      <c r="W43" s="161">
        <f>T43/S43</f>
        <v>0.98188698194741253</v>
      </c>
      <c r="X43" s="167">
        <v>0</v>
      </c>
      <c r="Y43" s="168">
        <v>0</v>
      </c>
    </row>
    <row r="44" spans="1:25" x14ac:dyDescent="0.45">
      <c r="C44" s="11" t="s">
        <v>2</v>
      </c>
      <c r="D44" s="130">
        <v>177.72278509934725</v>
      </c>
      <c r="E44" s="130">
        <v>640.85849658059954</v>
      </c>
      <c r="F44" s="130">
        <v>101.41871832005364</v>
      </c>
      <c r="G44" s="12">
        <f t="shared" ref="G44:G45" si="23">SUM(D44:F44)</f>
        <v>920.00000000000045</v>
      </c>
      <c r="H44" s="12">
        <v>920</v>
      </c>
      <c r="I44" s="78">
        <f t="shared" ref="I44:I45" si="24">G44/H44-1</f>
        <v>0</v>
      </c>
      <c r="K44" s="158">
        <v>0</v>
      </c>
      <c r="L44" s="81">
        <f>E47/E46</f>
        <v>0.86809982254040352</v>
      </c>
      <c r="M44" s="86">
        <v>0</v>
      </c>
      <c r="O44" s="11" t="s">
        <v>2</v>
      </c>
      <c r="P44" s="130">
        <v>194.73121067347407</v>
      </c>
      <c r="Q44" s="130">
        <v>556.32914715512823</v>
      </c>
      <c r="R44" s="130">
        <v>144.3006391554209</v>
      </c>
      <c r="S44" s="130">
        <f t="shared" ref="S44:S45" si="25">SUM(P44:R44)</f>
        <v>895.36099698402313</v>
      </c>
      <c r="T44" s="12">
        <v>920</v>
      </c>
      <c r="U44" s="78">
        <f t="shared" ref="U44:U45" si="26">S44/T44-1</f>
        <v>-2.6781525017366192E-2</v>
      </c>
      <c r="W44" s="170">
        <v>0</v>
      </c>
      <c r="X44" s="154">
        <f>T44/S44</f>
        <v>1.0275185127551592</v>
      </c>
      <c r="Y44" s="169">
        <v>0</v>
      </c>
    </row>
    <row r="45" spans="1:25" ht="15.75" thickBot="1" x14ac:dyDescent="0.5">
      <c r="C45" s="11" t="s">
        <v>4</v>
      </c>
      <c r="D45" s="130">
        <v>349.39545226418443</v>
      </c>
      <c r="E45" s="130">
        <v>657.97232345728719</v>
      </c>
      <c r="F45" s="130">
        <v>162.63222427852793</v>
      </c>
      <c r="G45" s="12">
        <f t="shared" si="23"/>
        <v>1169.9999999999995</v>
      </c>
      <c r="H45" s="12">
        <v>1170</v>
      </c>
      <c r="I45" s="78">
        <f t="shared" si="24"/>
        <v>0</v>
      </c>
      <c r="K45" s="159">
        <v>0</v>
      </c>
      <c r="L45" s="160">
        <v>0</v>
      </c>
      <c r="M45" s="147">
        <f>F47/F46</f>
        <v>1.4228205753896632</v>
      </c>
      <c r="O45" s="11" t="s">
        <v>4</v>
      </c>
      <c r="P45" s="130">
        <v>382.83329503967212</v>
      </c>
      <c r="Q45" s="130">
        <v>571.18565722976803</v>
      </c>
      <c r="R45" s="130">
        <v>231.39647492487586</v>
      </c>
      <c r="S45" s="130">
        <f t="shared" si="25"/>
        <v>1185.4154271943162</v>
      </c>
      <c r="T45" s="12">
        <v>1170</v>
      </c>
      <c r="U45" s="78">
        <f t="shared" si="26"/>
        <v>1.3175578798560794E-2</v>
      </c>
      <c r="W45" s="171">
        <v>0</v>
      </c>
      <c r="X45" s="172">
        <v>0</v>
      </c>
      <c r="Y45" s="147">
        <f>T45/S45</f>
        <v>0.98699575959560271</v>
      </c>
    </row>
    <row r="46" spans="1:25" ht="17.649999999999999" x14ac:dyDescent="0.45">
      <c r="C46" s="75" t="s">
        <v>49</v>
      </c>
      <c r="D46" s="130">
        <f>SUM(D43:D45)</f>
        <v>730.12552835139877</v>
      </c>
      <c r="E46" s="130">
        <f t="shared" ref="E46" si="27">SUM(E43:E45)</f>
        <v>1543.6012831780449</v>
      </c>
      <c r="F46" s="130">
        <f>SUM(F43:F45)</f>
        <v>316.27318847055608</v>
      </c>
      <c r="G46" s="12">
        <f>SUM(G43:G45)</f>
        <v>2590</v>
      </c>
      <c r="H46" s="12"/>
      <c r="I46" s="6"/>
      <c r="O46" s="75" t="s">
        <v>49</v>
      </c>
      <c r="P46" s="130">
        <f>SUM(P43:P45)</f>
        <v>800</v>
      </c>
      <c r="Q46" s="130">
        <f t="shared" ref="Q46" si="28">SUM(Q43:Q45)</f>
        <v>1340</v>
      </c>
      <c r="R46" s="130">
        <f>SUM(R43:R45)</f>
        <v>450</v>
      </c>
      <c r="S46" s="12">
        <f>SUM(S43:S45)</f>
        <v>2590</v>
      </c>
      <c r="T46" s="12"/>
      <c r="U46" s="6"/>
    </row>
    <row r="47" spans="1:25" ht="17.649999999999999" x14ac:dyDescent="0.45">
      <c r="C47" s="11" t="s">
        <v>47</v>
      </c>
      <c r="D47" s="12">
        <v>800</v>
      </c>
      <c r="E47" s="12">
        <v>1340</v>
      </c>
      <c r="F47" s="12">
        <v>450</v>
      </c>
      <c r="G47" s="12"/>
      <c r="H47" s="12"/>
      <c r="I47" s="6"/>
      <c r="O47" s="11" t="s">
        <v>47</v>
      </c>
      <c r="P47" s="12">
        <v>800</v>
      </c>
      <c r="Q47" s="12">
        <v>1340</v>
      </c>
      <c r="R47" s="12">
        <v>450</v>
      </c>
      <c r="S47" s="12"/>
      <c r="T47" s="12"/>
      <c r="U47" s="6"/>
    </row>
    <row r="48" spans="1:25" ht="15.75" thickBot="1" x14ac:dyDescent="0.5">
      <c r="C48" s="52" t="s">
        <v>31</v>
      </c>
      <c r="D48" s="76">
        <f>D46/D47-1</f>
        <v>-8.7343089560751541E-2</v>
      </c>
      <c r="E48" s="76">
        <f t="shared" ref="E48:F48" si="29">E46/E47-1</f>
        <v>0.15194125610301867</v>
      </c>
      <c r="F48" s="76">
        <f t="shared" si="29"/>
        <v>-0.29717069228765314</v>
      </c>
      <c r="G48" s="53"/>
      <c r="H48" s="53"/>
      <c r="I48" s="16"/>
      <c r="O48" s="52" t="s">
        <v>31</v>
      </c>
      <c r="P48" s="76">
        <f>P46/P47-1</f>
        <v>0</v>
      </c>
      <c r="Q48" s="76">
        <f t="shared" ref="Q48" si="30">Q46/Q47-1</f>
        <v>0</v>
      </c>
      <c r="R48" s="76">
        <f t="shared" ref="R48" si="31">R46/R47-1</f>
        <v>0</v>
      </c>
      <c r="S48" s="53"/>
      <c r="T48" s="53"/>
      <c r="U48" s="16"/>
    </row>
    <row r="49" spans="3:25" ht="15.75" thickBot="1" x14ac:dyDescent="0.5">
      <c r="C49" s="10"/>
      <c r="D49" s="10"/>
      <c r="E49" s="10"/>
      <c r="F49" s="10"/>
      <c r="G49" s="10"/>
      <c r="H49" s="10"/>
      <c r="I49" s="10"/>
    </row>
    <row r="50" spans="3:25" ht="16.149999999999999" customHeight="1" x14ac:dyDescent="0.45">
      <c r="C50" s="104" t="s">
        <v>26</v>
      </c>
      <c r="D50" s="105" t="s">
        <v>28</v>
      </c>
      <c r="E50" s="105"/>
      <c r="F50" s="105"/>
      <c r="G50" s="105" t="s">
        <v>36</v>
      </c>
      <c r="H50" s="105" t="s">
        <v>46</v>
      </c>
      <c r="I50" s="106" t="s">
        <v>31</v>
      </c>
      <c r="O50" s="104" t="s">
        <v>26</v>
      </c>
      <c r="P50" s="105" t="s">
        <v>28</v>
      </c>
      <c r="Q50" s="105"/>
      <c r="R50" s="105"/>
      <c r="S50" s="105" t="s">
        <v>36</v>
      </c>
      <c r="T50" s="105" t="s">
        <v>46</v>
      </c>
      <c r="U50" s="106" t="s">
        <v>31</v>
      </c>
    </row>
    <row r="51" spans="3:25" ht="18" thickBot="1" x14ac:dyDescent="0.5">
      <c r="C51" s="125"/>
      <c r="D51" s="12" t="s">
        <v>0</v>
      </c>
      <c r="E51" s="12" t="s">
        <v>2</v>
      </c>
      <c r="F51" s="12" t="s">
        <v>4</v>
      </c>
      <c r="G51" s="127"/>
      <c r="H51" s="127"/>
      <c r="I51" s="126"/>
      <c r="K51" s="3" t="s">
        <v>50</v>
      </c>
      <c r="O51" s="125"/>
      <c r="P51" s="12" t="s">
        <v>0</v>
      </c>
      <c r="Q51" s="12" t="s">
        <v>2</v>
      </c>
      <c r="R51" s="12" t="s">
        <v>4</v>
      </c>
      <c r="S51" s="127"/>
      <c r="T51" s="127"/>
      <c r="U51" s="126"/>
      <c r="W51" s="3" t="s">
        <v>51</v>
      </c>
    </row>
    <row r="52" spans="3:25" x14ac:dyDescent="0.45">
      <c r="C52" s="11" t="s">
        <v>0</v>
      </c>
      <c r="D52" s="130" cm="1">
        <f t="array" ref="D52:F54">MMULT(P43:R45,W43:Y45)</f>
        <v>218.40651616329978</v>
      </c>
      <c r="E52" s="130">
        <v>218.33247218092055</v>
      </c>
      <c r="F52" s="130">
        <v>73.336633328462909</v>
      </c>
      <c r="G52" s="130">
        <f>SUM(D52:F52)</f>
        <v>510.07562167268327</v>
      </c>
      <c r="H52" s="12">
        <v>500</v>
      </c>
      <c r="I52" s="78">
        <f>G52/H52-1</f>
        <v>2.0151243345366554E-2</v>
      </c>
      <c r="K52" s="161">
        <f>D56/D55</f>
        <v>1.0184471516433218</v>
      </c>
      <c r="L52" s="156">
        <v>0</v>
      </c>
      <c r="M52" s="157">
        <v>0</v>
      </c>
      <c r="O52" s="11" t="s">
        <v>0</v>
      </c>
      <c r="P52" s="130" cm="1">
        <f t="array" ref="P52:R54">MMULT(D52:F54,K52:M54)</f>
        <v>222.43549428685378</v>
      </c>
      <c r="Q52" s="130">
        <v>212.48519561510383</v>
      </c>
      <c r="R52" s="130">
        <v>74.302885919703229</v>
      </c>
      <c r="S52" s="130">
        <f>SUM(P52:R52)</f>
        <v>509.22357582166086</v>
      </c>
      <c r="T52" s="12">
        <v>500</v>
      </c>
      <c r="U52" s="78">
        <f>S52/T52-1</f>
        <v>1.844715164332178E-2</v>
      </c>
      <c r="W52" s="161">
        <f>T52/S52</f>
        <v>0.98188698194741264</v>
      </c>
      <c r="X52" s="156">
        <v>0</v>
      </c>
      <c r="Y52" s="157">
        <v>0</v>
      </c>
    </row>
    <row r="53" spans="3:25" x14ac:dyDescent="0.45">
      <c r="C53" s="11" t="s">
        <v>2</v>
      </c>
      <c r="D53" s="130">
        <v>191.20404073914321</v>
      </c>
      <c r="E53" s="130">
        <v>571.63849788718346</v>
      </c>
      <c r="F53" s="130">
        <v>142.42411895333561</v>
      </c>
      <c r="G53" s="130">
        <f t="shared" ref="G53:G54" si="32">SUM(D53:F53)</f>
        <v>905.26665757966225</v>
      </c>
      <c r="H53" s="12">
        <v>920</v>
      </c>
      <c r="I53" s="78">
        <f t="shared" ref="I53:I54" si="33">G53/H53-1</f>
        <v>-1.6014502630801952E-2</v>
      </c>
      <c r="K53" s="158">
        <v>0</v>
      </c>
      <c r="L53" s="154">
        <f>E56/E55</f>
        <v>0.97321847498263392</v>
      </c>
      <c r="M53" s="86">
        <v>0</v>
      </c>
      <c r="O53" s="11" t="s">
        <v>2</v>
      </c>
      <c r="P53" s="130">
        <v>194.73121067347407</v>
      </c>
      <c r="Q53" s="130">
        <v>556.32914715512834</v>
      </c>
      <c r="R53" s="130">
        <v>144.30063915542087</v>
      </c>
      <c r="S53" s="130">
        <f t="shared" ref="S53:S54" si="34">SUM(P53:R53)</f>
        <v>895.36099698402325</v>
      </c>
      <c r="T53" s="12">
        <v>920</v>
      </c>
      <c r="U53" s="78">
        <f t="shared" ref="U53:U54" si="35">S53/T53-1</f>
        <v>-2.6781525017366081E-2</v>
      </c>
      <c r="W53" s="158">
        <v>0</v>
      </c>
      <c r="X53" s="154">
        <f>T53/S53</f>
        <v>1.0275185127551589</v>
      </c>
      <c r="Y53" s="86">
        <v>0</v>
      </c>
    </row>
    <row r="54" spans="3:25" ht="15.75" thickBot="1" x14ac:dyDescent="0.5">
      <c r="C54" s="11" t="s">
        <v>4</v>
      </c>
      <c r="D54" s="130">
        <v>375.89902865548697</v>
      </c>
      <c r="E54" s="130">
        <v>586.90383702380939</v>
      </c>
      <c r="F54" s="130">
        <v>228.3873395362227</v>
      </c>
      <c r="G54" s="130">
        <f t="shared" si="32"/>
        <v>1191.190205215519</v>
      </c>
      <c r="H54" s="12">
        <v>1170</v>
      </c>
      <c r="I54" s="78">
        <f t="shared" si="33"/>
        <v>1.8111286508990521E-2</v>
      </c>
      <c r="K54" s="159">
        <v>0</v>
      </c>
      <c r="L54" s="160">
        <v>0</v>
      </c>
      <c r="M54" s="147">
        <f>F56/F55</f>
        <v>1.0131755787985608</v>
      </c>
      <c r="O54" s="11" t="s">
        <v>4</v>
      </c>
      <c r="P54" s="130">
        <v>382.83329503967212</v>
      </c>
      <c r="Q54" s="130">
        <v>571.18565722976814</v>
      </c>
      <c r="R54" s="130">
        <v>231.39647492487586</v>
      </c>
      <c r="S54" s="130">
        <f t="shared" si="34"/>
        <v>1185.4154271943162</v>
      </c>
      <c r="T54" s="12">
        <v>1170</v>
      </c>
      <c r="U54" s="78">
        <f t="shared" si="35"/>
        <v>1.3175578798560794E-2</v>
      </c>
      <c r="W54" s="159">
        <v>0</v>
      </c>
      <c r="X54" s="160">
        <v>0</v>
      </c>
      <c r="Y54" s="147">
        <f>T54/S54</f>
        <v>0.98699575959560271</v>
      </c>
    </row>
    <row r="55" spans="3:25" ht="17.649999999999999" x14ac:dyDescent="0.45">
      <c r="C55" s="75" t="s">
        <v>49</v>
      </c>
      <c r="D55" s="130">
        <f>SUM(D52:D54)</f>
        <v>785.50958555793</v>
      </c>
      <c r="E55" s="130">
        <f t="shared" ref="E55" si="36">SUM(E52:E54)</f>
        <v>1376.8748070919132</v>
      </c>
      <c r="F55" s="130">
        <f>SUM(F52:F54)</f>
        <v>444.14809181802121</v>
      </c>
      <c r="G55" s="130">
        <f>SUM(G52:G54)</f>
        <v>2606.5324844678644</v>
      </c>
      <c r="H55" s="12"/>
      <c r="I55" s="6"/>
      <c r="O55" s="75" t="s">
        <v>49</v>
      </c>
      <c r="P55" s="130">
        <f>SUM(P52:P54)</f>
        <v>800</v>
      </c>
      <c r="Q55" s="130">
        <f t="shared" ref="Q55" si="37">SUM(Q52:Q54)</f>
        <v>1340.0000000000005</v>
      </c>
      <c r="R55" s="130">
        <f>SUM(R52:R54)</f>
        <v>449.99999999999994</v>
      </c>
      <c r="S55" s="12">
        <f>SUM(S52:S54)</f>
        <v>2590</v>
      </c>
      <c r="T55" s="12"/>
      <c r="U55" s="6"/>
    </row>
    <row r="56" spans="3:25" ht="17.649999999999999" x14ac:dyDescent="0.45">
      <c r="C56" s="11" t="s">
        <v>47</v>
      </c>
      <c r="D56" s="12">
        <v>800</v>
      </c>
      <c r="E56" s="12">
        <v>1340</v>
      </c>
      <c r="F56" s="12">
        <v>450</v>
      </c>
      <c r="G56" s="12"/>
      <c r="H56" s="12"/>
      <c r="I56" s="6"/>
      <c r="O56" s="11" t="s">
        <v>47</v>
      </c>
      <c r="P56" s="12">
        <v>800</v>
      </c>
      <c r="Q56" s="12">
        <v>1340</v>
      </c>
      <c r="R56" s="12">
        <v>450</v>
      </c>
      <c r="S56" s="12"/>
      <c r="T56" s="12"/>
      <c r="U56" s="6"/>
    </row>
    <row r="57" spans="3:25" ht="15.75" thickBot="1" x14ac:dyDescent="0.5">
      <c r="C57" s="52" t="s">
        <v>31</v>
      </c>
      <c r="D57" s="76">
        <f>D55/D56-1</f>
        <v>-1.8113018052587471E-2</v>
      </c>
      <c r="E57" s="76">
        <f t="shared" ref="E57" si="38">E55/E56-1</f>
        <v>2.7518512755159152E-2</v>
      </c>
      <c r="F57" s="76">
        <f t="shared" ref="F57" si="39">F55/F56-1</f>
        <v>-1.3004240404397294E-2</v>
      </c>
      <c r="G57" s="53"/>
      <c r="H57" s="53"/>
      <c r="I57" s="16"/>
      <c r="O57" s="52" t="s">
        <v>31</v>
      </c>
      <c r="P57" s="76">
        <f>P55/P56-1</f>
        <v>0</v>
      </c>
      <c r="Q57" s="76">
        <f t="shared" ref="Q57" si="40">Q55/Q56-1</f>
        <v>0</v>
      </c>
      <c r="R57" s="76">
        <f t="shared" ref="R57" si="41">R55/R56-1</f>
        <v>0</v>
      </c>
      <c r="S57" s="53"/>
      <c r="T57" s="53"/>
      <c r="U57" s="16"/>
    </row>
    <row r="58" spans="3:25" ht="15.75" thickBot="1" x14ac:dyDescent="0.5"/>
    <row r="59" spans="3:25" ht="16.149999999999999" customHeight="1" x14ac:dyDescent="0.45">
      <c r="C59" s="104" t="s">
        <v>26</v>
      </c>
      <c r="D59" s="105" t="s">
        <v>28</v>
      </c>
      <c r="E59" s="105"/>
      <c r="F59" s="105"/>
      <c r="G59" s="105" t="s">
        <v>36</v>
      </c>
      <c r="H59" s="105" t="s">
        <v>46</v>
      </c>
      <c r="I59" s="106" t="s">
        <v>31</v>
      </c>
    </row>
    <row r="60" spans="3:25" x14ac:dyDescent="0.45">
      <c r="C60" s="125"/>
      <c r="D60" s="5" t="s">
        <v>0</v>
      </c>
      <c r="E60" s="5" t="s">
        <v>2</v>
      </c>
      <c r="F60" s="5" t="s">
        <v>4</v>
      </c>
      <c r="G60" s="127"/>
      <c r="H60" s="127"/>
      <c r="I60" s="126"/>
    </row>
    <row r="61" spans="3:25" x14ac:dyDescent="0.45">
      <c r="C61" s="4" t="s">
        <v>0</v>
      </c>
      <c r="D61" s="130" cm="1">
        <f t="array" ref="D61:F63">MMULT(P52:R54,W52:Y54)</f>
        <v>218.40651616329981</v>
      </c>
      <c r="E61" s="130">
        <v>218.33247218092052</v>
      </c>
      <c r="F61" s="130">
        <v>73.336633328462895</v>
      </c>
      <c r="G61" s="130">
        <f>SUM(D61:F61)</f>
        <v>510.07562167268321</v>
      </c>
      <c r="H61" s="5">
        <v>500</v>
      </c>
      <c r="I61" s="78">
        <f>G61/H61-1</f>
        <v>2.0151243345366332E-2</v>
      </c>
    </row>
    <row r="62" spans="3:25" x14ac:dyDescent="0.45">
      <c r="C62" s="4" t="s">
        <v>2</v>
      </c>
      <c r="D62" s="130">
        <v>191.20404073914324</v>
      </c>
      <c r="E62" s="130">
        <v>571.63849788718346</v>
      </c>
      <c r="F62" s="130">
        <v>142.42411895333558</v>
      </c>
      <c r="G62" s="130">
        <f t="shared" ref="G62:G63" si="42">SUM(D62:F62)</f>
        <v>905.26665757966225</v>
      </c>
      <c r="H62" s="5">
        <v>920</v>
      </c>
      <c r="I62" s="78">
        <f t="shared" ref="I62:I63" si="43">G62/H62-1</f>
        <v>-1.6014502630801952E-2</v>
      </c>
    </row>
    <row r="63" spans="3:25" x14ac:dyDescent="0.45">
      <c r="C63" s="4" t="s">
        <v>4</v>
      </c>
      <c r="D63" s="130">
        <v>375.89902865548703</v>
      </c>
      <c r="E63" s="130">
        <v>586.90383702380939</v>
      </c>
      <c r="F63" s="130">
        <v>228.3873395362227</v>
      </c>
      <c r="G63" s="130">
        <f t="shared" si="42"/>
        <v>1191.1902052155192</v>
      </c>
      <c r="H63" s="5">
        <v>1170</v>
      </c>
      <c r="I63" s="78">
        <f t="shared" si="43"/>
        <v>1.8111286508990743E-2</v>
      </c>
    </row>
    <row r="64" spans="3:25" ht="17.649999999999999" x14ac:dyDescent="0.45">
      <c r="C64" s="75" t="s">
        <v>49</v>
      </c>
      <c r="D64" s="130">
        <f>SUM(D61:D63)</f>
        <v>785.50958555793</v>
      </c>
      <c r="E64" s="130">
        <f t="shared" ref="E64" si="44">SUM(E61:E63)</f>
        <v>1376.8748070919132</v>
      </c>
      <c r="F64" s="130">
        <f>SUM(F61:F63)</f>
        <v>444.14809181802116</v>
      </c>
      <c r="G64" s="130">
        <f>SUM(G61:G63)</f>
        <v>2606.5324844678644</v>
      </c>
      <c r="H64" s="5"/>
      <c r="I64" s="6"/>
    </row>
    <row r="65" spans="1:17" ht="17.649999999999999" x14ac:dyDescent="0.45">
      <c r="C65" s="4" t="s">
        <v>47</v>
      </c>
      <c r="D65" s="5">
        <v>800</v>
      </c>
      <c r="E65" s="5">
        <v>1340</v>
      </c>
      <c r="F65" s="5">
        <v>450</v>
      </c>
      <c r="G65" s="5"/>
      <c r="H65" s="5"/>
      <c r="I65" s="6"/>
    </row>
    <row r="66" spans="1:17" ht="15.75" thickBot="1" x14ac:dyDescent="0.5">
      <c r="C66" s="7" t="s">
        <v>31</v>
      </c>
      <c r="D66" s="76">
        <f>D64/D65-1</f>
        <v>-1.8113018052587471E-2</v>
      </c>
      <c r="E66" s="76">
        <f t="shared" ref="E66" si="45">E64/E65-1</f>
        <v>2.7518512755159152E-2</v>
      </c>
      <c r="F66" s="76">
        <f t="shared" ref="F66" si="46">F64/F65-1</f>
        <v>-1.3004240404397405E-2</v>
      </c>
      <c r="G66" s="8"/>
      <c r="H66" s="8"/>
      <c r="I66" s="9"/>
    </row>
    <row r="68" spans="1:17" ht="16.149999999999999" customHeight="1" x14ac:dyDescent="0.45">
      <c r="A68" s="1" t="s">
        <v>35</v>
      </c>
      <c r="B68" s="1"/>
      <c r="C68" s="124" t="s">
        <v>26</v>
      </c>
      <c r="D68" s="124" t="s">
        <v>28</v>
      </c>
      <c r="E68" s="124"/>
      <c r="F68" s="124"/>
      <c r="G68" s="124" t="s">
        <v>36</v>
      </c>
      <c r="H68" s="124" t="s">
        <v>46</v>
      </c>
      <c r="I68" s="124" t="s">
        <v>31</v>
      </c>
      <c r="K68" s="124" t="s">
        <v>27</v>
      </c>
      <c r="L68" s="124" t="s">
        <v>29</v>
      </c>
      <c r="M68" s="124"/>
      <c r="N68" s="124"/>
      <c r="O68" s="124" t="s">
        <v>46</v>
      </c>
    </row>
    <row r="69" spans="1:17" x14ac:dyDescent="0.45">
      <c r="C69" s="124"/>
      <c r="D69" s="10" t="s">
        <v>0</v>
      </c>
      <c r="E69" s="10" t="s">
        <v>2</v>
      </c>
      <c r="F69" s="10" t="s">
        <v>4</v>
      </c>
      <c r="G69" s="124"/>
      <c r="H69" s="124"/>
      <c r="I69" s="124"/>
      <c r="K69" s="124"/>
      <c r="L69" s="10" t="s">
        <v>1</v>
      </c>
      <c r="M69" s="10" t="s">
        <v>3</v>
      </c>
      <c r="N69" s="10" t="s">
        <v>5</v>
      </c>
      <c r="O69" s="124"/>
    </row>
    <row r="70" spans="1:17" x14ac:dyDescent="0.45">
      <c r="C70" s="10" t="s">
        <v>0</v>
      </c>
      <c r="D70" s="153">
        <v>218.40651616329981</v>
      </c>
      <c r="E70" s="153">
        <v>218.33247218092052</v>
      </c>
      <c r="F70" s="153">
        <v>73.336633328462895</v>
      </c>
      <c r="G70" s="153">
        <f>SUM(D70:F70)</f>
        <v>510.07562167268321</v>
      </c>
      <c r="H70" s="10">
        <v>500</v>
      </c>
      <c r="I70" s="79">
        <v>-5.6557683451264884E-3</v>
      </c>
      <c r="K70" s="10" t="s">
        <v>1</v>
      </c>
      <c r="L70" s="10">
        <v>290</v>
      </c>
      <c r="M70" s="10">
        <v>120</v>
      </c>
      <c r="N70" s="10">
        <v>90</v>
      </c>
      <c r="O70" s="10">
        <f>SUM(L70:N70)</f>
        <v>500</v>
      </c>
    </row>
    <row r="71" spans="1:17" x14ac:dyDescent="0.45">
      <c r="C71" s="10" t="s">
        <v>2</v>
      </c>
      <c r="D71" s="153">
        <v>191.20404073914324</v>
      </c>
      <c r="E71" s="153">
        <v>571.63849788718346</v>
      </c>
      <c r="F71" s="153">
        <v>142.42411895333558</v>
      </c>
      <c r="G71" s="153">
        <f t="shared" ref="G71:G72" si="47">SUM(D71:F71)</f>
        <v>905.26665757966225</v>
      </c>
      <c r="H71" s="10">
        <v>920</v>
      </c>
      <c r="I71" s="79">
        <v>1.3846103406973675E-3</v>
      </c>
      <c r="K71" s="10" t="s">
        <v>3</v>
      </c>
      <c r="L71" s="10">
        <v>170</v>
      </c>
      <c r="M71" s="10">
        <v>690</v>
      </c>
      <c r="N71" s="10">
        <v>60</v>
      </c>
      <c r="O71" s="10">
        <f t="shared" ref="O71:O72" si="48">SUM(L71:N71)</f>
        <v>920</v>
      </c>
    </row>
    <row r="72" spans="1:17" x14ac:dyDescent="0.45">
      <c r="C72" s="10" t="s">
        <v>4</v>
      </c>
      <c r="D72" s="153">
        <v>375.89902865548703</v>
      </c>
      <c r="E72" s="153">
        <v>586.90383702380939</v>
      </c>
      <c r="F72" s="153">
        <v>228.3873395362227</v>
      </c>
      <c r="G72" s="153">
        <f t="shared" si="47"/>
        <v>1191.1902052155192</v>
      </c>
      <c r="H72" s="10">
        <v>1170</v>
      </c>
      <c r="I72" s="79">
        <v>1.7640701645007528E-3</v>
      </c>
      <c r="K72" s="10" t="s">
        <v>5</v>
      </c>
      <c r="L72" s="10">
        <v>340</v>
      </c>
      <c r="M72" s="10">
        <v>530</v>
      </c>
      <c r="N72" s="10">
        <v>300</v>
      </c>
      <c r="O72" s="10">
        <f t="shared" si="48"/>
        <v>1170</v>
      </c>
    </row>
    <row r="73" spans="1:17" ht="17.649999999999999" x14ac:dyDescent="0.45">
      <c r="C73" s="73" t="s">
        <v>49</v>
      </c>
      <c r="D73" s="153">
        <f>SUM(D70:D72)</f>
        <v>785.50958555793</v>
      </c>
      <c r="E73" s="153">
        <f t="shared" ref="E73" si="49">SUM(E70:E72)</f>
        <v>1376.8748070919132</v>
      </c>
      <c r="F73" s="153">
        <f>SUM(F70:F72)</f>
        <v>444.14809181802116</v>
      </c>
      <c r="G73" s="153">
        <f>SUM(G70:G72)</f>
        <v>2606.5324844678644</v>
      </c>
      <c r="H73" s="10"/>
      <c r="I73" s="10"/>
      <c r="K73" s="10" t="s">
        <v>47</v>
      </c>
      <c r="L73" s="10">
        <f>SUM(L70:L72)</f>
        <v>800</v>
      </c>
      <c r="M73" s="10">
        <f t="shared" ref="M73:N73" si="50">SUM(M70:M72)</f>
        <v>1340</v>
      </c>
      <c r="N73" s="10">
        <f t="shared" si="50"/>
        <v>450</v>
      </c>
      <c r="O73" s="10">
        <f>SUM(O70:O72)</f>
        <v>2590</v>
      </c>
    </row>
    <row r="74" spans="1:17" ht="17.649999999999999" x14ac:dyDescent="0.45">
      <c r="C74" s="10" t="s">
        <v>47</v>
      </c>
      <c r="D74" s="10">
        <v>800</v>
      </c>
      <c r="E74" s="10">
        <v>1340</v>
      </c>
      <c r="F74" s="10">
        <v>450</v>
      </c>
      <c r="G74" s="10"/>
      <c r="H74" s="10"/>
      <c r="I74" s="10"/>
    </row>
    <row r="75" spans="1:17" x14ac:dyDescent="0.45">
      <c r="C75" s="10" t="s">
        <v>31</v>
      </c>
      <c r="D75" s="74">
        <f>D73/D74-1</f>
        <v>-1.8113018052587471E-2</v>
      </c>
      <c r="E75" s="74">
        <f t="shared" ref="E75:F75" si="51">E73/E74-1</f>
        <v>2.7518512755159152E-2</v>
      </c>
      <c r="F75" s="74">
        <f t="shared" si="51"/>
        <v>-1.3004240404397405E-2</v>
      </c>
      <c r="G75" s="10"/>
      <c r="H75" s="10"/>
      <c r="I75" s="10"/>
    </row>
    <row r="77" spans="1:17" ht="18" thickBot="1" x14ac:dyDescent="0.5">
      <c r="C77" s="72" t="s">
        <v>52</v>
      </c>
      <c r="G77" s="3" t="s">
        <v>53</v>
      </c>
      <c r="K77" s="3" t="s">
        <v>54</v>
      </c>
      <c r="O77" s="3" t="s">
        <v>48</v>
      </c>
    </row>
    <row r="78" spans="1:17" x14ac:dyDescent="0.45">
      <c r="C78" s="161">
        <f>L70/D70</f>
        <v>1.3277992117376691</v>
      </c>
      <c r="D78" s="162">
        <f t="shared" ref="D78:E79" si="52">M70/E70</f>
        <v>0.54962048842905231</v>
      </c>
      <c r="E78" s="163">
        <f t="shared" si="52"/>
        <v>1.2272175025666174</v>
      </c>
      <c r="F78" s="80"/>
      <c r="G78" s="161">
        <f>L70/$G70</f>
        <v>0.56854314865903099</v>
      </c>
      <c r="H78" s="162">
        <f t="shared" ref="H78:I80" si="53">M70/$G70</f>
        <v>0.2352592339278749</v>
      </c>
      <c r="I78" s="163">
        <f t="shared" si="53"/>
        <v>0.17644442544590619</v>
      </c>
      <c r="J78" s="80"/>
      <c r="K78" s="161">
        <f>C78*((1-G78)/(1-C78*G78))</f>
        <v>2.3374708990359827</v>
      </c>
      <c r="L78" s="162">
        <f t="shared" ref="L78:M80" si="54">D78*((1-H78)/(1-D78*H78))</f>
        <v>0.48273663031559783</v>
      </c>
      <c r="M78" s="163">
        <f t="shared" si="54"/>
        <v>1.2900164038569328</v>
      </c>
      <c r="N78" s="80"/>
      <c r="O78" s="161">
        <v>1.3957801905470506</v>
      </c>
      <c r="P78" s="162">
        <v>0.86872519897151745</v>
      </c>
      <c r="Q78" s="163">
        <v>0.74985964015898932</v>
      </c>
    </row>
    <row r="79" spans="1:17" x14ac:dyDescent="0.45">
      <c r="C79" s="164">
        <f t="shared" ref="C79" si="55">L71/D71</f>
        <v>0.88910254899857688</v>
      </c>
      <c r="D79" s="154">
        <f t="shared" si="52"/>
        <v>1.2070565620585196</v>
      </c>
      <c r="E79" s="146">
        <f t="shared" si="52"/>
        <v>0.42127696095953132</v>
      </c>
      <c r="F79" s="80"/>
      <c r="G79" s="164">
        <f t="shared" ref="G79" si="56">L71/$G71</f>
        <v>0.18778997169134137</v>
      </c>
      <c r="H79" s="154">
        <f t="shared" si="53"/>
        <v>0.76220635568838557</v>
      </c>
      <c r="I79" s="146">
        <f t="shared" si="53"/>
        <v>6.6278813538120485E-2</v>
      </c>
      <c r="J79" s="80"/>
      <c r="K79" s="164">
        <f t="shared" ref="K79" si="57">C79*((1-G79)/(1-C79*G79))</f>
        <v>0.86687547330195858</v>
      </c>
      <c r="L79" s="154">
        <f t="shared" si="54"/>
        <v>3.5890543998177775</v>
      </c>
      <c r="M79" s="146">
        <f t="shared" si="54"/>
        <v>0.4046538626017942</v>
      </c>
      <c r="N79" s="80"/>
      <c r="O79" s="164">
        <v>0.74985964015898932</v>
      </c>
      <c r="P79" s="154">
        <v>1.3957801905470506</v>
      </c>
      <c r="Q79" s="146">
        <v>0.89366351143250067</v>
      </c>
    </row>
    <row r="80" spans="1:17" ht="15.75" thickBot="1" x14ac:dyDescent="0.5">
      <c r="C80" s="165">
        <f>L72/D72</f>
        <v>0.90449821383180895</v>
      </c>
      <c r="D80" s="166">
        <f t="shared" ref="D80:E80" si="58">M72/E72</f>
        <v>0.90304401942170143</v>
      </c>
      <c r="E80" s="147">
        <f t="shared" si="58"/>
        <v>1.3135579257992074</v>
      </c>
      <c r="F80" s="80"/>
      <c r="G80" s="165">
        <f>L72/$G72</f>
        <v>0.28542880768439882</v>
      </c>
      <c r="H80" s="166">
        <f t="shared" si="53"/>
        <v>0.44493314139038642</v>
      </c>
      <c r="I80" s="147">
        <f>N72/$G72</f>
        <v>0.2518489479568225</v>
      </c>
      <c r="J80" s="80"/>
      <c r="K80" s="165">
        <f>C80*((1-G80)/(1-C80*G80))</f>
        <v>0.87126192465109387</v>
      </c>
      <c r="L80" s="166">
        <f t="shared" si="54"/>
        <v>0.83792202853260633</v>
      </c>
      <c r="M80" s="147">
        <f>E80*((1-I80)/(1-E80*I80))</f>
        <v>1.468569105168513</v>
      </c>
      <c r="N80" s="80"/>
      <c r="O80" s="165">
        <v>0.89366351143250067</v>
      </c>
      <c r="P80" s="166">
        <v>0.86872519897151745</v>
      </c>
      <c r="Q80" s="147">
        <v>0.86872519897151745</v>
      </c>
    </row>
    <row r="81" spans="3:9" ht="15.75" thickBot="1" x14ac:dyDescent="0.5"/>
    <row r="82" spans="3:9" ht="16.149999999999999" customHeight="1" x14ac:dyDescent="0.45">
      <c r="C82" s="104" t="s">
        <v>26</v>
      </c>
      <c r="D82" s="105" t="s">
        <v>28</v>
      </c>
      <c r="E82" s="105"/>
      <c r="F82" s="105"/>
      <c r="G82" s="105" t="s">
        <v>36</v>
      </c>
      <c r="H82" s="105" t="s">
        <v>46</v>
      </c>
      <c r="I82" s="106" t="s">
        <v>31</v>
      </c>
    </row>
    <row r="83" spans="3:9" x14ac:dyDescent="0.45">
      <c r="C83" s="125"/>
      <c r="D83" s="12" t="s">
        <v>0</v>
      </c>
      <c r="E83" s="12" t="s">
        <v>2</v>
      </c>
      <c r="F83" s="12" t="s">
        <v>4</v>
      </c>
      <c r="G83" s="127"/>
      <c r="H83" s="127"/>
      <c r="I83" s="126"/>
    </row>
    <row r="84" spans="3:9" x14ac:dyDescent="0.45">
      <c r="C84" s="11" t="s">
        <v>0</v>
      </c>
      <c r="D84" s="130">
        <f>$G70*(D$73*O78*K78)/($D$73*$O78*$K78+$E$73*$P78*$L78+$F$73*$Q78*$M78)</f>
        <v>366.18374879815013</v>
      </c>
      <c r="E84" s="130">
        <f t="shared" ref="E84:F86" si="59">$G70*(E$73*P78*L78)/($D$73*$O78*$K78+$E$73*$P78*$L78+$F$73*$Q78*$M78)</f>
        <v>82.503326921877076</v>
      </c>
      <c r="F84" s="130">
        <f t="shared" si="59"/>
        <v>61.388545952655981</v>
      </c>
      <c r="G84" s="130">
        <f>SUM(D84:F84)</f>
        <v>510.07562167268321</v>
      </c>
      <c r="H84" s="12">
        <v>500</v>
      </c>
      <c r="I84" s="78">
        <f>G84/H84-1</f>
        <v>2.0151243345366332E-2</v>
      </c>
    </row>
    <row r="85" spans="3:9" x14ac:dyDescent="0.45">
      <c r="C85" s="11" t="s">
        <v>2</v>
      </c>
      <c r="D85" s="130">
        <f t="shared" ref="D85" si="60">$G71*(D$73*O79*K79)/($D$73*$O79*$K79+$E$73*$P79*$L79+$F$73*$Q79*$M79)</f>
        <v>61.072013588518239</v>
      </c>
      <c r="E85" s="130">
        <f t="shared" si="59"/>
        <v>824.98410401657918</v>
      </c>
      <c r="F85" s="130">
        <f t="shared" si="59"/>
        <v>19.210539974564838</v>
      </c>
      <c r="G85" s="130">
        <f t="shared" ref="G85:G86" si="61">SUM(D85:F85)</f>
        <v>905.26665757966225</v>
      </c>
      <c r="H85" s="12">
        <v>920</v>
      </c>
      <c r="I85" s="78">
        <f t="shared" ref="I85:I86" si="62">G85/H85-1</f>
        <v>-1.6014502630801952E-2</v>
      </c>
    </row>
    <row r="86" spans="3:9" x14ac:dyDescent="0.45">
      <c r="C86" s="11" t="s">
        <v>4</v>
      </c>
      <c r="D86" s="130">
        <f>$G72*(D$73*O80*K80)/($D$73*$O80*$K80+$E$73*$P80*$L80+$F$73*$Q80*$M80)</f>
        <v>334.11657143401595</v>
      </c>
      <c r="E86" s="130">
        <f t="shared" si="59"/>
        <v>547.52536933952717</v>
      </c>
      <c r="F86" s="130">
        <f t="shared" si="59"/>
        <v>309.54826444197596</v>
      </c>
      <c r="G86" s="130">
        <f t="shared" si="61"/>
        <v>1191.1902052155192</v>
      </c>
      <c r="H86" s="12">
        <v>1170</v>
      </c>
      <c r="I86" s="78">
        <f t="shared" si="62"/>
        <v>1.8111286508990743E-2</v>
      </c>
    </row>
    <row r="87" spans="3:9" ht="17.649999999999999" x14ac:dyDescent="0.45">
      <c r="C87" s="75" t="s">
        <v>49</v>
      </c>
      <c r="D87" s="130">
        <f>SUM(D84:D86)</f>
        <v>761.37233382068439</v>
      </c>
      <c r="E87" s="130">
        <f t="shared" ref="E87" si="63">SUM(E84:E86)</f>
        <v>1455.0128002779834</v>
      </c>
      <c r="F87" s="130">
        <f>SUM(F84:F86)</f>
        <v>390.14735036919677</v>
      </c>
      <c r="G87" s="130">
        <f>SUM(G84:G86)</f>
        <v>2606.5324844678644</v>
      </c>
      <c r="H87" s="12"/>
      <c r="I87" s="6"/>
    </row>
    <row r="88" spans="3:9" ht="17.649999999999999" x14ac:dyDescent="0.45">
      <c r="C88" s="11" t="s">
        <v>47</v>
      </c>
      <c r="D88" s="12">
        <v>800</v>
      </c>
      <c r="E88" s="12">
        <v>1340</v>
      </c>
      <c r="F88" s="12">
        <v>450</v>
      </c>
      <c r="G88" s="12"/>
      <c r="H88" s="12"/>
      <c r="I88" s="6"/>
    </row>
    <row r="89" spans="3:9" ht="15.75" thickBot="1" x14ac:dyDescent="0.5">
      <c r="C89" s="52" t="s">
        <v>31</v>
      </c>
      <c r="D89" s="76">
        <f>D87/D88-1</f>
        <v>-4.8284582724144487E-2</v>
      </c>
      <c r="E89" s="76">
        <f t="shared" ref="E89:F89" si="64">E87/E88-1</f>
        <v>8.5830447968644252E-2</v>
      </c>
      <c r="F89" s="76">
        <f t="shared" si="64"/>
        <v>-0.13300588806845159</v>
      </c>
      <c r="G89" s="53"/>
      <c r="H89" s="53"/>
      <c r="I89" s="16"/>
    </row>
  </sheetData>
  <mergeCells count="59">
    <mergeCell ref="U41:U42"/>
    <mergeCell ref="U50:U51"/>
    <mergeCell ref="I50:I51"/>
    <mergeCell ref="I59:I60"/>
    <mergeCell ref="I68:I69"/>
    <mergeCell ref="O68:O69"/>
    <mergeCell ref="K68:K69"/>
    <mergeCell ref="L68:N68"/>
    <mergeCell ref="S41:S42"/>
    <mergeCell ref="T41:T42"/>
    <mergeCell ref="O50:O51"/>
    <mergeCell ref="P50:R50"/>
    <mergeCell ref="S50:S51"/>
    <mergeCell ref="T50:T51"/>
    <mergeCell ref="C82:C83"/>
    <mergeCell ref="D82:F82"/>
    <mergeCell ref="G82:G83"/>
    <mergeCell ref="H82:H83"/>
    <mergeCell ref="I82:I83"/>
    <mergeCell ref="C68:C69"/>
    <mergeCell ref="D68:F68"/>
    <mergeCell ref="G68:G69"/>
    <mergeCell ref="H68:H69"/>
    <mergeCell ref="I41:I42"/>
    <mergeCell ref="C59:C60"/>
    <mergeCell ref="D59:F59"/>
    <mergeCell ref="G59:G60"/>
    <mergeCell ref="H59:H60"/>
    <mergeCell ref="C50:C51"/>
    <mergeCell ref="D50:F50"/>
    <mergeCell ref="G50:G51"/>
    <mergeCell ref="H50:H51"/>
    <mergeCell ref="C41:C42"/>
    <mergeCell ref="D41:F41"/>
    <mergeCell ref="G41:G42"/>
    <mergeCell ref="H41:H42"/>
    <mergeCell ref="O41:O42"/>
    <mergeCell ref="P41:R41"/>
    <mergeCell ref="L25:N25"/>
    <mergeCell ref="O25:O26"/>
    <mergeCell ref="G33:I33"/>
    <mergeCell ref="K33:K34"/>
    <mergeCell ref="L33:N33"/>
    <mergeCell ref="O33:O34"/>
    <mergeCell ref="G25:I25"/>
    <mergeCell ref="K25:K26"/>
    <mergeCell ref="G9:I9"/>
    <mergeCell ref="K9:K10"/>
    <mergeCell ref="L9:N9"/>
    <mergeCell ref="O9:O10"/>
    <mergeCell ref="G17:I17"/>
    <mergeCell ref="K17:K18"/>
    <mergeCell ref="L17:N17"/>
    <mergeCell ref="O17:O18"/>
    <mergeCell ref="C1:C2"/>
    <mergeCell ref="D1:F1"/>
    <mergeCell ref="L1:N1"/>
    <mergeCell ref="O1:O2"/>
    <mergeCell ref="K1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廖盈榕</dc:creator>
  <cp:lastModifiedBy>廖盈榕</cp:lastModifiedBy>
  <dcterms:created xsi:type="dcterms:W3CDTF">2023-09-30T04:59:46Z</dcterms:created>
  <dcterms:modified xsi:type="dcterms:W3CDTF">2023-10-05T07:49:07Z</dcterms:modified>
</cp:coreProperties>
</file>