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2_ncr:500000_{2ED98DAB-B027-4A32-A038-61CAB7F2FC61}" xr6:coauthVersionLast="33" xr6:coauthVersionMax="33" xr10:uidLastSave="{00000000-0000-0000-0000-000000000000}"/>
  <bookViews>
    <workbookView xWindow="0" yWindow="0" windowWidth="22260" windowHeight="12645" tabRatio="736" activeTab="1" xr2:uid="{00000000-000D-0000-FFFF-FFFF00000000}"/>
  </bookViews>
  <sheets>
    <sheet name="报表（合）" sheetId="1" r:id="rId1"/>
    <sheet name="分析" sheetId="7" r:id="rId2"/>
    <sheet name="Sheet3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7" i="7" l="1"/>
  <c r="Q95" i="7"/>
  <c r="P97" i="7"/>
  <c r="P91" i="7"/>
  <c r="P92" i="7"/>
  <c r="P93" i="7"/>
  <c r="L2" i="7" l="1"/>
  <c r="F33" i="7" l="1"/>
  <c r="G33" i="7"/>
  <c r="G34" i="7" s="1"/>
  <c r="H33" i="7"/>
  <c r="I33" i="7"/>
  <c r="I34" i="7" s="1"/>
  <c r="J33" i="7"/>
  <c r="J34" i="7" s="1"/>
  <c r="K33" i="7"/>
  <c r="K34" i="7" s="1"/>
  <c r="L33" i="7"/>
  <c r="L34" i="7" s="1"/>
  <c r="M33" i="7"/>
  <c r="M34" i="7" s="1"/>
  <c r="N33" i="7"/>
  <c r="N34" i="7" s="1"/>
  <c r="O33" i="7"/>
  <c r="O34" i="7" s="1"/>
  <c r="P33" i="7"/>
  <c r="P34" i="7" s="1"/>
  <c r="Q33" i="7"/>
  <c r="Q34" i="7" s="1"/>
  <c r="R33" i="7"/>
  <c r="R34" i="7" s="1"/>
  <c r="F34" i="7"/>
  <c r="H34" i="7"/>
  <c r="E33" i="7"/>
  <c r="E34" i="7" s="1"/>
  <c r="E21" i="7"/>
  <c r="E22" i="7" s="1"/>
  <c r="F21" i="7"/>
  <c r="F22" i="7" s="1"/>
  <c r="G21" i="7"/>
  <c r="G22" i="7" s="1"/>
  <c r="H21" i="7"/>
  <c r="H22" i="7" s="1"/>
  <c r="I21" i="7"/>
  <c r="I22" i="7" s="1"/>
  <c r="J21" i="7"/>
  <c r="J22" i="7" s="1"/>
  <c r="K21" i="7"/>
  <c r="K22" i="7" s="1"/>
  <c r="L21" i="7"/>
  <c r="L22" i="7" s="1"/>
  <c r="M21" i="7"/>
  <c r="M22" i="7" s="1"/>
  <c r="N21" i="7"/>
  <c r="N22" i="7" s="1"/>
  <c r="O21" i="7"/>
  <c r="O22" i="7" s="1"/>
  <c r="P21" i="7"/>
  <c r="P22" i="7" s="1"/>
  <c r="Q21" i="7"/>
  <c r="Q22" i="7" s="1"/>
  <c r="R21" i="7"/>
  <c r="R22" i="7" s="1"/>
  <c r="F43" i="7"/>
  <c r="F44" i="7" s="1"/>
  <c r="G43" i="7"/>
  <c r="G44" i="7" s="1"/>
  <c r="H43" i="7"/>
  <c r="H44" i="7" s="1"/>
  <c r="I43" i="7"/>
  <c r="I44" i="7" s="1"/>
  <c r="J43" i="7"/>
  <c r="J44" i="7" s="1"/>
  <c r="K43" i="7"/>
  <c r="K44" i="7" s="1"/>
  <c r="L43" i="7"/>
  <c r="L44" i="7" s="1"/>
  <c r="M43" i="7"/>
  <c r="M44" i="7" s="1"/>
  <c r="N43" i="7"/>
  <c r="N44" i="7" s="1"/>
  <c r="O43" i="7"/>
  <c r="O44" i="7" s="1"/>
  <c r="P43" i="7"/>
  <c r="P44" i="7" s="1"/>
  <c r="Q43" i="7"/>
  <c r="Q44" i="7" s="1"/>
  <c r="R43" i="7"/>
  <c r="R44" i="7" s="1"/>
  <c r="E43" i="7"/>
  <c r="E44" i="7" s="1"/>
  <c r="F41" i="7"/>
  <c r="F42" i="7" s="1"/>
  <c r="G41" i="7"/>
  <c r="G42" i="7" s="1"/>
  <c r="H41" i="7"/>
  <c r="H42" i="7" s="1"/>
  <c r="I41" i="7"/>
  <c r="I42" i="7" s="1"/>
  <c r="J41" i="7"/>
  <c r="J42" i="7" s="1"/>
  <c r="K41" i="7"/>
  <c r="K42" i="7" s="1"/>
  <c r="L41" i="7"/>
  <c r="L42" i="7" s="1"/>
  <c r="M41" i="7"/>
  <c r="M42" i="7" s="1"/>
  <c r="N41" i="7"/>
  <c r="N42" i="7" s="1"/>
  <c r="O41" i="7"/>
  <c r="O42" i="7" s="1"/>
  <c r="P41" i="7"/>
  <c r="P42" i="7" s="1"/>
  <c r="Q41" i="7"/>
  <c r="Q42" i="7" s="1"/>
  <c r="R41" i="7"/>
  <c r="R42" i="7" s="1"/>
  <c r="E41" i="7"/>
  <c r="E42" i="7" s="1"/>
  <c r="F35" i="7"/>
  <c r="F36" i="7" s="1"/>
  <c r="G35" i="7"/>
  <c r="G36" i="7" s="1"/>
  <c r="H35" i="7"/>
  <c r="H36" i="7" s="1"/>
  <c r="I35" i="7"/>
  <c r="I36" i="7" s="1"/>
  <c r="J35" i="7"/>
  <c r="J36" i="7" s="1"/>
  <c r="K35" i="7"/>
  <c r="K36" i="7" s="1"/>
  <c r="L35" i="7"/>
  <c r="L36" i="7" s="1"/>
  <c r="M35" i="7"/>
  <c r="M36" i="7" s="1"/>
  <c r="N35" i="7"/>
  <c r="N36" i="7" s="1"/>
  <c r="O35" i="7"/>
  <c r="O36" i="7" s="1"/>
  <c r="P35" i="7"/>
  <c r="P36" i="7" s="1"/>
  <c r="Q35" i="7"/>
  <c r="Q36" i="7" s="1"/>
  <c r="R35" i="7"/>
  <c r="R36" i="7" s="1"/>
  <c r="E35" i="7"/>
  <c r="E36" i="7" s="1"/>
  <c r="F31" i="7"/>
  <c r="F32" i="7" s="1"/>
  <c r="G31" i="7"/>
  <c r="G32" i="7" s="1"/>
  <c r="H31" i="7"/>
  <c r="H32" i="7" s="1"/>
  <c r="I31" i="7"/>
  <c r="I32" i="7" s="1"/>
  <c r="J31" i="7"/>
  <c r="J32" i="7" s="1"/>
  <c r="K31" i="7"/>
  <c r="K32" i="7" s="1"/>
  <c r="L31" i="7"/>
  <c r="L32" i="7" s="1"/>
  <c r="M31" i="7"/>
  <c r="M32" i="7" s="1"/>
  <c r="N31" i="7"/>
  <c r="N32" i="7" s="1"/>
  <c r="O31" i="7"/>
  <c r="O32" i="7" s="1"/>
  <c r="P31" i="7"/>
  <c r="P32" i="7" s="1"/>
  <c r="Q31" i="7"/>
  <c r="Q32" i="7" s="1"/>
  <c r="R31" i="7"/>
  <c r="R32" i="7" s="1"/>
  <c r="E31" i="7"/>
  <c r="E32" i="7" s="1"/>
  <c r="F29" i="7"/>
  <c r="F30" i="7" s="1"/>
  <c r="G29" i="7"/>
  <c r="G30" i="7" s="1"/>
  <c r="H29" i="7"/>
  <c r="H30" i="7" s="1"/>
  <c r="I29" i="7"/>
  <c r="I30" i="7" s="1"/>
  <c r="J29" i="7"/>
  <c r="J30" i="7" s="1"/>
  <c r="K29" i="7"/>
  <c r="K30" i="7" s="1"/>
  <c r="L29" i="7"/>
  <c r="L30" i="7" s="1"/>
  <c r="M29" i="7"/>
  <c r="M30" i="7" s="1"/>
  <c r="N29" i="7"/>
  <c r="N30" i="7" s="1"/>
  <c r="O29" i="7"/>
  <c r="O30" i="7" s="1"/>
  <c r="P29" i="7"/>
  <c r="P30" i="7" s="1"/>
  <c r="Q29" i="7"/>
  <c r="Q30" i="7" s="1"/>
  <c r="R29" i="7"/>
  <c r="R30" i="7" s="1"/>
  <c r="E29" i="7"/>
  <c r="E30" i="7" s="1"/>
  <c r="F27" i="7"/>
  <c r="F28" i="7" s="1"/>
  <c r="G27" i="7"/>
  <c r="H27" i="7"/>
  <c r="I27" i="7"/>
  <c r="I28" i="7" s="1"/>
  <c r="J27" i="7"/>
  <c r="J28" i="7" s="1"/>
  <c r="K27" i="7"/>
  <c r="K28" i="7" s="1"/>
  <c r="L27" i="7"/>
  <c r="L28" i="7" s="1"/>
  <c r="M27" i="7"/>
  <c r="M28" i="7" s="1"/>
  <c r="N27" i="7"/>
  <c r="N28" i="7" s="1"/>
  <c r="O27" i="7"/>
  <c r="O28" i="7" s="1"/>
  <c r="P27" i="7"/>
  <c r="P28" i="7" s="1"/>
  <c r="Q27" i="7"/>
  <c r="Q28" i="7" s="1"/>
  <c r="R27" i="7"/>
  <c r="R28" i="7" s="1"/>
  <c r="G28" i="7"/>
  <c r="H28" i="7"/>
  <c r="E27" i="7"/>
  <c r="E28" i="7" s="1"/>
  <c r="F25" i="7"/>
  <c r="F26" i="7" s="1"/>
  <c r="G25" i="7"/>
  <c r="G26" i="7" s="1"/>
  <c r="H25" i="7"/>
  <c r="H26" i="7" s="1"/>
  <c r="I25" i="7"/>
  <c r="I26" i="7" s="1"/>
  <c r="J25" i="7"/>
  <c r="J26" i="7" s="1"/>
  <c r="K25" i="7"/>
  <c r="K26" i="7" s="1"/>
  <c r="L25" i="7"/>
  <c r="L26" i="7" s="1"/>
  <c r="M25" i="7"/>
  <c r="M26" i="7" s="1"/>
  <c r="N25" i="7"/>
  <c r="N26" i="7" s="1"/>
  <c r="O25" i="7"/>
  <c r="O26" i="7" s="1"/>
  <c r="P25" i="7"/>
  <c r="P26" i="7" s="1"/>
  <c r="Q25" i="7"/>
  <c r="Q26" i="7" s="1"/>
  <c r="R25" i="7"/>
  <c r="R26" i="7" s="1"/>
  <c r="E25" i="7"/>
  <c r="E26" i="7" s="1"/>
  <c r="F39" i="7"/>
  <c r="F40" i="7" s="1"/>
  <c r="G39" i="7"/>
  <c r="H39" i="7"/>
  <c r="H40" i="7" s="1"/>
  <c r="I39" i="7"/>
  <c r="I40" i="7" s="1"/>
  <c r="J39" i="7"/>
  <c r="J40" i="7" s="1"/>
  <c r="K39" i="7"/>
  <c r="K40" i="7" s="1"/>
  <c r="L39" i="7"/>
  <c r="L40" i="7" s="1"/>
  <c r="M39" i="7"/>
  <c r="M40" i="7" s="1"/>
  <c r="N39" i="7"/>
  <c r="N40" i="7" s="1"/>
  <c r="O39" i="7"/>
  <c r="O40" i="7" s="1"/>
  <c r="P39" i="7"/>
  <c r="P40" i="7" s="1"/>
  <c r="Q39" i="7"/>
  <c r="Q40" i="7" s="1"/>
  <c r="R39" i="7"/>
  <c r="R40" i="7" s="1"/>
  <c r="G40" i="7"/>
  <c r="E39" i="7"/>
  <c r="E40" i="7" s="1"/>
  <c r="F37" i="7"/>
  <c r="F38" i="7" s="1"/>
  <c r="G37" i="7"/>
  <c r="G38" i="7" s="1"/>
  <c r="H37" i="7"/>
  <c r="H38" i="7" s="1"/>
  <c r="I37" i="7"/>
  <c r="I38" i="7" s="1"/>
  <c r="J37" i="7"/>
  <c r="J38" i="7" s="1"/>
  <c r="K37" i="7"/>
  <c r="K38" i="7" s="1"/>
  <c r="L37" i="7"/>
  <c r="L38" i="7" s="1"/>
  <c r="M37" i="7"/>
  <c r="M38" i="7" s="1"/>
  <c r="N37" i="7"/>
  <c r="N38" i="7" s="1"/>
  <c r="O37" i="7"/>
  <c r="O38" i="7" s="1"/>
  <c r="P37" i="7"/>
  <c r="P38" i="7" s="1"/>
  <c r="Q37" i="7"/>
  <c r="Q38" i="7" s="1"/>
  <c r="R37" i="7"/>
  <c r="R38" i="7" s="1"/>
  <c r="E37" i="7"/>
  <c r="E38" i="7" s="1"/>
  <c r="F23" i="7"/>
  <c r="F24" i="7" s="1"/>
  <c r="G23" i="7"/>
  <c r="G24" i="7" s="1"/>
  <c r="H23" i="7"/>
  <c r="H24" i="7" s="1"/>
  <c r="I23" i="7"/>
  <c r="I24" i="7" s="1"/>
  <c r="J23" i="7"/>
  <c r="J24" i="7" s="1"/>
  <c r="K23" i="7"/>
  <c r="K24" i="7" s="1"/>
  <c r="L23" i="7"/>
  <c r="L24" i="7" s="1"/>
  <c r="M23" i="7"/>
  <c r="M24" i="7" s="1"/>
  <c r="N23" i="7"/>
  <c r="N24" i="7" s="1"/>
  <c r="O23" i="7"/>
  <c r="O24" i="7" s="1"/>
  <c r="P23" i="7"/>
  <c r="P24" i="7" s="1"/>
  <c r="Q23" i="7"/>
  <c r="Q24" i="7" s="1"/>
  <c r="R23" i="7"/>
  <c r="R24" i="7" s="1"/>
  <c r="E23" i="7"/>
  <c r="E24" i="7" s="1"/>
  <c r="F19" i="7"/>
  <c r="F20" i="7" s="1"/>
  <c r="G19" i="7"/>
  <c r="H19" i="7"/>
  <c r="I19" i="7"/>
  <c r="I20" i="7" s="1"/>
  <c r="J19" i="7"/>
  <c r="J20" i="7" s="1"/>
  <c r="K19" i="7"/>
  <c r="K20" i="7" s="1"/>
  <c r="L19" i="7"/>
  <c r="L20" i="7" s="1"/>
  <c r="M19" i="7"/>
  <c r="M20" i="7" s="1"/>
  <c r="N19" i="7"/>
  <c r="N20" i="7" s="1"/>
  <c r="O19" i="7"/>
  <c r="O20" i="7" s="1"/>
  <c r="P19" i="7"/>
  <c r="P20" i="7" s="1"/>
  <c r="Q19" i="7"/>
  <c r="Q20" i="7" s="1"/>
  <c r="R19" i="7"/>
  <c r="R20" i="7" s="1"/>
  <c r="G20" i="7"/>
  <c r="H20" i="7"/>
  <c r="E19" i="7"/>
  <c r="E20" i="7" s="1"/>
  <c r="F17" i="7"/>
  <c r="F18" i="7" s="1"/>
  <c r="G17" i="7"/>
  <c r="H17" i="7"/>
  <c r="H18" i="7" s="1"/>
  <c r="I17" i="7"/>
  <c r="I18" i="7" s="1"/>
  <c r="J17" i="7"/>
  <c r="J18" i="7" s="1"/>
  <c r="K17" i="7"/>
  <c r="K18" i="7" s="1"/>
  <c r="L17" i="7"/>
  <c r="L18" i="7" s="1"/>
  <c r="M17" i="7"/>
  <c r="M18" i="7" s="1"/>
  <c r="N17" i="7"/>
  <c r="N18" i="7" s="1"/>
  <c r="O17" i="7"/>
  <c r="O18" i="7" s="1"/>
  <c r="P17" i="7"/>
  <c r="P18" i="7" s="1"/>
  <c r="Q17" i="7"/>
  <c r="Q18" i="7" s="1"/>
  <c r="R17" i="7"/>
  <c r="R18" i="7" s="1"/>
  <c r="G18" i="7"/>
  <c r="E17" i="7"/>
  <c r="E18" i="7" s="1"/>
  <c r="F15" i="7"/>
  <c r="F16" i="7" s="1"/>
  <c r="G15" i="7"/>
  <c r="G16" i="7" s="1"/>
  <c r="H15" i="7"/>
  <c r="H16" i="7" s="1"/>
  <c r="I15" i="7"/>
  <c r="I16" i="7" s="1"/>
  <c r="J15" i="7"/>
  <c r="J16" i="7" s="1"/>
  <c r="K15" i="7"/>
  <c r="K16" i="7" s="1"/>
  <c r="L15" i="7"/>
  <c r="L16" i="7" s="1"/>
  <c r="M15" i="7"/>
  <c r="M16" i="7" s="1"/>
  <c r="N15" i="7"/>
  <c r="N16" i="7" s="1"/>
  <c r="O15" i="7"/>
  <c r="O16" i="7" s="1"/>
  <c r="P15" i="7"/>
  <c r="P16" i="7" s="1"/>
  <c r="Q15" i="7"/>
  <c r="Q16" i="7" s="1"/>
  <c r="R15" i="7"/>
  <c r="R16" i="7" s="1"/>
  <c r="E15" i="7"/>
  <c r="E16" i="7" s="1"/>
  <c r="O191" i="1"/>
  <c r="O192" i="1" s="1"/>
  <c r="N191" i="1"/>
  <c r="N192" i="1" s="1"/>
  <c r="M191" i="1"/>
  <c r="M192" i="1" s="1"/>
  <c r="L191" i="1"/>
  <c r="L192" i="1" s="1"/>
  <c r="K191" i="1"/>
  <c r="K192" i="1" s="1"/>
  <c r="J191" i="1"/>
  <c r="J192" i="1" s="1"/>
  <c r="I191" i="1"/>
  <c r="I192" i="1" s="1"/>
  <c r="H191" i="1"/>
  <c r="H192" i="1" s="1"/>
  <c r="G191" i="1"/>
  <c r="G192" i="1" s="1"/>
  <c r="F191" i="1"/>
  <c r="F192" i="1" s="1"/>
  <c r="E191" i="1"/>
  <c r="E192" i="1" s="1"/>
  <c r="D191" i="1"/>
  <c r="D192" i="1" s="1"/>
  <c r="E184" i="1"/>
  <c r="F184" i="1"/>
  <c r="G184" i="1"/>
  <c r="H184" i="1"/>
  <c r="D184" i="1"/>
  <c r="D185" i="1" s="1"/>
  <c r="E185" i="1" s="1"/>
  <c r="F185" i="1" s="1"/>
  <c r="E181" i="1"/>
  <c r="F181" i="1"/>
  <c r="G181" i="1"/>
  <c r="H181" i="1"/>
  <c r="I181" i="1"/>
  <c r="J181" i="1"/>
  <c r="K181" i="1"/>
  <c r="L181" i="1"/>
  <c r="M181" i="1"/>
  <c r="D181" i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O173" i="1"/>
  <c r="E173" i="1"/>
  <c r="F173" i="1"/>
  <c r="G173" i="1"/>
  <c r="H173" i="1"/>
  <c r="I173" i="1"/>
  <c r="J173" i="1"/>
  <c r="K173" i="1"/>
  <c r="L173" i="1"/>
  <c r="M173" i="1"/>
  <c r="N173" i="1"/>
  <c r="D173" i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D164" i="1"/>
  <c r="G153" i="1"/>
  <c r="H153" i="1"/>
  <c r="I153" i="1"/>
  <c r="F153" i="1"/>
  <c r="E152" i="1"/>
  <c r="E162" i="1" s="1"/>
  <c r="F152" i="1"/>
  <c r="G152" i="1"/>
  <c r="D152" i="1"/>
  <c r="D162" i="1" s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D139" i="1"/>
  <c r="E131" i="1"/>
  <c r="E136" i="1" s="1"/>
  <c r="D131" i="1"/>
  <c r="F7" i="1"/>
  <c r="F132" i="1" s="1"/>
  <c r="G7" i="1"/>
  <c r="G132" i="1" s="1"/>
  <c r="S33" i="7" l="1"/>
  <c r="S21" i="7"/>
  <c r="S29" i="7"/>
  <c r="S27" i="7"/>
  <c r="S25" i="7"/>
  <c r="S35" i="7"/>
  <c r="S31" i="7"/>
  <c r="G185" i="1"/>
  <c r="H185" i="1" s="1"/>
  <c r="E165" i="1"/>
  <c r="E137" i="1"/>
  <c r="E140" i="1" s="1"/>
  <c r="D137" i="1"/>
  <c r="D136" i="1"/>
  <c r="D165" i="1"/>
  <c r="D163" i="1"/>
  <c r="E163" i="1" s="1"/>
  <c r="D48" i="1"/>
  <c r="S15" i="7" l="1"/>
  <c r="D166" i="1"/>
  <c r="D138" i="1"/>
  <c r="D140" i="1"/>
  <c r="E166" i="1"/>
  <c r="E114" i="1"/>
  <c r="F114" i="1" s="1"/>
  <c r="D114" i="1"/>
  <c r="P109" i="1"/>
  <c r="O109" i="1"/>
  <c r="N109" i="1"/>
  <c r="M109" i="1"/>
  <c r="L109" i="1"/>
  <c r="K109" i="1"/>
  <c r="J109" i="1"/>
  <c r="I109" i="1"/>
  <c r="H109" i="1"/>
  <c r="G109" i="1"/>
  <c r="P108" i="1"/>
  <c r="O108" i="1"/>
  <c r="N108" i="1"/>
  <c r="M108" i="1"/>
  <c r="L108" i="1"/>
  <c r="K108" i="1"/>
  <c r="J108" i="1"/>
  <c r="I108" i="1"/>
  <c r="H108" i="1"/>
  <c r="G108" i="1"/>
  <c r="F108" i="1"/>
  <c r="I105" i="1"/>
  <c r="H105" i="1"/>
  <c r="G105" i="1"/>
  <c r="F105" i="1"/>
  <c r="N104" i="1"/>
  <c r="M104" i="1"/>
  <c r="L104" i="1"/>
  <c r="K104" i="1"/>
  <c r="J104" i="1"/>
  <c r="I104" i="1"/>
  <c r="H104" i="1"/>
  <c r="G104" i="1"/>
  <c r="F104" i="1"/>
  <c r="P103" i="1"/>
  <c r="O103" i="1"/>
  <c r="N103" i="1"/>
  <c r="M103" i="1"/>
  <c r="L103" i="1"/>
  <c r="K103" i="1"/>
  <c r="J103" i="1"/>
  <c r="I103" i="1"/>
  <c r="H103" i="1"/>
  <c r="G103" i="1"/>
  <c r="F103" i="1"/>
  <c r="E96" i="1"/>
  <c r="I86" i="1"/>
  <c r="H86" i="1"/>
  <c r="G86" i="1"/>
  <c r="F86" i="1"/>
  <c r="H85" i="1"/>
  <c r="G85" i="1"/>
  <c r="F85" i="1"/>
  <c r="F83" i="1"/>
  <c r="E81" i="1"/>
  <c r="D81" i="1"/>
  <c r="E80" i="1"/>
  <c r="D80" i="1"/>
  <c r="Q78" i="1"/>
  <c r="O55" i="1"/>
  <c r="N55" i="1"/>
  <c r="M55" i="1"/>
  <c r="L55" i="1"/>
  <c r="K55" i="1"/>
  <c r="J55" i="1"/>
  <c r="I55" i="1"/>
  <c r="H55" i="1"/>
  <c r="G55" i="1"/>
  <c r="F55" i="1"/>
  <c r="E55" i="1"/>
  <c r="D55" i="1"/>
  <c r="O48" i="1"/>
  <c r="Q72" i="1" s="1"/>
  <c r="N48" i="1"/>
  <c r="P72" i="1" s="1"/>
  <c r="M48" i="1"/>
  <c r="O72" i="1" s="1"/>
  <c r="L48" i="1"/>
  <c r="N72" i="1" s="1"/>
  <c r="K48" i="1"/>
  <c r="M72" i="1" s="1"/>
  <c r="J48" i="1"/>
  <c r="L72" i="1" s="1"/>
  <c r="I48" i="1"/>
  <c r="I44" i="1" s="1"/>
  <c r="H48" i="1"/>
  <c r="J72" i="1" s="1"/>
  <c r="G48" i="1"/>
  <c r="G44" i="1" s="1"/>
  <c r="F48" i="1"/>
  <c r="H72" i="1" s="1"/>
  <c r="E48" i="1"/>
  <c r="G72" i="1" s="1"/>
  <c r="F72" i="1"/>
  <c r="E45" i="1"/>
  <c r="D45" i="1"/>
  <c r="J44" i="1"/>
  <c r="E42" i="1"/>
  <c r="D42" i="1"/>
  <c r="E41" i="1"/>
  <c r="D41" i="1"/>
  <c r="E11" i="1"/>
  <c r="E8" i="1" s="1"/>
  <c r="D11" i="1"/>
  <c r="D8" i="1" s="1"/>
  <c r="H9" i="1"/>
  <c r="F12" i="1"/>
  <c r="F24" i="1" s="1"/>
  <c r="G22" i="1" s="1"/>
  <c r="F109" i="1" s="1"/>
  <c r="H5" i="1"/>
  <c r="F4" i="1"/>
  <c r="E4" i="1"/>
  <c r="D4" i="1"/>
  <c r="D102" i="1" s="1"/>
  <c r="D96" i="1" s="1"/>
  <c r="S19" i="7" l="1"/>
  <c r="S17" i="7"/>
  <c r="E44" i="1"/>
  <c r="F44" i="1"/>
  <c r="I72" i="1"/>
  <c r="O44" i="1"/>
  <c r="K44" i="1"/>
  <c r="H107" i="1"/>
  <c r="L107" i="1"/>
  <c r="L112" i="1" s="1"/>
  <c r="P107" i="1"/>
  <c r="P112" i="1" s="1"/>
  <c r="O127" i="1"/>
  <c r="O148" i="1"/>
  <c r="J56" i="1"/>
  <c r="L127" i="1"/>
  <c r="L148" i="1"/>
  <c r="E138" i="1"/>
  <c r="D141" i="1"/>
  <c r="M44" i="1"/>
  <c r="I148" i="1"/>
  <c r="I127" i="1"/>
  <c r="M148" i="1"/>
  <c r="M127" i="1"/>
  <c r="Q148" i="1"/>
  <c r="Q127" i="1"/>
  <c r="K72" i="1"/>
  <c r="E73" i="1"/>
  <c r="E70" i="1" s="1"/>
  <c r="E89" i="1" s="1"/>
  <c r="J107" i="1"/>
  <c r="J112" i="1" s="1"/>
  <c r="N107" i="1"/>
  <c r="N112" i="1" s="1"/>
  <c r="G114" i="1"/>
  <c r="H114" i="1"/>
  <c r="I114" i="1" s="1"/>
  <c r="J114" i="1" s="1"/>
  <c r="K114" i="1" s="1"/>
  <c r="L114" i="1" s="1"/>
  <c r="M114" i="1" s="1"/>
  <c r="N114" i="1" s="1"/>
  <c r="O114" i="1" s="1"/>
  <c r="P114" i="1" s="1"/>
  <c r="Q114" i="1" s="1"/>
  <c r="G127" i="1"/>
  <c r="G148" i="1"/>
  <c r="K148" i="1"/>
  <c r="K127" i="1"/>
  <c r="H148" i="1"/>
  <c r="H127" i="1"/>
  <c r="P127" i="1"/>
  <c r="P148" i="1"/>
  <c r="N44" i="1"/>
  <c r="F127" i="1"/>
  <c r="F148" i="1"/>
  <c r="J127" i="1"/>
  <c r="J148" i="1"/>
  <c r="N127" i="1"/>
  <c r="N148" i="1"/>
  <c r="H56" i="1"/>
  <c r="Q128" i="1"/>
  <c r="Q149" i="1"/>
  <c r="G107" i="1"/>
  <c r="K107" i="1"/>
  <c r="K112" i="1" s="1"/>
  <c r="O107" i="1"/>
  <c r="O112" i="1" s="1"/>
  <c r="F8" i="1"/>
  <c r="D73" i="1"/>
  <c r="D70" i="1" s="1"/>
  <c r="D89" i="1" s="1"/>
  <c r="D90" i="1" s="1"/>
  <c r="D111" i="1"/>
  <c r="D112" i="1" s="1"/>
  <c r="E21" i="1"/>
  <c r="H11" i="1"/>
  <c r="D44" i="1"/>
  <c r="L44" i="1"/>
  <c r="D56" i="1"/>
  <c r="L56" i="1"/>
  <c r="F74" i="1"/>
  <c r="H44" i="1"/>
  <c r="G83" i="1"/>
  <c r="H7" i="1"/>
  <c r="H4" i="1" s="1"/>
  <c r="G4" i="1"/>
  <c r="G12" i="1"/>
  <c r="H12" i="1" s="1"/>
  <c r="D23" i="1"/>
  <c r="F26" i="1"/>
  <c r="F156" i="1" s="1"/>
  <c r="F56" i="1"/>
  <c r="N56" i="1"/>
  <c r="E23" i="1"/>
  <c r="E56" i="1"/>
  <c r="I56" i="1"/>
  <c r="M56" i="1"/>
  <c r="I107" i="1"/>
  <c r="M107" i="1"/>
  <c r="M112" i="1" s="1"/>
  <c r="E111" i="1"/>
  <c r="E112" i="1" s="1"/>
  <c r="F107" i="1"/>
  <c r="G56" i="1"/>
  <c r="K56" i="1"/>
  <c r="O56" i="1"/>
  <c r="S23" i="7" l="1"/>
  <c r="S37" i="7"/>
  <c r="Q79" i="1"/>
  <c r="Q129" i="1" s="1"/>
  <c r="P160" i="1"/>
  <c r="P134" i="1"/>
  <c r="Q160" i="1"/>
  <c r="Q134" i="1"/>
  <c r="K160" i="1"/>
  <c r="K134" i="1"/>
  <c r="H160" i="1"/>
  <c r="H134" i="1"/>
  <c r="N160" i="1"/>
  <c r="N134" i="1"/>
  <c r="E141" i="1"/>
  <c r="Q150" i="1"/>
  <c r="O160" i="1"/>
  <c r="O134" i="1"/>
  <c r="D106" i="1"/>
  <c r="D118" i="1"/>
  <c r="J160" i="1"/>
  <c r="J134" i="1"/>
  <c r="E106" i="1"/>
  <c r="E118" i="1"/>
  <c r="E90" i="1"/>
  <c r="L160" i="1"/>
  <c r="L134" i="1"/>
  <c r="M160" i="1"/>
  <c r="M134" i="1"/>
  <c r="G160" i="1"/>
  <c r="G134" i="1"/>
  <c r="I160" i="1"/>
  <c r="I134" i="1"/>
  <c r="F160" i="1"/>
  <c r="F134" i="1"/>
  <c r="Q26" i="1"/>
  <c r="M26" i="1"/>
  <c r="I26" i="1"/>
  <c r="I156" i="1" s="1"/>
  <c r="O26" i="1"/>
  <c r="K26" i="1"/>
  <c r="N26" i="1"/>
  <c r="L26" i="1"/>
  <c r="P26" i="1"/>
  <c r="Q28" i="1"/>
  <c r="Q155" i="1" s="1"/>
  <c r="J26" i="1"/>
  <c r="H26" i="1"/>
  <c r="H156" i="1" s="1"/>
  <c r="H8" i="1"/>
  <c r="G24" i="1"/>
  <c r="G26" i="1" s="1"/>
  <c r="G156" i="1" s="1"/>
  <c r="G8" i="1"/>
  <c r="G74" i="1"/>
  <c r="F21" i="1"/>
  <c r="S39" i="7" l="1"/>
  <c r="S41" i="7"/>
  <c r="H46" i="1"/>
  <c r="H47" i="1" s="1"/>
  <c r="H57" i="1" s="1"/>
  <c r="H58" i="1" s="1"/>
  <c r="J156" i="1"/>
  <c r="K46" i="1"/>
  <c r="K47" i="1" s="1"/>
  <c r="K57" i="1" s="1"/>
  <c r="K58" i="1" s="1"/>
  <c r="M156" i="1"/>
  <c r="I46" i="1"/>
  <c r="I47" i="1" s="1"/>
  <c r="I57" i="1" s="1"/>
  <c r="I58" i="1" s="1"/>
  <c r="K156" i="1"/>
  <c r="N46" i="1"/>
  <c r="N47" i="1" s="1"/>
  <c r="N49" i="1" s="1"/>
  <c r="P156" i="1"/>
  <c r="M46" i="1"/>
  <c r="M47" i="1" s="1"/>
  <c r="M57" i="1" s="1"/>
  <c r="M58" i="1" s="1"/>
  <c r="O156" i="1"/>
  <c r="L46" i="1"/>
  <c r="L47" i="1" s="1"/>
  <c r="L57" i="1" s="1"/>
  <c r="L58" i="1" s="1"/>
  <c r="N156" i="1"/>
  <c r="O46" i="1"/>
  <c r="O47" i="1" s="1"/>
  <c r="O49" i="1" s="1"/>
  <c r="Q156" i="1"/>
  <c r="J46" i="1"/>
  <c r="J47" i="1" s="1"/>
  <c r="J49" i="1" s="1"/>
  <c r="L156" i="1"/>
  <c r="J57" i="1"/>
  <c r="J58" i="1" s="1"/>
  <c r="F111" i="1"/>
  <c r="F112" i="1" s="1"/>
  <c r="F25" i="1"/>
  <c r="G21" i="1"/>
  <c r="Q33" i="1"/>
  <c r="Q87" i="1"/>
  <c r="N57" i="1"/>
  <c r="N58" i="1" s="1"/>
  <c r="S43" i="7" l="1"/>
  <c r="O57" i="1"/>
  <c r="O58" i="1" s="1"/>
  <c r="M49" i="1"/>
  <c r="O133" i="1" s="1"/>
  <c r="L49" i="1"/>
  <c r="H49" i="1"/>
  <c r="J133" i="1" s="1"/>
  <c r="K49" i="1"/>
  <c r="M133" i="1" s="1"/>
  <c r="I49" i="1"/>
  <c r="K133" i="1" s="1"/>
  <c r="Q159" i="1"/>
  <c r="Q133" i="1"/>
  <c r="L159" i="1"/>
  <c r="L133" i="1"/>
  <c r="O159" i="1"/>
  <c r="K159" i="1"/>
  <c r="N159" i="1"/>
  <c r="N133" i="1"/>
  <c r="M159" i="1"/>
  <c r="D46" i="1"/>
  <c r="D47" i="1" s="1"/>
  <c r="D57" i="1" s="1"/>
  <c r="D58" i="1" s="1"/>
  <c r="F154" i="1"/>
  <c r="J159" i="1"/>
  <c r="P159" i="1"/>
  <c r="P133" i="1"/>
  <c r="K59" i="1"/>
  <c r="M71" i="1"/>
  <c r="M70" i="1" s="1"/>
  <c r="M59" i="1"/>
  <c r="O71" i="1"/>
  <c r="O70" i="1" s="1"/>
  <c r="O59" i="1"/>
  <c r="Q71" i="1"/>
  <c r="Q70" i="1" s="1"/>
  <c r="N71" i="1"/>
  <c r="N70" i="1" s="1"/>
  <c r="L59" i="1"/>
  <c r="G111" i="1"/>
  <c r="G112" i="1" s="1"/>
  <c r="G25" i="1"/>
  <c r="H21" i="1"/>
  <c r="P71" i="1"/>
  <c r="P70" i="1" s="1"/>
  <c r="N59" i="1"/>
  <c r="I59" i="1"/>
  <c r="K71" i="1"/>
  <c r="K70" i="1" s="1"/>
  <c r="J71" i="1"/>
  <c r="J70" i="1" s="1"/>
  <c r="H59" i="1"/>
  <c r="L71" i="1"/>
  <c r="L70" i="1" s="1"/>
  <c r="J59" i="1"/>
  <c r="L84" i="1" l="1"/>
  <c r="L80" i="1" s="1"/>
  <c r="L161" i="1"/>
  <c r="L162" i="1" s="1"/>
  <c r="L165" i="1" s="1"/>
  <c r="L135" i="1"/>
  <c r="Q136" i="1"/>
  <c r="K84" i="1"/>
  <c r="K80" i="1" s="1"/>
  <c r="K135" i="1"/>
  <c r="K137" i="1" s="1"/>
  <c r="K140" i="1" s="1"/>
  <c r="K161" i="1"/>
  <c r="K162" i="1" s="1"/>
  <c r="K165" i="1" s="1"/>
  <c r="E46" i="1"/>
  <c r="E47" i="1" s="1"/>
  <c r="E57" i="1" s="1"/>
  <c r="E58" i="1" s="1"/>
  <c r="G154" i="1"/>
  <c r="D49" i="1"/>
  <c r="P136" i="1"/>
  <c r="K136" i="1"/>
  <c r="N84" i="1"/>
  <c r="N80" i="1" s="1"/>
  <c r="N135" i="1"/>
  <c r="N137" i="1" s="1"/>
  <c r="N140" i="1" s="1"/>
  <c r="N161" i="1"/>
  <c r="N162" i="1" s="1"/>
  <c r="N165" i="1" s="1"/>
  <c r="J136" i="1"/>
  <c r="O136" i="1"/>
  <c r="Q84" i="1"/>
  <c r="Q80" i="1" s="1"/>
  <c r="Q89" i="1" s="1"/>
  <c r="Q161" i="1"/>
  <c r="Q162" i="1" s="1"/>
  <c r="Q165" i="1" s="1"/>
  <c r="Q135" i="1"/>
  <c r="Q137" i="1" s="1"/>
  <c r="Q140" i="1" s="1"/>
  <c r="M84" i="1"/>
  <c r="M80" i="1" s="1"/>
  <c r="M161" i="1"/>
  <c r="M162" i="1" s="1"/>
  <c r="M165" i="1" s="1"/>
  <c r="M135" i="1"/>
  <c r="M137" i="1" s="1"/>
  <c r="M140" i="1" s="1"/>
  <c r="M136" i="1"/>
  <c r="J84" i="1"/>
  <c r="J80" i="1" s="1"/>
  <c r="J135" i="1"/>
  <c r="J137" i="1" s="1"/>
  <c r="J140" i="1" s="1"/>
  <c r="J161" i="1"/>
  <c r="J162" i="1" s="1"/>
  <c r="J165" i="1" s="1"/>
  <c r="P84" i="1"/>
  <c r="P80" i="1" s="1"/>
  <c r="P161" i="1"/>
  <c r="P162" i="1" s="1"/>
  <c r="P165" i="1" s="1"/>
  <c r="P135" i="1"/>
  <c r="P137" i="1" s="1"/>
  <c r="P140" i="1" s="1"/>
  <c r="O84" i="1"/>
  <c r="O80" i="1" s="1"/>
  <c r="O89" i="1" s="1"/>
  <c r="O161" i="1"/>
  <c r="O162" i="1" s="1"/>
  <c r="O165" i="1" s="1"/>
  <c r="O135" i="1"/>
  <c r="O137" i="1" s="1"/>
  <c r="O140" i="1" s="1"/>
  <c r="N136" i="1"/>
  <c r="L137" i="1"/>
  <c r="L140" i="1" s="1"/>
  <c r="L136" i="1"/>
  <c r="J60" i="1"/>
  <c r="J61" i="1" s="1"/>
  <c r="J63" i="1" s="1"/>
  <c r="L60" i="1"/>
  <c r="L61" i="1" s="1"/>
  <c r="L63" i="1" s="1"/>
  <c r="I60" i="1"/>
  <c r="I61" i="1" s="1"/>
  <c r="I63" i="1" s="1"/>
  <c r="M60" i="1"/>
  <c r="M61" i="1" s="1"/>
  <c r="M63" i="1" s="1"/>
  <c r="N60" i="1"/>
  <c r="N61" i="1" s="1"/>
  <c r="N63" i="1" s="1"/>
  <c r="N89" i="1"/>
  <c r="K89" i="1"/>
  <c r="L89" i="1"/>
  <c r="H60" i="1"/>
  <c r="P89" i="1"/>
  <c r="O60" i="1"/>
  <c r="H111" i="1"/>
  <c r="H112" i="1" s="1"/>
  <c r="I21" i="1"/>
  <c r="H25" i="1"/>
  <c r="F71" i="1"/>
  <c r="F70" i="1" s="1"/>
  <c r="D59" i="1"/>
  <c r="K60" i="1"/>
  <c r="E49" i="1" l="1"/>
  <c r="G159" i="1" s="1"/>
  <c r="F84" i="1"/>
  <c r="F80" i="1" s="1"/>
  <c r="F161" i="1"/>
  <c r="F135" i="1"/>
  <c r="F159" i="1"/>
  <c r="F133" i="1"/>
  <c r="J89" i="1"/>
  <c r="M89" i="1"/>
  <c r="F46" i="1"/>
  <c r="F47" i="1" s="1"/>
  <c r="F49" i="1" s="1"/>
  <c r="H154" i="1"/>
  <c r="K61" i="1"/>
  <c r="K63" i="1" s="1"/>
  <c r="O61" i="1"/>
  <c r="O63" i="1" s="1"/>
  <c r="D60" i="1"/>
  <c r="H61" i="1"/>
  <c r="H63" i="1" s="1"/>
  <c r="E59" i="1"/>
  <c r="G71" i="1"/>
  <c r="G70" i="1" s="1"/>
  <c r="I111" i="1"/>
  <c r="I112" i="1" s="1"/>
  <c r="I25" i="1"/>
  <c r="G133" i="1" l="1"/>
  <c r="H159" i="1"/>
  <c r="H133" i="1"/>
  <c r="G136" i="1"/>
  <c r="G46" i="1"/>
  <c r="G47" i="1" s="1"/>
  <c r="G49" i="1" s="1"/>
  <c r="I154" i="1"/>
  <c r="F137" i="1"/>
  <c r="F136" i="1"/>
  <c r="F57" i="1"/>
  <c r="F58" i="1" s="1"/>
  <c r="H71" i="1" s="1"/>
  <c r="H70" i="1" s="1"/>
  <c r="F162" i="1"/>
  <c r="G84" i="1"/>
  <c r="G80" i="1" s="1"/>
  <c r="G135" i="1"/>
  <c r="G137" i="1" s="1"/>
  <c r="G140" i="1" s="1"/>
  <c r="G161" i="1"/>
  <c r="G162" i="1" s="1"/>
  <c r="G165" i="1" s="1"/>
  <c r="F89" i="1"/>
  <c r="F90" i="1" s="1"/>
  <c r="F99" i="1" s="1"/>
  <c r="F97" i="1" s="1"/>
  <c r="G89" i="1"/>
  <c r="D61" i="1"/>
  <c r="F116" i="1" s="1"/>
  <c r="G57" i="1"/>
  <c r="G58" i="1" s="1"/>
  <c r="E60" i="1"/>
  <c r="F59" i="1" l="1"/>
  <c r="H84" i="1" s="1"/>
  <c r="H80" i="1" s="1"/>
  <c r="H89" i="1" s="1"/>
  <c r="H90" i="1" s="1"/>
  <c r="G90" i="1"/>
  <c r="G99" i="1" s="1"/>
  <c r="H135" i="1"/>
  <c r="H137" i="1" s="1"/>
  <c r="H140" i="1" s="1"/>
  <c r="H136" i="1"/>
  <c r="F140" i="1"/>
  <c r="F138" i="1"/>
  <c r="I159" i="1"/>
  <c r="I133" i="1"/>
  <c r="F165" i="1"/>
  <c r="F163" i="1"/>
  <c r="F96" i="1"/>
  <c r="F118" i="1" s="1"/>
  <c r="F120" i="1"/>
  <c r="F119" i="1"/>
  <c r="E61" i="1"/>
  <c r="E63" i="1" s="1"/>
  <c r="D63" i="1"/>
  <c r="D64" i="1" s="1"/>
  <c r="F60" i="1"/>
  <c r="G59" i="1"/>
  <c r="I71" i="1"/>
  <c r="I70" i="1" s="1"/>
  <c r="H161" i="1" l="1"/>
  <c r="H162" i="1" s="1"/>
  <c r="H165" i="1" s="1"/>
  <c r="I84" i="1"/>
  <c r="I80" i="1" s="1"/>
  <c r="I161" i="1"/>
  <c r="I162" i="1" s="1"/>
  <c r="I165" i="1" s="1"/>
  <c r="I135" i="1"/>
  <c r="I137" i="1" s="1"/>
  <c r="I140" i="1" s="1"/>
  <c r="G163" i="1"/>
  <c r="F166" i="1"/>
  <c r="I136" i="1"/>
  <c r="G138" i="1"/>
  <c r="F141" i="1"/>
  <c r="G97" i="1"/>
  <c r="G60" i="1"/>
  <c r="G61" i="1" s="1"/>
  <c r="G63" i="1" s="1"/>
  <c r="H99" i="1"/>
  <c r="H97" i="1" s="1"/>
  <c r="G116" i="1"/>
  <c r="I89" i="1"/>
  <c r="I90" i="1" s="1"/>
  <c r="F61" i="1"/>
  <c r="F63" i="1" s="1"/>
  <c r="F117" i="1"/>
  <c r="F106" i="1" s="1"/>
  <c r="E64" i="1"/>
  <c r="H138" i="1" l="1"/>
  <c r="G141" i="1"/>
  <c r="H163" i="1"/>
  <c r="G166" i="1"/>
  <c r="H96" i="1"/>
  <c r="H118" i="1" s="1"/>
  <c r="H120" i="1"/>
  <c r="H119" i="1"/>
  <c r="G96" i="1"/>
  <c r="G118" i="1" s="1"/>
  <c r="G120" i="1"/>
  <c r="G119" i="1"/>
  <c r="I99" i="1"/>
  <c r="I97" i="1" s="1"/>
  <c r="J90" i="1"/>
  <c r="G117" i="1"/>
  <c r="G106" i="1" s="1"/>
  <c r="F64" i="1"/>
  <c r="H116" i="1"/>
  <c r="I163" i="1" l="1"/>
  <c r="H166" i="1"/>
  <c r="I138" i="1"/>
  <c r="H141" i="1"/>
  <c r="I96" i="1"/>
  <c r="I118" i="1" s="1"/>
  <c r="I119" i="1"/>
  <c r="I120" i="1"/>
  <c r="J99" i="1"/>
  <c r="J97" i="1" s="1"/>
  <c r="K90" i="1"/>
  <c r="I116" i="1"/>
  <c r="H117" i="1"/>
  <c r="H106" i="1" s="1"/>
  <c r="G64" i="1"/>
  <c r="J138" i="1" l="1"/>
  <c r="I141" i="1"/>
  <c r="J163" i="1"/>
  <c r="I166" i="1"/>
  <c r="J96" i="1"/>
  <c r="J118" i="1" s="1"/>
  <c r="J119" i="1"/>
  <c r="J120" i="1"/>
  <c r="I117" i="1"/>
  <c r="I106" i="1" s="1"/>
  <c r="H64" i="1"/>
  <c r="K99" i="1"/>
  <c r="K97" i="1" s="1"/>
  <c r="L90" i="1"/>
  <c r="J116" i="1"/>
  <c r="K163" i="1" l="1"/>
  <c r="J166" i="1"/>
  <c r="K138" i="1"/>
  <c r="J141" i="1"/>
  <c r="K96" i="1"/>
  <c r="K118" i="1" s="1"/>
  <c r="K120" i="1"/>
  <c r="K119" i="1"/>
  <c r="J117" i="1"/>
  <c r="J106" i="1" s="1"/>
  <c r="I64" i="1"/>
  <c r="K116" i="1"/>
  <c r="L99" i="1"/>
  <c r="L97" i="1" s="1"/>
  <c r="M90" i="1"/>
  <c r="L138" i="1" l="1"/>
  <c r="K141" i="1"/>
  <c r="L163" i="1"/>
  <c r="K166" i="1"/>
  <c r="L96" i="1"/>
  <c r="L118" i="1" s="1"/>
  <c r="L120" i="1"/>
  <c r="L119" i="1"/>
  <c r="M99" i="1"/>
  <c r="M97" i="1" s="1"/>
  <c r="N90" i="1"/>
  <c r="K117" i="1"/>
  <c r="K106" i="1" s="1"/>
  <c r="J64" i="1"/>
  <c r="L116" i="1"/>
  <c r="M163" i="1" l="1"/>
  <c r="L166" i="1"/>
  <c r="M138" i="1"/>
  <c r="L141" i="1"/>
  <c r="M96" i="1"/>
  <c r="M118" i="1" s="1"/>
  <c r="M119" i="1"/>
  <c r="M120" i="1"/>
  <c r="N99" i="1"/>
  <c r="N97" i="1" s="1"/>
  <c r="O90" i="1"/>
  <c r="L117" i="1"/>
  <c r="L106" i="1" s="1"/>
  <c r="K64" i="1"/>
  <c r="M116" i="1"/>
  <c r="N138" i="1" l="1"/>
  <c r="M141" i="1"/>
  <c r="N163" i="1"/>
  <c r="M166" i="1"/>
  <c r="N96" i="1"/>
  <c r="N118" i="1" s="1"/>
  <c r="N119" i="1"/>
  <c r="N120" i="1"/>
  <c r="O99" i="1"/>
  <c r="O97" i="1" s="1"/>
  <c r="P90" i="1"/>
  <c r="M117" i="1"/>
  <c r="M106" i="1" s="1"/>
  <c r="L64" i="1"/>
  <c r="N116" i="1"/>
  <c r="O163" i="1" l="1"/>
  <c r="N166" i="1"/>
  <c r="O138" i="1"/>
  <c r="N141" i="1"/>
  <c r="O96" i="1"/>
  <c r="O118" i="1" s="1"/>
  <c r="O120" i="1"/>
  <c r="O119" i="1"/>
  <c r="N117" i="1"/>
  <c r="N106" i="1" s="1"/>
  <c r="M64" i="1"/>
  <c r="P99" i="1"/>
  <c r="P97" i="1" s="1"/>
  <c r="Q90" i="1"/>
  <c r="Q99" i="1" s="1"/>
  <c r="Q96" i="1" s="1"/>
  <c r="O116" i="1"/>
  <c r="P138" i="1" l="1"/>
  <c r="O141" i="1"/>
  <c r="P163" i="1"/>
  <c r="O166" i="1"/>
  <c r="P96" i="1"/>
  <c r="P118" i="1" s="1"/>
  <c r="P120" i="1"/>
  <c r="P119" i="1"/>
  <c r="O117" i="1"/>
  <c r="O106" i="1" s="1"/>
  <c r="N64" i="1"/>
  <c r="P116" i="1"/>
  <c r="Q116" i="1" s="1"/>
  <c r="Q163" i="1" l="1"/>
  <c r="Q166" i="1" s="1"/>
  <c r="P166" i="1"/>
  <c r="Q138" i="1"/>
  <c r="Q141" i="1" s="1"/>
  <c r="P141" i="1"/>
  <c r="P117" i="1"/>
  <c r="P106" i="1" s="1"/>
  <c r="O64" i="1"/>
  <c r="Q117" i="1" s="1"/>
  <c r="Q106" i="1" s="1"/>
</calcChain>
</file>

<file path=xl/sharedStrings.xml><?xml version="1.0" encoding="utf-8"?>
<sst xmlns="http://schemas.openxmlformats.org/spreadsheetml/2006/main" count="287" uniqueCount="175">
  <si>
    <t>序号</t>
    <phoneticPr fontId="1" type="noConversion"/>
  </si>
  <si>
    <t>总投资</t>
    <phoneticPr fontId="1" type="noConversion"/>
  </si>
  <si>
    <t>建设期</t>
    <phoneticPr fontId="1" type="noConversion"/>
  </si>
  <si>
    <t>建设期利息</t>
    <phoneticPr fontId="1" type="noConversion"/>
  </si>
  <si>
    <t>流动资金</t>
    <phoneticPr fontId="1" type="noConversion"/>
  </si>
  <si>
    <t>资金筹措</t>
    <phoneticPr fontId="1" type="noConversion"/>
  </si>
  <si>
    <t>自有资金</t>
    <phoneticPr fontId="1" type="noConversion"/>
  </si>
  <si>
    <t>借款</t>
    <phoneticPr fontId="1" type="noConversion"/>
  </si>
  <si>
    <t>长期借款</t>
    <phoneticPr fontId="1" type="noConversion"/>
  </si>
  <si>
    <t>流动资金借款</t>
    <phoneticPr fontId="1" type="noConversion"/>
  </si>
  <si>
    <t>其他</t>
    <phoneticPr fontId="1" type="noConversion"/>
  </si>
  <si>
    <t>2.2.1</t>
    <phoneticPr fontId="1" type="noConversion"/>
  </si>
  <si>
    <t>2.2.2</t>
    <phoneticPr fontId="1" type="noConversion"/>
  </si>
  <si>
    <t>投产期</t>
    <phoneticPr fontId="1" type="noConversion"/>
  </si>
  <si>
    <t>合计</t>
    <phoneticPr fontId="1" type="noConversion"/>
  </si>
  <si>
    <t>序号</t>
    <phoneticPr fontId="1" type="noConversion"/>
  </si>
  <si>
    <t>建设期</t>
    <phoneticPr fontId="1" type="noConversion"/>
  </si>
  <si>
    <t>投产期</t>
    <phoneticPr fontId="1" type="noConversion"/>
  </si>
  <si>
    <t>达到设计生产能力生产期</t>
    <phoneticPr fontId="1" type="noConversion"/>
  </si>
  <si>
    <t>借款及还本付息</t>
    <phoneticPr fontId="1" type="noConversion"/>
  </si>
  <si>
    <t>长</t>
    <phoneticPr fontId="1" type="noConversion"/>
  </si>
  <si>
    <t>流</t>
    <phoneticPr fontId="1" type="noConversion"/>
  </si>
  <si>
    <r>
      <t>年初欠款累计</t>
    </r>
    <r>
      <rPr>
        <sz val="16"/>
        <color theme="1"/>
        <rFont val="宋体"/>
        <family val="3"/>
        <charset val="134"/>
      </rPr>
      <t>｛</t>
    </r>
    <phoneticPr fontId="1" type="noConversion"/>
  </si>
  <si>
    <t>本年借款｛</t>
    <phoneticPr fontId="1" type="noConversion"/>
  </si>
  <si>
    <t>本年付利息</t>
    <phoneticPr fontId="1" type="noConversion"/>
  </si>
  <si>
    <t>本年还本</t>
    <phoneticPr fontId="1" type="noConversion"/>
  </si>
  <si>
    <t>2..5</t>
    <phoneticPr fontId="1" type="noConversion"/>
  </si>
  <si>
    <t>偿还贷款本金的资金来源</t>
    <phoneticPr fontId="1" type="noConversion"/>
  </si>
  <si>
    <t>利润</t>
    <phoneticPr fontId="1" type="noConversion"/>
  </si>
  <si>
    <t>折旧与摊销</t>
    <phoneticPr fontId="1" type="noConversion"/>
  </si>
  <si>
    <t>自有资金</t>
    <phoneticPr fontId="1" type="noConversion"/>
  </si>
  <si>
    <t>资产回收</t>
    <phoneticPr fontId="1" type="noConversion"/>
  </si>
  <si>
    <t>其他</t>
    <phoneticPr fontId="1" type="noConversion"/>
  </si>
  <si>
    <t>合计</t>
    <phoneticPr fontId="1" type="noConversion"/>
  </si>
  <si>
    <t>直接材料费</t>
    <phoneticPr fontId="1" type="noConversion"/>
  </si>
  <si>
    <t>制造费用</t>
    <phoneticPr fontId="1" type="noConversion"/>
  </si>
  <si>
    <t>利息支出</t>
    <phoneticPr fontId="1" type="noConversion"/>
  </si>
  <si>
    <t>总成本费用</t>
    <phoneticPr fontId="1" type="noConversion"/>
  </si>
  <si>
    <t>其中：折旧与摊销</t>
    <phoneticPr fontId="1" type="noConversion"/>
  </si>
  <si>
    <t>经营成本</t>
    <phoneticPr fontId="1" type="noConversion"/>
  </si>
  <si>
    <t>产品销售收入</t>
    <phoneticPr fontId="1" type="noConversion"/>
  </si>
  <si>
    <t>销售税金及附加</t>
    <phoneticPr fontId="1" type="noConversion"/>
  </si>
  <si>
    <t>利润总额</t>
    <phoneticPr fontId="1" type="noConversion"/>
  </si>
  <si>
    <t>所得税</t>
    <phoneticPr fontId="1" type="noConversion"/>
  </si>
  <si>
    <t>税后利润</t>
    <phoneticPr fontId="1" type="noConversion"/>
  </si>
  <si>
    <t>盈余公积金</t>
    <phoneticPr fontId="1" type="noConversion"/>
  </si>
  <si>
    <t>应付利润</t>
    <phoneticPr fontId="1" type="noConversion"/>
  </si>
  <si>
    <t>未分配利润</t>
    <phoneticPr fontId="1" type="noConversion"/>
  </si>
  <si>
    <t>累计未分配利润</t>
    <phoneticPr fontId="1" type="noConversion"/>
  </si>
  <si>
    <t>资金来源</t>
    <phoneticPr fontId="1" type="noConversion"/>
  </si>
  <si>
    <t>折旧与摊销费</t>
    <phoneticPr fontId="1" type="noConversion"/>
  </si>
  <si>
    <t>长期借款</t>
    <phoneticPr fontId="1" type="noConversion"/>
  </si>
  <si>
    <t>流动资金借款</t>
    <phoneticPr fontId="1" type="noConversion"/>
  </si>
  <si>
    <t>其他短期借款</t>
    <phoneticPr fontId="1" type="noConversion"/>
  </si>
  <si>
    <t>回收固资余值</t>
    <phoneticPr fontId="1" type="noConversion"/>
  </si>
  <si>
    <t>回收流动资金</t>
    <phoneticPr fontId="1" type="noConversion"/>
  </si>
  <si>
    <t>资金运用</t>
    <phoneticPr fontId="1" type="noConversion"/>
  </si>
  <si>
    <t>建设期利息</t>
    <phoneticPr fontId="1" type="noConversion"/>
  </si>
  <si>
    <t>流动资金投资</t>
    <phoneticPr fontId="1" type="noConversion"/>
  </si>
  <si>
    <t>长期借款还本</t>
    <phoneticPr fontId="1" type="noConversion"/>
  </si>
  <si>
    <t>流动资金借款还本</t>
    <phoneticPr fontId="1" type="noConversion"/>
  </si>
  <si>
    <t>其他短期借款还本</t>
    <phoneticPr fontId="1" type="noConversion"/>
  </si>
  <si>
    <t>盈余资金</t>
    <phoneticPr fontId="1" type="noConversion"/>
  </si>
  <si>
    <t>累计盈余资金</t>
    <phoneticPr fontId="1" type="noConversion"/>
  </si>
  <si>
    <t>资产</t>
    <phoneticPr fontId="1" type="noConversion"/>
  </si>
  <si>
    <r>
      <t>表6 资产负债表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</si>
  <si>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表5 资金来源与运用表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</si>
  <si>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表4 损益表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</si>
  <si>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表3 成本费用表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</si>
  <si>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表2 借款还本付息表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</si>
  <si>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表1 投资计划及资金筹措表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</si>
  <si>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流动资产总额</t>
    <phoneticPr fontId="1" type="noConversion"/>
  </si>
  <si>
    <t>1.1.1</t>
    <phoneticPr fontId="1" type="noConversion"/>
  </si>
  <si>
    <t>现金</t>
    <phoneticPr fontId="1" type="noConversion"/>
  </si>
  <si>
    <t>1.1.2</t>
    <phoneticPr fontId="1" type="noConversion"/>
  </si>
  <si>
    <t>1.1.3</t>
    <phoneticPr fontId="1" type="noConversion"/>
  </si>
  <si>
    <t>1.1.4</t>
    <phoneticPr fontId="1" type="noConversion"/>
  </si>
  <si>
    <t>应收账款</t>
    <phoneticPr fontId="1" type="noConversion"/>
  </si>
  <si>
    <t>存货</t>
    <phoneticPr fontId="1" type="noConversion"/>
  </si>
  <si>
    <t>在建工程</t>
    <phoneticPr fontId="1" type="noConversion"/>
  </si>
  <si>
    <t>固定资产净值</t>
    <phoneticPr fontId="1" type="noConversion"/>
  </si>
  <si>
    <t>无形和递延资产净值</t>
    <phoneticPr fontId="1" type="noConversion"/>
  </si>
  <si>
    <t>负债和所有者权益</t>
    <phoneticPr fontId="1" type="noConversion"/>
  </si>
  <si>
    <t>流动负债总额</t>
    <phoneticPr fontId="1" type="noConversion"/>
  </si>
  <si>
    <t>2.1.1</t>
    <phoneticPr fontId="1" type="noConversion"/>
  </si>
  <si>
    <t>应付账款</t>
    <phoneticPr fontId="1" type="noConversion"/>
  </si>
  <si>
    <t>2.1.2</t>
    <phoneticPr fontId="1" type="noConversion"/>
  </si>
  <si>
    <t>2.1.3</t>
    <phoneticPr fontId="1" type="noConversion"/>
  </si>
  <si>
    <t>负债小计</t>
    <phoneticPr fontId="1" type="noConversion"/>
  </si>
  <si>
    <t>所有者权益</t>
    <phoneticPr fontId="1" type="noConversion"/>
  </si>
  <si>
    <t>2.3.1</t>
    <phoneticPr fontId="1" type="noConversion"/>
  </si>
  <si>
    <t>资本金</t>
    <phoneticPr fontId="1" type="noConversion"/>
  </si>
  <si>
    <t>资本公积金</t>
    <phoneticPr fontId="1" type="noConversion"/>
  </si>
  <si>
    <t>2.3.2</t>
    <phoneticPr fontId="1" type="noConversion"/>
  </si>
  <si>
    <t>2.3.3</t>
    <phoneticPr fontId="1" type="noConversion"/>
  </si>
  <si>
    <t>累计盈余公积金</t>
    <phoneticPr fontId="1" type="noConversion"/>
  </si>
  <si>
    <t>2.3.4</t>
    <phoneticPr fontId="1" type="noConversion"/>
  </si>
  <si>
    <t>资产负债率</t>
    <phoneticPr fontId="1" type="noConversion"/>
  </si>
  <si>
    <t>流动比率</t>
    <phoneticPr fontId="1" type="noConversion"/>
  </si>
  <si>
    <t>速动比率</t>
    <phoneticPr fontId="1" type="noConversion"/>
  </si>
  <si>
    <r>
      <t>表7 现金流量表（全部投资）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</si>
  <si>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现金流入</t>
    <phoneticPr fontId="1" type="noConversion"/>
  </si>
  <si>
    <t>回收固定资产余值</t>
    <phoneticPr fontId="1" type="noConversion"/>
  </si>
  <si>
    <t>现金流出</t>
    <phoneticPr fontId="1" type="noConversion"/>
  </si>
  <si>
    <t>流动资产投资</t>
    <phoneticPr fontId="1" type="noConversion"/>
  </si>
  <si>
    <t>净现金流量（所得税前）</t>
    <phoneticPr fontId="1" type="noConversion"/>
  </si>
  <si>
    <t>净现金流量（所得税后）</t>
    <phoneticPr fontId="1" type="noConversion"/>
  </si>
  <si>
    <t>累计净现金流量</t>
    <phoneticPr fontId="1" type="noConversion"/>
  </si>
  <si>
    <t>（P/F，0.15，t）</t>
    <phoneticPr fontId="1" type="noConversion"/>
  </si>
  <si>
    <t>累计净现金流量（税后）</t>
    <phoneticPr fontId="1" type="noConversion"/>
  </si>
  <si>
    <t>净现金流现值（税后）</t>
    <phoneticPr fontId="1" type="noConversion"/>
  </si>
  <si>
    <t>累计净现金流现值（税后）</t>
    <phoneticPr fontId="1" type="noConversion"/>
  </si>
  <si>
    <r>
      <t>表8 现金流量表（自有资金）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</si>
  <si>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自有资金投入</t>
    <phoneticPr fontId="1" type="noConversion"/>
  </si>
  <si>
    <t>还本</t>
    <phoneticPr fontId="1" type="noConversion"/>
  </si>
  <si>
    <t>付息</t>
    <phoneticPr fontId="1" type="noConversion"/>
  </si>
  <si>
    <t>净现金流量</t>
    <phoneticPr fontId="1" type="noConversion"/>
  </si>
  <si>
    <t>净现金流现值</t>
    <phoneticPr fontId="1" type="noConversion"/>
  </si>
  <si>
    <t>累计净现金流现值</t>
    <phoneticPr fontId="1" type="noConversion"/>
  </si>
  <si>
    <t>建设投资</t>
    <phoneticPr fontId="1" type="noConversion"/>
  </si>
  <si>
    <t>工资及福利费用</t>
    <phoneticPr fontId="1" type="noConversion"/>
  </si>
  <si>
    <t>修理费用</t>
    <phoneticPr fontId="1" type="noConversion"/>
  </si>
  <si>
    <t>其他费用</t>
    <phoneticPr fontId="1" type="noConversion"/>
  </si>
  <si>
    <t>建设投资</t>
    <phoneticPr fontId="1" type="noConversion"/>
  </si>
  <si>
    <t>其他资产净值</t>
    <phoneticPr fontId="1" type="noConversion"/>
  </si>
  <si>
    <t>固定资产折旧</t>
    <phoneticPr fontId="1" type="noConversion"/>
  </si>
  <si>
    <t>固定资产原值</t>
    <phoneticPr fontId="1" type="noConversion"/>
  </si>
  <si>
    <t>无形资产原值</t>
    <phoneticPr fontId="1" type="noConversion"/>
  </si>
  <si>
    <t>无形资产摊销</t>
    <phoneticPr fontId="1" type="noConversion"/>
  </si>
  <si>
    <t>无形资产净值</t>
    <phoneticPr fontId="1" type="noConversion"/>
  </si>
  <si>
    <t>其他资产原值</t>
    <phoneticPr fontId="1" type="noConversion"/>
  </si>
  <si>
    <t>其他资产摊销</t>
    <phoneticPr fontId="1" type="noConversion"/>
  </si>
  <si>
    <t xml:space="preserve">                                 年份项目</t>
    <phoneticPr fontId="1" type="noConversion"/>
  </si>
  <si>
    <t xml:space="preserve">                                  年份项目</t>
    <phoneticPr fontId="1" type="noConversion"/>
  </si>
  <si>
    <r>
      <t xml:space="preserve">表4 固定资产折旧估算表 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</si>
  <si>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 xml:space="preserve">表5 无形及其他资产摊销估算表 </t>
    </r>
    <r>
      <rPr>
        <sz val="11"/>
        <color theme="1"/>
        <rFont val="等线"/>
        <family val="3"/>
        <charset val="134"/>
        <scheme val="minor"/>
      </rPr>
      <t>（单位：万元）</t>
    </r>
    <phoneticPr fontId="1" type="noConversion"/>
  </si>
  <si>
    <r>
      <t>表4 销售收入和销售税金及附加表</t>
    </r>
    <r>
      <rPr>
        <sz val="12"/>
        <color theme="1"/>
        <rFont val="等线"/>
        <family val="3"/>
        <charset val="134"/>
        <scheme val="minor"/>
      </rPr>
      <t>（单位：万元）</t>
    </r>
    <phoneticPr fontId="1" type="noConversion"/>
  </si>
  <si>
    <t>财务净现值</t>
    <phoneticPr fontId="1" type="noConversion"/>
  </si>
  <si>
    <t>净现金流量</t>
  </si>
  <si>
    <t>累计净现金流量</t>
  </si>
  <si>
    <t>（P/F，0.15，t）</t>
  </si>
  <si>
    <t>净现金流现值</t>
  </si>
  <si>
    <t xml:space="preserve">                     年份项目</t>
    <phoneticPr fontId="1" type="noConversion"/>
  </si>
  <si>
    <t>npv</t>
    <phoneticPr fontId="1" type="noConversion"/>
  </si>
  <si>
    <t>净现金流现值</t>
    <phoneticPr fontId="1" type="noConversion"/>
  </si>
  <si>
    <t>(P/F,15%,t)</t>
    <phoneticPr fontId="1" type="noConversion"/>
  </si>
  <si>
    <t>(P/F,20%,t)</t>
    <phoneticPr fontId="1" type="noConversion"/>
  </si>
  <si>
    <t>(P/F,25%,t)</t>
    <phoneticPr fontId="1" type="noConversion"/>
  </si>
  <si>
    <t>(P/F,28%,t)</t>
    <phoneticPr fontId="1" type="noConversion"/>
  </si>
  <si>
    <t>(P/F,30%,t)</t>
    <phoneticPr fontId="1" type="noConversion"/>
  </si>
  <si>
    <t>(P/F,33%,t)</t>
    <phoneticPr fontId="1" type="noConversion"/>
  </si>
  <si>
    <t>(P/F,35%,t)</t>
    <phoneticPr fontId="1" type="noConversion"/>
  </si>
  <si>
    <t>(P/F,31%,t)</t>
    <phoneticPr fontId="1" type="noConversion"/>
  </si>
  <si>
    <t>(P/F,31.5%,t)</t>
    <phoneticPr fontId="1" type="noConversion"/>
  </si>
  <si>
    <t>(P/F,32%,t)</t>
    <phoneticPr fontId="1" type="noConversion"/>
  </si>
  <si>
    <t>(P/F,32.5%,t)</t>
    <phoneticPr fontId="1" type="noConversion"/>
  </si>
  <si>
    <t>(P/F,40%,t)</t>
    <phoneticPr fontId="1" type="noConversion"/>
  </si>
  <si>
    <t>(P/F,50%,t)</t>
    <phoneticPr fontId="1" type="noConversion"/>
  </si>
  <si>
    <t>(P/F,32.3%,t)</t>
    <phoneticPr fontId="1" type="noConversion"/>
  </si>
  <si>
    <t>年份</t>
    <phoneticPr fontId="1" type="noConversion"/>
  </si>
  <si>
    <t>序号</t>
  </si>
  <si>
    <t>建设期</t>
  </si>
  <si>
    <t>投产期</t>
  </si>
  <si>
    <t>达到设计生产能力生产期</t>
  </si>
  <si>
    <t>借款及还本付息</t>
  </si>
  <si>
    <t>本年付利息</t>
  </si>
  <si>
    <t>本年还本</t>
  </si>
  <si>
    <t xml:space="preserve">                                 年份项目</t>
    <phoneticPr fontId="1" type="noConversion"/>
  </si>
  <si>
    <t>年初欠款累计</t>
    <phoneticPr fontId="1" type="noConversion"/>
  </si>
  <si>
    <t>本年借款</t>
    <phoneticPr fontId="1" type="noConversion"/>
  </si>
  <si>
    <t>………</t>
    <phoneticPr fontId="1" type="noConversion"/>
  </si>
  <si>
    <t>利润总额</t>
  </si>
  <si>
    <t>税后利润</t>
  </si>
  <si>
    <t>合计</t>
    <phoneticPr fontId="1" type="noConversion"/>
  </si>
  <si>
    <t>产量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</si>
</sst>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#,##0.00_ "/>
    <numFmt numFmtId="179" formatCode="0.0000_ "/>
    <numFmt numFmtId="180" formatCode="0.000_);[Red]\(0.000\)"/>
    <numFmt numFmtId="181" formatCode="0.00_);\(0.00\)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6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rgb="FF59595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176" fontId="0" fillId="0" borderId="9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0" xfId="0" applyNumberFormat="1"/>
    <xf numFmtId="0" fontId="0" fillId="0" borderId="1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7" xfId="0" applyBorder="1"/>
    <xf numFmtId="177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9" fontId="0" fillId="0" borderId="9" xfId="0" applyNumberFormat="1" applyBorder="1" applyAlignment="1">
      <alignment horizontal="center"/>
    </xf>
    <xf numFmtId="179" fontId="0" fillId="0" borderId="0" xfId="0" applyNumberFormat="1" applyBorder="1" applyAlignment="1">
      <alignment horizontal="center"/>
    </xf>
    <xf numFmtId="179" fontId="0" fillId="0" borderId="4" xfId="0" applyNumberFormat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13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0" borderId="8" xfId="0" applyBorder="1" applyAlignment="1"/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center" readingOrder="1"/>
    </xf>
    <xf numFmtId="181" fontId="0" fillId="0" borderId="8" xfId="0" applyNumberFormat="1" applyBorder="1" applyAlignment="1">
      <alignment horizontal="center" vertical="center"/>
    </xf>
    <xf numFmtId="181" fontId="0" fillId="0" borderId="1" xfId="0" applyNumberFormat="1" applyBorder="1"/>
    <xf numFmtId="181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9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177" fontId="0" fillId="0" borderId="8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  <xf numFmtId="181" fontId="0" fillId="0" borderId="12" xfId="0" applyNumberFormat="1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77" fontId="0" fillId="0" borderId="0" xfId="0" applyNumberFormat="1"/>
    <xf numFmtId="0" fontId="0" fillId="0" borderId="1" xfId="0" applyBorder="1"/>
    <xf numFmtId="177" fontId="0" fillId="0" borderId="1" xfId="0" applyNumberFormat="1" applyBorder="1"/>
    <xf numFmtId="0" fontId="0" fillId="0" borderId="17" xfId="0" applyBorder="1" applyAlignment="1">
      <alignment horizontal="center" vertical="center"/>
    </xf>
    <xf numFmtId="10" fontId="0" fillId="0" borderId="0" xfId="0" applyNumberFormat="1"/>
    <xf numFmtId="10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373731373466"/>
          <c:y val="1.8308398950131234E-2"/>
          <c:w val="0.85193328362044629"/>
          <c:h val="0.875983202099737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分析!$C$48:$C$77</c:f>
              <c:numCache>
                <c:formatCode>0.00_);[Red]\(0.00\)</c:formatCode>
                <c:ptCount val="30"/>
                <c:pt idx="0">
                  <c:v>0.15</c:v>
                </c:pt>
                <c:pt idx="2">
                  <c:v>0.2</c:v>
                </c:pt>
                <c:pt idx="4">
                  <c:v>0.25</c:v>
                </c:pt>
                <c:pt idx="6">
                  <c:v>0.28000000000000003</c:v>
                </c:pt>
                <c:pt idx="8">
                  <c:v>0.3</c:v>
                </c:pt>
                <c:pt idx="10">
                  <c:v>0.30499999999999999</c:v>
                </c:pt>
                <c:pt idx="12">
                  <c:v>0.31</c:v>
                </c:pt>
                <c:pt idx="14">
                  <c:v>0.315</c:v>
                </c:pt>
                <c:pt idx="16">
                  <c:v>0.32</c:v>
                </c:pt>
                <c:pt idx="18">
                  <c:v>0.32300000000000001</c:v>
                </c:pt>
                <c:pt idx="20">
                  <c:v>0.32500000000000001</c:v>
                </c:pt>
                <c:pt idx="22">
                  <c:v>0.33</c:v>
                </c:pt>
                <c:pt idx="24">
                  <c:v>0.35</c:v>
                </c:pt>
                <c:pt idx="26">
                  <c:v>0.4</c:v>
                </c:pt>
                <c:pt idx="28">
                  <c:v>0.5</c:v>
                </c:pt>
              </c:numCache>
            </c:numRef>
          </c:xVal>
          <c:yVal>
            <c:numRef>
              <c:f>分析!$D$48:$D$77</c:f>
              <c:numCache>
                <c:formatCode>0.00_ </c:formatCode>
                <c:ptCount val="30"/>
                <c:pt idx="0">
                  <c:v>2506.2572748357552</c:v>
                </c:pt>
                <c:pt idx="2">
                  <c:v>1340.8706442664859</c:v>
                </c:pt>
                <c:pt idx="4">
                  <c:v>614.55096287709466</c:v>
                </c:pt>
                <c:pt idx="6">
                  <c:v>313.28494627778741</c:v>
                </c:pt>
                <c:pt idx="8">
                  <c:v>152.62657044681052</c:v>
                </c:pt>
                <c:pt idx="10">
                  <c:v>116.67175934749793</c:v>
                </c:pt>
                <c:pt idx="12">
                  <c:v>82.249752389368439</c:v>
                </c:pt>
                <c:pt idx="14">
                  <c:v>49.291589393334149</c:v>
                </c:pt>
                <c:pt idx="16">
                  <c:v>17.731746901594391</c:v>
                </c:pt>
                <c:pt idx="18">
                  <c:v>-0.55900101188323248</c:v>
                </c:pt>
                <c:pt idx="20">
                  <c:v>-12.492050380654639</c:v>
                </c:pt>
                <c:pt idx="22">
                  <c:v>-41.439006883016638</c:v>
                </c:pt>
                <c:pt idx="24">
                  <c:v>-145.54410093024819</c:v>
                </c:pt>
                <c:pt idx="26">
                  <c:v>-339.73795597514453</c:v>
                </c:pt>
                <c:pt idx="28">
                  <c:v>-548.55080617528972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E-454B-B39D-083EE5172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23904"/>
        <c:axId val="525021280"/>
      </c:scatterChart>
      <c:valAx>
        <c:axId val="5250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21280"/>
        <c:crosses val="autoZero"/>
        <c:crossBetween val="midCat"/>
      </c:valAx>
      <c:valAx>
        <c:axId val="5250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NPV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619124</xdr:colOff>
      <xdr:row>55</xdr:row>
      <xdr:rowOff>19050</xdr:rowOff>
    </xdr:from>
    <xdr:to>
      <xdr:col>13</xdr:col>
      <xdr:colOff>419099</xdr:colOff>
      <xdr:row>76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D427CC-B21A-4F47-AF4D-AC03E76C6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7"/>
  <sheetViews>
    <sheetView topLeftCell="A43" workbookViewId="0">
      <selection activeCell="B53" sqref="B53:O54"/>
    </sheetView>
  </sheetViews>
  <sheetFormatPr defaultRowHeight="14.25" x14ac:dyDescent="0.2"/>
  <cols>
    <col min="1" max="1" width="7" customWidth="1"/>
    <col min="2" max="2" width="16.625" customWidth="1"/>
    <col min="3" max="3" width="4.75" customWidth="1"/>
    <col min="4" max="5" width="8.75" customWidth="1"/>
    <col min="6" max="6" width="8.5" customWidth="1"/>
    <col min="7" max="7" width="9.125" customWidth="1"/>
    <col min="8" max="8" width="8.875" customWidth="1"/>
    <col min="9" max="12" width="7.5" customWidth="1"/>
    <col min="13" max="14" width="9.125" customWidth="1"/>
    <col min="15" max="15" width="8.5" customWidth="1"/>
    <col min="16" max="16" width="8.875" customWidth="1"/>
    <col min="17" max="17" width="8.75" customWidth="1"/>
  </cols>
  <sheetData>
    <row r="1" spans="1:12" ht="23.25" x14ac:dyDescent="0.2">
      <c r="A1" s="129" t="s">
        <v>70</v>
      </c>
      <c r="B1" s="130"/>
      <c r="C1" s="130"/>
      <c r="D1" s="130"/>
      <c r="E1" s="130"/>
      <c r="F1" s="130"/>
      <c r="G1" s="130"/>
      <c r="H1" s="130"/>
    </row>
    <row r="2" spans="1:12" x14ac:dyDescent="0.2">
      <c r="A2" s="108" t="s">
        <v>0</v>
      </c>
      <c r="B2" s="109" t="s">
        <v>133</v>
      </c>
      <c r="C2" s="109"/>
      <c r="D2" s="108" t="s">
        <v>2</v>
      </c>
      <c r="E2" s="108"/>
      <c r="F2" s="108" t="s">
        <v>13</v>
      </c>
      <c r="G2" s="108"/>
      <c r="H2" s="108" t="s">
        <v>14</v>
      </c>
      <c r="I2" s="2"/>
      <c r="J2" s="2"/>
      <c r="K2" s="2"/>
      <c r="L2" s="2"/>
    </row>
    <row r="3" spans="1:12" x14ac:dyDescent="0.2">
      <c r="A3" s="108"/>
      <c r="B3" s="109"/>
      <c r="C3" s="109"/>
      <c r="D3" s="13">
        <v>1</v>
      </c>
      <c r="E3" s="13">
        <v>2</v>
      </c>
      <c r="F3" s="13">
        <v>3</v>
      </c>
      <c r="G3" s="13">
        <v>4</v>
      </c>
      <c r="H3" s="108"/>
      <c r="I3" s="2"/>
      <c r="J3" s="2"/>
      <c r="K3" s="2"/>
      <c r="L3" s="2"/>
    </row>
    <row r="4" spans="1:12" x14ac:dyDescent="0.2">
      <c r="A4" s="1">
        <v>1</v>
      </c>
      <c r="B4" s="110" t="s">
        <v>1</v>
      </c>
      <c r="C4" s="110"/>
      <c r="D4" s="48">
        <f>SUM(D5:D7)</f>
        <v>2000</v>
      </c>
      <c r="E4" s="48">
        <f>SUM(E5:E7)</f>
        <v>3700</v>
      </c>
      <c r="F4" s="36">
        <f>SUM(F5:F7)</f>
        <v>503.125</v>
      </c>
      <c r="G4" s="36">
        <f>SUM(G5:G7)</f>
        <v>646.875</v>
      </c>
      <c r="H4" s="48">
        <f>SUM(H5:H7)</f>
        <v>6850</v>
      </c>
      <c r="I4" s="2"/>
      <c r="J4" s="2"/>
      <c r="K4" s="2"/>
      <c r="L4" s="2"/>
    </row>
    <row r="5" spans="1:12" x14ac:dyDescent="0.2">
      <c r="A5" s="7">
        <v>1.1000000000000001</v>
      </c>
      <c r="B5" s="111" t="s">
        <v>119</v>
      </c>
      <c r="C5" s="112"/>
      <c r="D5" s="43">
        <v>2000</v>
      </c>
      <c r="E5" s="44">
        <v>3700</v>
      </c>
      <c r="F5" s="37"/>
      <c r="G5" s="37"/>
      <c r="H5" s="44">
        <f>SUM(D5:G5)</f>
        <v>5700</v>
      </c>
      <c r="I5" s="2"/>
      <c r="J5" s="2"/>
      <c r="K5" s="2"/>
      <c r="L5" s="2"/>
    </row>
    <row r="6" spans="1:12" x14ac:dyDescent="0.2">
      <c r="A6" s="8">
        <v>1.2</v>
      </c>
      <c r="B6" s="113" t="s">
        <v>3</v>
      </c>
      <c r="C6" s="114"/>
      <c r="D6" s="38"/>
      <c r="E6" s="38"/>
      <c r="F6" s="38"/>
      <c r="G6" s="38"/>
      <c r="H6" s="44"/>
      <c r="I6" s="2"/>
      <c r="J6" s="2"/>
      <c r="K6" s="2"/>
      <c r="L6" s="2"/>
    </row>
    <row r="7" spans="1:12" x14ac:dyDescent="0.2">
      <c r="A7" s="8">
        <v>1.3</v>
      </c>
      <c r="B7" s="113" t="s">
        <v>4</v>
      </c>
      <c r="C7" s="114"/>
      <c r="D7" s="38"/>
      <c r="E7" s="42"/>
      <c r="F7" s="39">
        <f>1150*0.7/1.6</f>
        <v>503.125</v>
      </c>
      <c r="G7" s="39">
        <f>1150*0.9/1.6</f>
        <v>646.875</v>
      </c>
      <c r="H7" s="44">
        <f>SUM(D7:G7)</f>
        <v>1150</v>
      </c>
      <c r="I7" s="2"/>
      <c r="J7" s="2"/>
      <c r="K7" s="2"/>
      <c r="L7" s="2"/>
    </row>
    <row r="8" spans="1:12" x14ac:dyDescent="0.2">
      <c r="A8" s="7">
        <v>2</v>
      </c>
      <c r="B8" s="110" t="s">
        <v>5</v>
      </c>
      <c r="C8" s="110"/>
      <c r="D8" s="48">
        <f>SUM(D9:D13)</f>
        <v>2000</v>
      </c>
      <c r="E8" s="48">
        <f>SUM(E9:E13)</f>
        <v>3700</v>
      </c>
      <c r="F8" s="36">
        <f>SUM(F9:F13)</f>
        <v>503.125</v>
      </c>
      <c r="G8" s="36">
        <f>SUM(G9:G13)</f>
        <v>646.875</v>
      </c>
      <c r="H8" s="48">
        <f>SUM(H9:H13)</f>
        <v>6850</v>
      </c>
      <c r="I8" s="2"/>
      <c r="J8" s="2"/>
      <c r="K8" s="2"/>
      <c r="L8" s="2"/>
    </row>
    <row r="9" spans="1:12" x14ac:dyDescent="0.2">
      <c r="A9" s="7">
        <v>2.1</v>
      </c>
      <c r="B9" s="111" t="s">
        <v>6</v>
      </c>
      <c r="C9" s="112"/>
      <c r="D9" s="43">
        <v>1000</v>
      </c>
      <c r="E9" s="46">
        <v>700</v>
      </c>
      <c r="F9" s="44">
        <v>200</v>
      </c>
      <c r="G9" s="45">
        <v>210</v>
      </c>
      <c r="H9" s="44">
        <f>SUM(D9:G9)</f>
        <v>2110</v>
      </c>
      <c r="I9" s="2"/>
      <c r="J9" s="2"/>
      <c r="K9" s="2"/>
      <c r="L9" s="2"/>
    </row>
    <row r="10" spans="1:12" x14ac:dyDescent="0.2">
      <c r="A10" s="8">
        <v>2.2000000000000002</v>
      </c>
      <c r="B10" s="113" t="s">
        <v>7</v>
      </c>
      <c r="C10" s="114"/>
      <c r="D10" s="38"/>
      <c r="E10" s="40"/>
      <c r="F10" s="38"/>
      <c r="G10" s="40"/>
      <c r="H10" s="38"/>
      <c r="I10" s="2"/>
      <c r="J10" s="2"/>
      <c r="K10" s="2"/>
      <c r="L10" s="2"/>
    </row>
    <row r="11" spans="1:12" x14ac:dyDescent="0.2">
      <c r="A11" s="8" t="s">
        <v>11</v>
      </c>
      <c r="B11" s="113" t="s">
        <v>8</v>
      </c>
      <c r="C11" s="114"/>
      <c r="D11" s="44">
        <f>D5-D9</f>
        <v>1000</v>
      </c>
      <c r="E11" s="45">
        <f>E5-E9</f>
        <v>3000</v>
      </c>
      <c r="F11" s="38"/>
      <c r="G11" s="40"/>
      <c r="H11" s="44">
        <f>SUM(D11:G11)</f>
        <v>4000</v>
      </c>
      <c r="I11" s="2"/>
      <c r="J11" s="2"/>
    </row>
    <row r="12" spans="1:12" x14ac:dyDescent="0.2">
      <c r="A12" s="8" t="s">
        <v>12</v>
      </c>
      <c r="B12" s="113" t="s">
        <v>9</v>
      </c>
      <c r="C12" s="114"/>
      <c r="D12" s="38"/>
      <c r="E12" s="40"/>
      <c r="F12" s="38">
        <f>F7-F9</f>
        <v>303.125</v>
      </c>
      <c r="G12" s="38">
        <f>G7-G9</f>
        <v>436.875</v>
      </c>
      <c r="H12" s="44">
        <f>SUM(D12:G12)</f>
        <v>740</v>
      </c>
      <c r="I12" s="2"/>
      <c r="J12" s="2"/>
    </row>
    <row r="13" spans="1:12" x14ac:dyDescent="0.2">
      <c r="A13" s="11">
        <v>2.2999999999999998</v>
      </c>
      <c r="B13" s="115" t="s">
        <v>10</v>
      </c>
      <c r="C13" s="116"/>
      <c r="D13" s="39"/>
      <c r="E13" s="41"/>
      <c r="F13" s="39"/>
      <c r="G13" s="41"/>
      <c r="H13" s="39"/>
      <c r="I13" s="2"/>
      <c r="J13" s="2"/>
    </row>
    <row r="14" spans="1:12" x14ac:dyDescent="0.2">
      <c r="A14" s="18"/>
      <c r="B14" s="2"/>
      <c r="C14" s="2"/>
      <c r="D14" s="2"/>
      <c r="E14" s="2"/>
      <c r="F14" s="2"/>
      <c r="G14" s="2"/>
      <c r="H14" s="2"/>
      <c r="I14" s="2"/>
      <c r="J14" s="2"/>
    </row>
    <row r="15" spans="1:12" x14ac:dyDescent="0.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x14ac:dyDescent="0.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7" ht="23.25" x14ac:dyDescent="0.2">
      <c r="A17" s="131" t="s">
        <v>69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</row>
    <row r="18" spans="1:17" x14ac:dyDescent="0.2">
      <c r="A18" s="108" t="s">
        <v>15</v>
      </c>
      <c r="B18" s="109" t="s">
        <v>132</v>
      </c>
      <c r="C18" s="109"/>
      <c r="D18" s="108" t="s">
        <v>16</v>
      </c>
      <c r="E18" s="108"/>
      <c r="F18" s="108" t="s">
        <v>17</v>
      </c>
      <c r="G18" s="108"/>
      <c r="H18" s="108" t="s">
        <v>18</v>
      </c>
      <c r="I18" s="108"/>
      <c r="J18" s="108"/>
      <c r="K18" s="108"/>
      <c r="L18" s="108"/>
      <c r="M18" s="108"/>
      <c r="N18" s="108"/>
      <c r="O18" s="108"/>
      <c r="P18" s="108"/>
      <c r="Q18" s="108"/>
    </row>
    <row r="19" spans="1:17" x14ac:dyDescent="0.2">
      <c r="A19" s="108"/>
      <c r="B19" s="109"/>
      <c r="C19" s="109"/>
      <c r="D19" s="13">
        <v>1</v>
      </c>
      <c r="E19" s="13">
        <v>2</v>
      </c>
      <c r="F19" s="13">
        <v>3</v>
      </c>
      <c r="G19" s="13">
        <v>4</v>
      </c>
      <c r="H19" s="13">
        <v>5</v>
      </c>
      <c r="I19" s="13">
        <v>6</v>
      </c>
      <c r="J19" s="13">
        <v>7</v>
      </c>
      <c r="K19" s="13">
        <v>8</v>
      </c>
      <c r="L19" s="13">
        <v>9</v>
      </c>
      <c r="M19" s="13">
        <v>10</v>
      </c>
      <c r="N19" s="13">
        <v>11</v>
      </c>
      <c r="O19" s="13">
        <v>12</v>
      </c>
      <c r="P19" s="13">
        <v>13</v>
      </c>
      <c r="Q19" s="13">
        <v>14</v>
      </c>
    </row>
    <row r="20" spans="1:17" x14ac:dyDescent="0.2">
      <c r="A20" s="7">
        <v>1</v>
      </c>
      <c r="B20" s="111" t="s">
        <v>19</v>
      </c>
      <c r="C20" s="112"/>
      <c r="D20" s="7"/>
      <c r="E20" s="7"/>
      <c r="F20" s="7"/>
      <c r="G20" s="7"/>
      <c r="H20" s="7"/>
      <c r="I20" s="21"/>
      <c r="J20" s="8"/>
      <c r="K20" s="7"/>
      <c r="L20" s="7"/>
      <c r="M20" s="7"/>
      <c r="N20" s="7"/>
      <c r="O20" s="7"/>
      <c r="P20" s="27"/>
      <c r="Q20" s="24"/>
    </row>
    <row r="21" spans="1:17" x14ac:dyDescent="0.2">
      <c r="A21" s="119">
        <v>1.1000000000000001</v>
      </c>
      <c r="B21" s="113" t="s">
        <v>22</v>
      </c>
      <c r="C21" s="19" t="s">
        <v>20</v>
      </c>
      <c r="D21" s="8"/>
      <c r="E21" s="44">
        <f>D11</f>
        <v>1000</v>
      </c>
      <c r="F21" s="44">
        <f>D23+E23</f>
        <v>4000</v>
      </c>
      <c r="G21" s="8">
        <f>F21-F27</f>
        <v>3100</v>
      </c>
      <c r="H21" s="8">
        <f>G21-G27</f>
        <v>2000</v>
      </c>
      <c r="I21" s="44">
        <f>H21-H27</f>
        <v>1000</v>
      </c>
      <c r="J21" s="8"/>
      <c r="K21" s="8"/>
      <c r="L21" s="8"/>
      <c r="M21" s="8"/>
      <c r="N21" s="8"/>
      <c r="O21" s="8"/>
      <c r="P21" s="28"/>
      <c r="Q21" s="26"/>
    </row>
    <row r="22" spans="1:17" x14ac:dyDescent="0.2">
      <c r="A22" s="119"/>
      <c r="B22" s="113"/>
      <c r="C22" s="19" t="s">
        <v>21</v>
      </c>
      <c r="D22" s="8"/>
      <c r="E22" s="8"/>
      <c r="F22" s="8"/>
      <c r="G22" s="38">
        <f>F24</f>
        <v>303.125</v>
      </c>
      <c r="H22" s="44">
        <v>740</v>
      </c>
      <c r="I22" s="44">
        <v>740</v>
      </c>
      <c r="J22" s="44">
        <v>740</v>
      </c>
      <c r="K22" s="44">
        <v>740</v>
      </c>
      <c r="L22" s="44">
        <v>740</v>
      </c>
      <c r="M22" s="44">
        <v>740</v>
      </c>
      <c r="N22" s="44">
        <v>740</v>
      </c>
      <c r="O22" s="44">
        <v>740</v>
      </c>
      <c r="P22" s="44">
        <v>740</v>
      </c>
      <c r="Q22" s="44">
        <v>740</v>
      </c>
    </row>
    <row r="23" spans="1:17" x14ac:dyDescent="0.2">
      <c r="A23" s="119">
        <v>1.2</v>
      </c>
      <c r="B23" s="113" t="s">
        <v>23</v>
      </c>
      <c r="C23" s="19" t="s">
        <v>20</v>
      </c>
      <c r="D23" s="44">
        <f>D11</f>
        <v>1000</v>
      </c>
      <c r="E23" s="44">
        <f>E11</f>
        <v>3000</v>
      </c>
      <c r="F23" s="8"/>
      <c r="G23" s="8"/>
      <c r="H23" s="8"/>
      <c r="I23" s="22"/>
      <c r="J23" s="8"/>
      <c r="K23" s="8"/>
      <c r="L23" s="8"/>
      <c r="M23" s="8"/>
      <c r="N23" s="8"/>
      <c r="O23" s="8"/>
      <c r="P23" s="28"/>
      <c r="Q23" s="26"/>
    </row>
    <row r="24" spans="1:17" x14ac:dyDescent="0.2">
      <c r="A24" s="119"/>
      <c r="B24" s="113"/>
      <c r="C24" s="19" t="s">
        <v>21</v>
      </c>
      <c r="D24" s="8"/>
      <c r="E24" s="8"/>
      <c r="F24" s="38">
        <f>F12</f>
        <v>303.125</v>
      </c>
      <c r="G24" s="38">
        <f>G12</f>
        <v>436.875</v>
      </c>
      <c r="H24" s="8"/>
      <c r="I24" s="22"/>
      <c r="J24" s="8"/>
      <c r="K24" s="8"/>
      <c r="L24" s="8"/>
      <c r="M24" s="8"/>
      <c r="N24" s="8"/>
      <c r="O24" s="8"/>
      <c r="P24" s="28"/>
      <c r="Q24" s="26"/>
    </row>
    <row r="25" spans="1:17" x14ac:dyDescent="0.2">
      <c r="A25" s="119">
        <v>1.3</v>
      </c>
      <c r="B25" s="113" t="s">
        <v>24</v>
      </c>
      <c r="C25" s="19" t="s">
        <v>20</v>
      </c>
      <c r="D25" s="38"/>
      <c r="E25" s="38"/>
      <c r="F25" s="8">
        <f>F21*0.06</f>
        <v>240</v>
      </c>
      <c r="G25" s="8">
        <f>G21*0.06</f>
        <v>186</v>
      </c>
      <c r="H25" s="8">
        <f>H21*0.06</f>
        <v>120</v>
      </c>
      <c r="I25" s="44">
        <f>I21*0.06</f>
        <v>60</v>
      </c>
      <c r="J25" s="8"/>
      <c r="K25" s="8"/>
      <c r="L25" s="8"/>
      <c r="M25" s="8"/>
      <c r="N25" s="8"/>
      <c r="O25" s="8"/>
      <c r="P25" s="28"/>
      <c r="Q25" s="26"/>
    </row>
    <row r="26" spans="1:17" x14ac:dyDescent="0.2">
      <c r="A26" s="119"/>
      <c r="B26" s="113"/>
      <c r="C26" s="19" t="s">
        <v>21</v>
      </c>
      <c r="D26" s="8"/>
      <c r="E26" s="8"/>
      <c r="F26" s="50">
        <f>F24*0.04</f>
        <v>12.125</v>
      </c>
      <c r="G26" s="50">
        <f>G24*0.04</f>
        <v>17.475000000000001</v>
      </c>
      <c r="H26" s="34">
        <f>H12*0.04</f>
        <v>29.6</v>
      </c>
      <c r="I26" s="34">
        <f>0.04*H12</f>
        <v>29.6</v>
      </c>
      <c r="J26" s="34">
        <f>H12*0.04</f>
        <v>29.6</v>
      </c>
      <c r="K26" s="34">
        <f>H12*0.04</f>
        <v>29.6</v>
      </c>
      <c r="L26" s="34">
        <f>H12*0.04</f>
        <v>29.6</v>
      </c>
      <c r="M26" s="34">
        <f>H12*0.04</f>
        <v>29.6</v>
      </c>
      <c r="N26" s="34">
        <f>H12*0.04</f>
        <v>29.6</v>
      </c>
      <c r="O26" s="34">
        <f>H12*0.04</f>
        <v>29.6</v>
      </c>
      <c r="P26" s="34">
        <f>H12*0.04</f>
        <v>29.6</v>
      </c>
      <c r="Q26" s="34">
        <f>H12*0.04</f>
        <v>29.6</v>
      </c>
    </row>
    <row r="27" spans="1:17" x14ac:dyDescent="0.2">
      <c r="A27" s="119">
        <v>1.4</v>
      </c>
      <c r="B27" s="113" t="s">
        <v>25</v>
      </c>
      <c r="C27" s="19" t="s">
        <v>20</v>
      </c>
      <c r="D27" s="8"/>
      <c r="E27" s="8"/>
      <c r="F27" s="8">
        <v>900</v>
      </c>
      <c r="G27" s="8">
        <v>1100</v>
      </c>
      <c r="H27" s="8">
        <v>1000</v>
      </c>
      <c r="I27" s="44">
        <v>1000</v>
      </c>
      <c r="J27" s="8"/>
      <c r="K27" s="8"/>
      <c r="L27" s="8"/>
      <c r="M27" s="8"/>
      <c r="N27" s="8"/>
      <c r="O27" s="8"/>
      <c r="P27" s="28"/>
      <c r="Q27" s="26"/>
    </row>
    <row r="28" spans="1:17" x14ac:dyDescent="0.2">
      <c r="A28" s="120"/>
      <c r="B28" s="115"/>
      <c r="C28" s="20" t="s">
        <v>21</v>
      </c>
      <c r="D28" s="11"/>
      <c r="E28" s="11"/>
      <c r="F28" s="11"/>
      <c r="G28" s="11"/>
      <c r="H28" s="11"/>
      <c r="I28" s="23"/>
      <c r="J28" s="11"/>
      <c r="K28" s="11"/>
      <c r="L28" s="11"/>
      <c r="M28" s="11"/>
      <c r="N28" s="11"/>
      <c r="O28" s="11"/>
      <c r="P28" s="11"/>
      <c r="Q28" s="10">
        <f>H12</f>
        <v>740</v>
      </c>
    </row>
    <row r="29" spans="1:17" ht="28.5" customHeight="1" x14ac:dyDescent="0.2">
      <c r="A29" s="7">
        <v>2</v>
      </c>
      <c r="B29" s="121" t="s">
        <v>27</v>
      </c>
      <c r="C29" s="122"/>
      <c r="D29" s="7"/>
      <c r="E29" s="7"/>
      <c r="F29" s="7"/>
      <c r="G29" s="7"/>
      <c r="H29" s="7"/>
      <c r="I29" s="7"/>
      <c r="J29" s="7"/>
      <c r="K29" s="7"/>
      <c r="L29" s="2"/>
      <c r="M29" s="7"/>
      <c r="N29" s="2"/>
      <c r="O29" s="7"/>
      <c r="P29" s="2"/>
      <c r="Q29" s="7"/>
    </row>
    <row r="30" spans="1:17" x14ac:dyDescent="0.2">
      <c r="A30" s="8">
        <v>2.1</v>
      </c>
      <c r="B30" s="113" t="s">
        <v>28</v>
      </c>
      <c r="C30" s="114"/>
      <c r="D30" s="8"/>
      <c r="E30" s="6"/>
      <c r="F30" s="8">
        <v>450</v>
      </c>
      <c r="G30" s="8">
        <v>700</v>
      </c>
      <c r="H30" s="8">
        <v>700</v>
      </c>
      <c r="I30" s="8">
        <v>700</v>
      </c>
      <c r="J30" s="8"/>
      <c r="K30" s="8"/>
      <c r="L30" s="2"/>
      <c r="M30" s="8"/>
      <c r="N30" s="2"/>
      <c r="O30" s="8"/>
      <c r="P30" s="2"/>
      <c r="Q30" s="8"/>
    </row>
    <row r="31" spans="1:17" x14ac:dyDescent="0.2">
      <c r="A31" s="8">
        <v>2.2000000000000002</v>
      </c>
      <c r="B31" s="113" t="s">
        <v>29</v>
      </c>
      <c r="C31" s="114"/>
      <c r="D31" s="8"/>
      <c r="E31" s="8"/>
      <c r="F31" s="8">
        <v>450</v>
      </c>
      <c r="G31" s="8">
        <v>400</v>
      </c>
      <c r="H31" s="8">
        <v>300</v>
      </c>
      <c r="I31" s="8">
        <v>300</v>
      </c>
      <c r="J31" s="8"/>
      <c r="K31" s="8"/>
      <c r="L31" s="2"/>
      <c r="M31" s="8"/>
      <c r="N31" s="2"/>
      <c r="O31" s="8"/>
      <c r="P31" s="2"/>
      <c r="Q31" s="8"/>
    </row>
    <row r="32" spans="1:17" x14ac:dyDescent="0.2">
      <c r="A32" s="8">
        <v>2.2999999999999998</v>
      </c>
      <c r="B32" s="113" t="s">
        <v>30</v>
      </c>
      <c r="C32" s="114"/>
      <c r="D32" s="8"/>
      <c r="E32" s="8"/>
      <c r="F32" s="8"/>
      <c r="G32" s="8"/>
      <c r="H32" s="8"/>
      <c r="I32" s="8"/>
      <c r="J32" s="8"/>
      <c r="K32" s="8"/>
      <c r="L32" s="2"/>
      <c r="M32" s="8"/>
      <c r="N32" s="2"/>
      <c r="O32" s="8"/>
      <c r="P32" s="2"/>
      <c r="Q32" s="8"/>
    </row>
    <row r="33" spans="1:17" x14ac:dyDescent="0.2">
      <c r="A33" s="8">
        <v>2.4</v>
      </c>
      <c r="B33" s="113" t="s">
        <v>31</v>
      </c>
      <c r="C33" s="114"/>
      <c r="D33" s="8"/>
      <c r="E33" s="8"/>
      <c r="F33" s="8"/>
      <c r="G33" s="8"/>
      <c r="H33" s="8"/>
      <c r="I33" s="8"/>
      <c r="J33" s="8"/>
      <c r="K33" s="8"/>
      <c r="L33" s="2"/>
      <c r="M33" s="8"/>
      <c r="N33" s="2"/>
      <c r="O33" s="8"/>
      <c r="P33" s="2"/>
      <c r="Q33" s="8">
        <f>Q28</f>
        <v>740</v>
      </c>
    </row>
    <row r="34" spans="1:17" x14ac:dyDescent="0.2">
      <c r="A34" s="8" t="s">
        <v>26</v>
      </c>
      <c r="B34" s="113" t="s">
        <v>32</v>
      </c>
      <c r="C34" s="114"/>
      <c r="D34" s="8"/>
      <c r="E34" s="8"/>
      <c r="F34" s="8"/>
      <c r="G34" s="8"/>
      <c r="H34" s="8"/>
      <c r="I34" s="8"/>
      <c r="J34" s="8"/>
      <c r="K34" s="8"/>
      <c r="L34" s="2"/>
      <c r="M34" s="8"/>
      <c r="N34" s="2"/>
      <c r="O34" s="8"/>
      <c r="P34" s="2"/>
      <c r="Q34" s="8"/>
    </row>
    <row r="35" spans="1:17" x14ac:dyDescent="0.2">
      <c r="A35" s="11"/>
      <c r="B35" s="115" t="s">
        <v>33</v>
      </c>
      <c r="C35" s="116"/>
      <c r="D35" s="11"/>
      <c r="E35" s="11"/>
      <c r="F35" s="11"/>
      <c r="G35" s="11"/>
      <c r="H35" s="11"/>
      <c r="I35" s="11"/>
      <c r="J35" s="11"/>
      <c r="K35" s="11"/>
      <c r="L35" s="12"/>
      <c r="M35" s="11"/>
      <c r="N35" s="12"/>
      <c r="O35" s="11"/>
      <c r="P35" s="12"/>
      <c r="Q35" s="11"/>
    </row>
    <row r="36" spans="1:1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7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7" ht="23.25" x14ac:dyDescent="0.2">
      <c r="A38" s="133" t="s">
        <v>68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</row>
    <row r="39" spans="1:17" x14ac:dyDescent="0.2">
      <c r="A39" s="117" t="s">
        <v>15</v>
      </c>
      <c r="B39" s="109" t="s">
        <v>133</v>
      </c>
      <c r="C39" s="109"/>
      <c r="D39" s="134" t="s">
        <v>17</v>
      </c>
      <c r="E39" s="135"/>
      <c r="F39" s="108" t="s">
        <v>18</v>
      </c>
      <c r="G39" s="108"/>
      <c r="H39" s="108"/>
      <c r="I39" s="108"/>
      <c r="J39" s="108"/>
      <c r="K39" s="108"/>
      <c r="L39" s="108"/>
      <c r="M39" s="108"/>
      <c r="N39" s="108"/>
      <c r="O39" s="108"/>
    </row>
    <row r="40" spans="1:17" x14ac:dyDescent="0.2">
      <c r="A40" s="118"/>
      <c r="B40" s="109"/>
      <c r="C40" s="109"/>
      <c r="D40" s="13">
        <v>3</v>
      </c>
      <c r="E40" s="13">
        <v>4</v>
      </c>
      <c r="F40" s="13">
        <v>5</v>
      </c>
      <c r="G40" s="13">
        <v>6</v>
      </c>
      <c r="H40" s="13">
        <v>7</v>
      </c>
      <c r="I40" s="13">
        <v>8</v>
      </c>
      <c r="J40" s="13">
        <v>9</v>
      </c>
      <c r="K40" s="13">
        <v>10</v>
      </c>
      <c r="L40" s="13">
        <v>11</v>
      </c>
      <c r="M40" s="13">
        <v>12</v>
      </c>
      <c r="N40" s="13">
        <v>13</v>
      </c>
      <c r="O40" s="13">
        <v>14</v>
      </c>
    </row>
    <row r="41" spans="1:17" x14ac:dyDescent="0.2">
      <c r="A41" s="7">
        <v>1</v>
      </c>
      <c r="B41" s="111" t="s">
        <v>34</v>
      </c>
      <c r="C41" s="112"/>
      <c r="D41" s="7">
        <f>5000*0.7</f>
        <v>3500</v>
      </c>
      <c r="E41" s="2">
        <f>5000*0.9</f>
        <v>4500</v>
      </c>
      <c r="F41" s="7">
        <v>5000</v>
      </c>
      <c r="G41" s="7">
        <v>5000</v>
      </c>
      <c r="H41" s="7">
        <v>5000</v>
      </c>
      <c r="I41" s="7">
        <v>5000</v>
      </c>
      <c r="J41" s="7">
        <v>5000</v>
      </c>
      <c r="K41" s="7">
        <v>5000</v>
      </c>
      <c r="L41" s="7">
        <v>5000</v>
      </c>
      <c r="M41" s="7">
        <v>5000</v>
      </c>
      <c r="N41" s="7">
        <v>5000</v>
      </c>
      <c r="O41" s="7">
        <v>5000</v>
      </c>
    </row>
    <row r="42" spans="1:17" x14ac:dyDescent="0.2">
      <c r="A42" s="8">
        <v>2</v>
      </c>
      <c r="B42" s="113" t="s">
        <v>120</v>
      </c>
      <c r="C42" s="114"/>
      <c r="D42" s="8">
        <f>150*0.7</f>
        <v>105</v>
      </c>
      <c r="E42" s="2">
        <f>150*0.9</f>
        <v>135</v>
      </c>
      <c r="F42" s="8">
        <v>150</v>
      </c>
      <c r="G42" s="8">
        <v>150</v>
      </c>
      <c r="H42" s="8">
        <v>150</v>
      </c>
      <c r="I42" s="8">
        <v>150</v>
      </c>
      <c r="J42" s="8">
        <v>150</v>
      </c>
      <c r="K42" s="8">
        <v>150</v>
      </c>
      <c r="L42" s="8">
        <v>150</v>
      </c>
      <c r="M42" s="8">
        <v>150</v>
      </c>
      <c r="N42" s="8">
        <v>150</v>
      </c>
      <c r="O42" s="8">
        <v>150</v>
      </c>
    </row>
    <row r="43" spans="1:17" x14ac:dyDescent="0.2">
      <c r="A43" s="8">
        <v>3</v>
      </c>
      <c r="B43" s="113" t="s">
        <v>35</v>
      </c>
      <c r="C43" s="114"/>
      <c r="D43" s="8">
        <v>390</v>
      </c>
      <c r="E43" s="2">
        <v>400</v>
      </c>
      <c r="F43" s="8">
        <v>410</v>
      </c>
      <c r="G43" s="8">
        <v>410</v>
      </c>
      <c r="H43" s="8">
        <v>410</v>
      </c>
      <c r="I43" s="8">
        <v>410</v>
      </c>
      <c r="J43" s="8">
        <v>410</v>
      </c>
      <c r="K43" s="8">
        <v>410</v>
      </c>
      <c r="L43" s="8">
        <v>410</v>
      </c>
      <c r="M43" s="8">
        <v>410</v>
      </c>
      <c r="N43" s="8">
        <v>410</v>
      </c>
      <c r="O43" s="8">
        <v>410</v>
      </c>
    </row>
    <row r="44" spans="1:17" x14ac:dyDescent="0.2">
      <c r="A44" s="8">
        <v>4</v>
      </c>
      <c r="B44" s="113" t="s">
        <v>121</v>
      </c>
      <c r="C44" s="114"/>
      <c r="D44" s="34">
        <f>D48*0.4</f>
        <v>199.08333333333334</v>
      </c>
      <c r="E44" s="34">
        <f t="shared" ref="E44:O44" si="0">E48*0.4</f>
        <v>199.08333333333334</v>
      </c>
      <c r="F44" s="34">
        <f t="shared" si="0"/>
        <v>199.08333333333334</v>
      </c>
      <c r="G44" s="34">
        <f t="shared" si="0"/>
        <v>199.08333333333334</v>
      </c>
      <c r="H44" s="34">
        <f t="shared" si="0"/>
        <v>199.08333333333334</v>
      </c>
      <c r="I44" s="34">
        <f t="shared" si="0"/>
        <v>175.08333333333334</v>
      </c>
      <c r="J44" s="34">
        <f t="shared" si="0"/>
        <v>175.08333333333334</v>
      </c>
      <c r="K44" s="34">
        <f t="shared" si="0"/>
        <v>175.08333333333334</v>
      </c>
      <c r="L44" s="34">
        <f t="shared" si="0"/>
        <v>175.08333333333334</v>
      </c>
      <c r="M44" s="34">
        <f t="shared" si="0"/>
        <v>175.08333333333334</v>
      </c>
      <c r="N44" s="34">
        <f t="shared" si="0"/>
        <v>155.48333333333335</v>
      </c>
      <c r="O44" s="34">
        <f t="shared" si="0"/>
        <v>155.48333333333335</v>
      </c>
    </row>
    <row r="45" spans="1:17" x14ac:dyDescent="0.2">
      <c r="A45" s="8">
        <v>5</v>
      </c>
      <c r="B45" s="113" t="s">
        <v>122</v>
      </c>
      <c r="C45" s="114"/>
      <c r="D45" s="8">
        <f>320*0.7</f>
        <v>224</v>
      </c>
      <c r="E45" s="2">
        <f>320*0.9</f>
        <v>288</v>
      </c>
      <c r="F45" s="8">
        <v>320</v>
      </c>
      <c r="G45" s="8">
        <v>320</v>
      </c>
      <c r="H45" s="8">
        <v>320</v>
      </c>
      <c r="I45" s="8">
        <v>320</v>
      </c>
      <c r="J45" s="8">
        <v>320</v>
      </c>
      <c r="K45" s="8">
        <v>320</v>
      </c>
      <c r="L45" s="8">
        <v>320</v>
      </c>
      <c r="M45" s="8">
        <v>320</v>
      </c>
      <c r="N45" s="8">
        <v>320</v>
      </c>
      <c r="O45" s="8">
        <v>320</v>
      </c>
    </row>
    <row r="46" spans="1:17" x14ac:dyDescent="0.2">
      <c r="A46" s="8">
        <v>6</v>
      </c>
      <c r="B46" s="113" t="s">
        <v>36</v>
      </c>
      <c r="C46" s="114"/>
      <c r="D46" s="38">
        <f>F25+F26</f>
        <v>252.125</v>
      </c>
      <c r="E46" s="42">
        <f t="shared" ref="E46:O46" si="1">G26+G25</f>
        <v>203.47499999999999</v>
      </c>
      <c r="F46" s="51">
        <f t="shared" si="1"/>
        <v>149.6</v>
      </c>
      <c r="G46" s="51">
        <f t="shared" si="1"/>
        <v>89.6</v>
      </c>
      <c r="H46" s="51">
        <f t="shared" si="1"/>
        <v>29.6</v>
      </c>
      <c r="I46" s="51">
        <f t="shared" si="1"/>
        <v>29.6</v>
      </c>
      <c r="J46" s="51">
        <f t="shared" si="1"/>
        <v>29.6</v>
      </c>
      <c r="K46" s="51">
        <f t="shared" si="1"/>
        <v>29.6</v>
      </c>
      <c r="L46" s="51">
        <f t="shared" si="1"/>
        <v>29.6</v>
      </c>
      <c r="M46" s="51">
        <f t="shared" si="1"/>
        <v>29.6</v>
      </c>
      <c r="N46" s="51">
        <f t="shared" si="1"/>
        <v>29.6</v>
      </c>
      <c r="O46" s="51">
        <f t="shared" si="1"/>
        <v>29.6</v>
      </c>
      <c r="P46" s="52"/>
    </row>
    <row r="47" spans="1:17" x14ac:dyDescent="0.2">
      <c r="A47" s="119">
        <v>7</v>
      </c>
      <c r="B47" s="113" t="s">
        <v>37</v>
      </c>
      <c r="C47" s="114"/>
      <c r="D47" s="38">
        <f>SUM(D41:D46)</f>
        <v>4670.208333333333</v>
      </c>
      <c r="E47" s="38">
        <f t="shared" ref="E47:O47" si="2">SUM(E41:E46)</f>
        <v>5725.5583333333334</v>
      </c>
      <c r="F47" s="38">
        <f>SUM(F41:F46)</f>
        <v>6228.6833333333334</v>
      </c>
      <c r="G47" s="38">
        <f t="shared" si="2"/>
        <v>6168.6833333333334</v>
      </c>
      <c r="H47" s="38">
        <f t="shared" si="2"/>
        <v>6108.6833333333334</v>
      </c>
      <c r="I47" s="38">
        <f t="shared" si="2"/>
        <v>6084.6833333333334</v>
      </c>
      <c r="J47" s="38">
        <f t="shared" si="2"/>
        <v>6084.6833333333334</v>
      </c>
      <c r="K47" s="38">
        <f t="shared" si="2"/>
        <v>6084.6833333333334</v>
      </c>
      <c r="L47" s="38">
        <f t="shared" si="2"/>
        <v>6084.6833333333334</v>
      </c>
      <c r="M47" s="38">
        <f t="shared" si="2"/>
        <v>6084.6833333333334</v>
      </c>
      <c r="N47" s="38">
        <f t="shared" si="2"/>
        <v>6065.0833333333339</v>
      </c>
      <c r="O47" s="38">
        <f t="shared" si="2"/>
        <v>6065.0833333333339</v>
      </c>
    </row>
    <row r="48" spans="1:17" x14ac:dyDescent="0.2">
      <c r="A48" s="119"/>
      <c r="B48" s="113" t="s">
        <v>38</v>
      </c>
      <c r="C48" s="114"/>
      <c r="D48" s="38">
        <f>4910*0.95/12+E104/10+E105/5</f>
        <v>497.70833333333331</v>
      </c>
      <c r="E48" s="38">
        <f>4910*0.95/12+E104/10+E105/5</f>
        <v>497.70833333333331</v>
      </c>
      <c r="F48" s="38">
        <f>4910*0.95/12+E104/10+E105/5</f>
        <v>497.70833333333331</v>
      </c>
      <c r="G48" s="38">
        <f>4910*0.95/12+E104/10+E105/5</f>
        <v>497.70833333333331</v>
      </c>
      <c r="H48" s="38">
        <f>4910*0.95/12+E104/10+E105/5</f>
        <v>497.70833333333331</v>
      </c>
      <c r="I48" s="38">
        <f>4910*0.95/12+E104/10</f>
        <v>437.70833333333331</v>
      </c>
      <c r="J48" s="38">
        <f>4910*0.95/12+E104/10</f>
        <v>437.70833333333331</v>
      </c>
      <c r="K48" s="38">
        <f>4910*0.95/12+E104/10</f>
        <v>437.70833333333331</v>
      </c>
      <c r="L48" s="38">
        <f>4910*0.95/12+E104/10</f>
        <v>437.70833333333331</v>
      </c>
      <c r="M48" s="38">
        <f>4910*0.95/12+E104/10</f>
        <v>437.70833333333331</v>
      </c>
      <c r="N48" s="38">
        <f>4910*0.95/12</f>
        <v>388.70833333333331</v>
      </c>
      <c r="O48" s="38">
        <f>4910*0.95/12</f>
        <v>388.70833333333331</v>
      </c>
      <c r="P48" s="47"/>
    </row>
    <row r="49" spans="1:16" x14ac:dyDescent="0.2">
      <c r="A49" s="11">
        <v>8</v>
      </c>
      <c r="B49" s="115" t="s">
        <v>39</v>
      </c>
      <c r="C49" s="116"/>
      <c r="D49" s="39">
        <f>D47-D48-D46</f>
        <v>3920.375</v>
      </c>
      <c r="E49" s="39">
        <f t="shared" ref="E49:O49" si="3">E47-E48-E46</f>
        <v>5024.375</v>
      </c>
      <c r="F49" s="39">
        <f t="shared" si="3"/>
        <v>5581.375</v>
      </c>
      <c r="G49" s="39">
        <f t="shared" si="3"/>
        <v>5581.375</v>
      </c>
      <c r="H49" s="39">
        <f t="shared" si="3"/>
        <v>5581.375</v>
      </c>
      <c r="I49" s="39">
        <f t="shared" si="3"/>
        <v>5617.375</v>
      </c>
      <c r="J49" s="39">
        <f t="shared" si="3"/>
        <v>5617.375</v>
      </c>
      <c r="K49" s="39">
        <f t="shared" si="3"/>
        <v>5617.375</v>
      </c>
      <c r="L49" s="39">
        <f t="shared" si="3"/>
        <v>5617.375</v>
      </c>
      <c r="M49" s="39">
        <f t="shared" si="3"/>
        <v>5617.375</v>
      </c>
      <c r="N49" s="39">
        <f t="shared" si="3"/>
        <v>5646.7750000000005</v>
      </c>
      <c r="O49" s="39">
        <f t="shared" si="3"/>
        <v>5646.7750000000005</v>
      </c>
    </row>
    <row r="50" spans="1:1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6" ht="23.25" x14ac:dyDescent="0.2">
      <c r="A52" s="133" t="s">
        <v>67</v>
      </c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</row>
    <row r="53" spans="1:16" x14ac:dyDescent="0.2">
      <c r="A53" s="117" t="s">
        <v>15</v>
      </c>
      <c r="B53" s="109" t="s">
        <v>133</v>
      </c>
      <c r="C53" s="109"/>
      <c r="D53" s="134" t="s">
        <v>17</v>
      </c>
      <c r="E53" s="135"/>
      <c r="F53" s="108" t="s">
        <v>18</v>
      </c>
      <c r="G53" s="108"/>
      <c r="H53" s="108"/>
      <c r="I53" s="108"/>
      <c r="J53" s="108"/>
      <c r="K53" s="108"/>
      <c r="L53" s="108"/>
      <c r="M53" s="108"/>
      <c r="N53" s="108"/>
      <c r="O53" s="108"/>
    </row>
    <row r="54" spans="1:16" x14ac:dyDescent="0.2">
      <c r="A54" s="118"/>
      <c r="B54" s="109"/>
      <c r="C54" s="109"/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  <c r="N54" s="13">
        <v>13</v>
      </c>
      <c r="O54" s="13">
        <v>14</v>
      </c>
    </row>
    <row r="55" spans="1:16" x14ac:dyDescent="0.2">
      <c r="A55" s="7">
        <v>1</v>
      </c>
      <c r="B55" s="111" t="s">
        <v>40</v>
      </c>
      <c r="C55" s="112"/>
      <c r="D55" s="7">
        <f>100*80*0.7</f>
        <v>5600</v>
      </c>
      <c r="E55" s="2">
        <f>100*80*0.9</f>
        <v>7200</v>
      </c>
      <c r="F55" s="7">
        <f>80*100</f>
        <v>8000</v>
      </c>
      <c r="G55" s="7">
        <f t="shared" ref="G55:O55" si="4">80*100</f>
        <v>8000</v>
      </c>
      <c r="H55" s="7">
        <f t="shared" si="4"/>
        <v>8000</v>
      </c>
      <c r="I55" s="7">
        <f t="shared" si="4"/>
        <v>8000</v>
      </c>
      <c r="J55" s="7">
        <f t="shared" si="4"/>
        <v>8000</v>
      </c>
      <c r="K55" s="7">
        <f t="shared" si="4"/>
        <v>8000</v>
      </c>
      <c r="L55" s="7">
        <f t="shared" si="4"/>
        <v>8000</v>
      </c>
      <c r="M55" s="7">
        <f t="shared" si="4"/>
        <v>8000</v>
      </c>
      <c r="N55" s="7">
        <f t="shared" si="4"/>
        <v>8000</v>
      </c>
      <c r="O55" s="7">
        <f t="shared" si="4"/>
        <v>8000</v>
      </c>
    </row>
    <row r="56" spans="1:16" x14ac:dyDescent="0.2">
      <c r="A56" s="8">
        <v>2</v>
      </c>
      <c r="B56" s="113" t="s">
        <v>41</v>
      </c>
      <c r="C56" s="114"/>
      <c r="D56" s="34">
        <f>D55/1.17*0.17*0.1</f>
        <v>81.367521367521391</v>
      </c>
      <c r="E56" s="34">
        <f t="shared" ref="E56:O56" si="5">E55/1.17*0.17*0.1</f>
        <v>104.61538461538463</v>
      </c>
      <c r="F56" s="34">
        <f t="shared" si="5"/>
        <v>116.23931623931627</v>
      </c>
      <c r="G56" s="34">
        <f t="shared" si="5"/>
        <v>116.23931623931627</v>
      </c>
      <c r="H56" s="34">
        <f t="shared" si="5"/>
        <v>116.23931623931627</v>
      </c>
      <c r="I56" s="34">
        <f t="shared" si="5"/>
        <v>116.23931623931627</v>
      </c>
      <c r="J56" s="34">
        <f t="shared" si="5"/>
        <v>116.23931623931627</v>
      </c>
      <c r="K56" s="34">
        <f t="shared" si="5"/>
        <v>116.23931623931627</v>
      </c>
      <c r="L56" s="34">
        <f t="shared" si="5"/>
        <v>116.23931623931627</v>
      </c>
      <c r="M56" s="34">
        <f t="shared" si="5"/>
        <v>116.23931623931627</v>
      </c>
      <c r="N56" s="34">
        <f t="shared" si="5"/>
        <v>116.23931623931627</v>
      </c>
      <c r="O56" s="34">
        <f t="shared" si="5"/>
        <v>116.23931623931627</v>
      </c>
    </row>
    <row r="57" spans="1:16" x14ac:dyDescent="0.2">
      <c r="A57" s="8">
        <v>3</v>
      </c>
      <c r="B57" s="113" t="s">
        <v>37</v>
      </c>
      <c r="C57" s="114"/>
      <c r="D57" s="38">
        <f>D47</f>
        <v>4670.208333333333</v>
      </c>
      <c r="E57" s="38">
        <f t="shared" ref="E57:O57" si="6">E47</f>
        <v>5725.5583333333334</v>
      </c>
      <c r="F57" s="38">
        <f t="shared" si="6"/>
        <v>6228.6833333333334</v>
      </c>
      <c r="G57" s="38">
        <f t="shared" si="6"/>
        <v>6168.6833333333334</v>
      </c>
      <c r="H57" s="38">
        <f t="shared" si="6"/>
        <v>6108.6833333333334</v>
      </c>
      <c r="I57" s="38">
        <f t="shared" si="6"/>
        <v>6084.6833333333334</v>
      </c>
      <c r="J57" s="38">
        <f t="shared" si="6"/>
        <v>6084.6833333333334</v>
      </c>
      <c r="K57" s="38">
        <f t="shared" si="6"/>
        <v>6084.6833333333334</v>
      </c>
      <c r="L57" s="38">
        <f t="shared" si="6"/>
        <v>6084.6833333333334</v>
      </c>
      <c r="M57" s="38">
        <f t="shared" si="6"/>
        <v>6084.6833333333334</v>
      </c>
      <c r="N57" s="38">
        <f t="shared" si="6"/>
        <v>6065.0833333333339</v>
      </c>
      <c r="O57" s="38">
        <f t="shared" si="6"/>
        <v>6065.0833333333339</v>
      </c>
    </row>
    <row r="58" spans="1:16" x14ac:dyDescent="0.2">
      <c r="A58" s="8">
        <v>4</v>
      </c>
      <c r="B58" s="113" t="s">
        <v>42</v>
      </c>
      <c r="C58" s="114"/>
      <c r="D58" s="38">
        <f>D55-D56-D57</f>
        <v>848.42414529914549</v>
      </c>
      <c r="E58" s="38">
        <f t="shared" ref="E58:O58" si="7">E55-E56-E57</f>
        <v>1369.8262820512819</v>
      </c>
      <c r="F58" s="38">
        <f t="shared" si="7"/>
        <v>1655.0773504273502</v>
      </c>
      <c r="G58" s="38">
        <f t="shared" si="7"/>
        <v>1715.0773504273502</v>
      </c>
      <c r="H58" s="38">
        <f t="shared" si="7"/>
        <v>1775.0773504273502</v>
      </c>
      <c r="I58" s="38">
        <f t="shared" si="7"/>
        <v>1799.0773504273502</v>
      </c>
      <c r="J58" s="38">
        <f t="shared" si="7"/>
        <v>1799.0773504273502</v>
      </c>
      <c r="K58" s="38">
        <f t="shared" si="7"/>
        <v>1799.0773504273502</v>
      </c>
      <c r="L58" s="38">
        <f t="shared" si="7"/>
        <v>1799.0773504273502</v>
      </c>
      <c r="M58" s="38">
        <f t="shared" si="7"/>
        <v>1799.0773504273502</v>
      </c>
      <c r="N58" s="38">
        <f t="shared" si="7"/>
        <v>1818.6773504273497</v>
      </c>
      <c r="O58" s="38">
        <f t="shared" si="7"/>
        <v>1818.6773504273497</v>
      </c>
      <c r="P58" s="160"/>
    </row>
    <row r="59" spans="1:16" x14ac:dyDescent="0.2">
      <c r="A59" s="8">
        <v>5</v>
      </c>
      <c r="B59" s="113" t="s">
        <v>43</v>
      </c>
      <c r="C59" s="114"/>
      <c r="D59" s="38">
        <f>D58*0.33</f>
        <v>279.97996794871801</v>
      </c>
      <c r="E59" s="38">
        <f t="shared" ref="E59:O59" si="8">E58*0.33</f>
        <v>452.04267307692305</v>
      </c>
      <c r="F59" s="38">
        <f t="shared" si="8"/>
        <v>546.17552564102562</v>
      </c>
      <c r="G59" s="38">
        <f t="shared" si="8"/>
        <v>565.97552564102557</v>
      </c>
      <c r="H59" s="38">
        <f t="shared" si="8"/>
        <v>585.77552564102564</v>
      </c>
      <c r="I59" s="38">
        <f t="shared" si="8"/>
        <v>593.6955256410256</v>
      </c>
      <c r="J59" s="38">
        <f t="shared" si="8"/>
        <v>593.6955256410256</v>
      </c>
      <c r="K59" s="38">
        <f t="shared" si="8"/>
        <v>593.6955256410256</v>
      </c>
      <c r="L59" s="38">
        <f t="shared" si="8"/>
        <v>593.6955256410256</v>
      </c>
      <c r="M59" s="38">
        <f t="shared" si="8"/>
        <v>593.6955256410256</v>
      </c>
      <c r="N59" s="38">
        <f t="shared" si="8"/>
        <v>600.16352564102544</v>
      </c>
      <c r="O59" s="38">
        <f t="shared" si="8"/>
        <v>600.16352564102544</v>
      </c>
    </row>
    <row r="60" spans="1:16" x14ac:dyDescent="0.2">
      <c r="A60" s="8">
        <v>6</v>
      </c>
      <c r="B60" s="113" t="s">
        <v>44</v>
      </c>
      <c r="C60" s="114"/>
      <c r="D60" s="38">
        <f>D58-D59</f>
        <v>568.44417735042748</v>
      </c>
      <c r="E60" s="38">
        <f t="shared" ref="E60:O60" si="9">E58-E59</f>
        <v>917.7836089743588</v>
      </c>
      <c r="F60" s="38">
        <f t="shared" si="9"/>
        <v>1108.9018247863246</v>
      </c>
      <c r="G60" s="38">
        <f t="shared" si="9"/>
        <v>1149.1018247863246</v>
      </c>
      <c r="H60" s="38">
        <f t="shared" si="9"/>
        <v>1189.3018247863247</v>
      </c>
      <c r="I60" s="38">
        <f t="shared" si="9"/>
        <v>1205.3818247863246</v>
      </c>
      <c r="J60" s="38">
        <f t="shared" si="9"/>
        <v>1205.3818247863246</v>
      </c>
      <c r="K60" s="38">
        <f t="shared" si="9"/>
        <v>1205.3818247863246</v>
      </c>
      <c r="L60" s="38">
        <f t="shared" si="9"/>
        <v>1205.3818247863246</v>
      </c>
      <c r="M60" s="38">
        <f t="shared" si="9"/>
        <v>1205.3818247863246</v>
      </c>
      <c r="N60" s="38">
        <f t="shared" si="9"/>
        <v>1218.5138247863242</v>
      </c>
      <c r="O60" s="38">
        <f t="shared" si="9"/>
        <v>1218.5138247863242</v>
      </c>
    </row>
    <row r="61" spans="1:16" x14ac:dyDescent="0.2">
      <c r="A61" s="8">
        <v>6.1</v>
      </c>
      <c r="B61" s="113" t="s">
        <v>45</v>
      </c>
      <c r="C61" s="114"/>
      <c r="D61" s="38">
        <f>D60*0.1</f>
        <v>56.844417735042754</v>
      </c>
      <c r="E61" s="38">
        <f t="shared" ref="E61:O61" si="10">E60*0.1</f>
        <v>91.778360897435888</v>
      </c>
      <c r="F61" s="38">
        <f t="shared" si="10"/>
        <v>110.89018247863247</v>
      </c>
      <c r="G61" s="38">
        <f t="shared" si="10"/>
        <v>114.91018247863246</v>
      </c>
      <c r="H61" s="38">
        <f t="shared" si="10"/>
        <v>118.93018247863247</v>
      </c>
      <c r="I61" s="38">
        <f t="shared" si="10"/>
        <v>120.53818247863246</v>
      </c>
      <c r="J61" s="38">
        <f t="shared" si="10"/>
        <v>120.53818247863246</v>
      </c>
      <c r="K61" s="38">
        <f t="shared" si="10"/>
        <v>120.53818247863246</v>
      </c>
      <c r="L61" s="38">
        <f t="shared" si="10"/>
        <v>120.53818247863246</v>
      </c>
      <c r="M61" s="38">
        <f t="shared" si="10"/>
        <v>120.53818247863246</v>
      </c>
      <c r="N61" s="38">
        <f t="shared" si="10"/>
        <v>121.85138247863243</v>
      </c>
      <c r="O61" s="38">
        <f t="shared" si="10"/>
        <v>121.85138247863243</v>
      </c>
    </row>
    <row r="62" spans="1:16" x14ac:dyDescent="0.2">
      <c r="A62" s="8">
        <v>6.2</v>
      </c>
      <c r="B62" s="113" t="s">
        <v>46</v>
      </c>
      <c r="C62" s="114"/>
      <c r="D62" s="8">
        <v>50</v>
      </c>
      <c r="E62" s="2">
        <v>100</v>
      </c>
      <c r="F62" s="8">
        <v>200</v>
      </c>
      <c r="G62" s="17">
        <v>200</v>
      </c>
      <c r="H62" s="17">
        <v>200</v>
      </c>
      <c r="I62" s="17">
        <v>200</v>
      </c>
      <c r="J62" s="17">
        <v>200</v>
      </c>
      <c r="K62" s="17">
        <v>200</v>
      </c>
      <c r="L62" s="17">
        <v>200</v>
      </c>
      <c r="M62" s="17">
        <v>200</v>
      </c>
      <c r="N62" s="17">
        <v>200</v>
      </c>
      <c r="O62" s="17">
        <v>200</v>
      </c>
    </row>
    <row r="63" spans="1:16" x14ac:dyDescent="0.2">
      <c r="A63" s="8">
        <v>6.3</v>
      </c>
      <c r="B63" s="113" t="s">
        <v>47</v>
      </c>
      <c r="C63" s="114"/>
      <c r="D63" s="38">
        <f>D60-D61-D62</f>
        <v>461.59975961538476</v>
      </c>
      <c r="E63" s="38">
        <f t="shared" ref="E63:O63" si="11">E60-E61-E62</f>
        <v>726.00524807692295</v>
      </c>
      <c r="F63" s="38">
        <f t="shared" si="11"/>
        <v>798.01164230769211</v>
      </c>
      <c r="G63" s="38">
        <f t="shared" si="11"/>
        <v>834.19164230769229</v>
      </c>
      <c r="H63" s="38">
        <f t="shared" si="11"/>
        <v>870.37164230769213</v>
      </c>
      <c r="I63" s="38">
        <f t="shared" si="11"/>
        <v>884.84364230769211</v>
      </c>
      <c r="J63" s="38">
        <f t="shared" si="11"/>
        <v>884.84364230769211</v>
      </c>
      <c r="K63" s="38">
        <f t="shared" si="11"/>
        <v>884.84364230769211</v>
      </c>
      <c r="L63" s="38">
        <f t="shared" si="11"/>
        <v>884.84364230769211</v>
      </c>
      <c r="M63" s="38">
        <f t="shared" si="11"/>
        <v>884.84364230769211</v>
      </c>
      <c r="N63" s="38">
        <f t="shared" si="11"/>
        <v>896.66244230769189</v>
      </c>
      <c r="O63" s="38">
        <f t="shared" si="11"/>
        <v>896.66244230769189</v>
      </c>
    </row>
    <row r="64" spans="1:16" x14ac:dyDescent="0.2">
      <c r="A64" s="11">
        <v>7</v>
      </c>
      <c r="B64" s="115" t="s">
        <v>48</v>
      </c>
      <c r="C64" s="116"/>
      <c r="D64" s="39">
        <f>D63</f>
        <v>461.59975961538476</v>
      </c>
      <c r="E64" s="53">
        <f>D64+E63</f>
        <v>1187.6050076923077</v>
      </c>
      <c r="F64" s="39">
        <f>E64+F63</f>
        <v>1985.6166499999999</v>
      </c>
      <c r="G64" s="39">
        <f t="shared" ref="G64:O64" si="12">F64+G63</f>
        <v>2819.8082923076922</v>
      </c>
      <c r="H64" s="39">
        <f t="shared" si="12"/>
        <v>3690.1799346153844</v>
      </c>
      <c r="I64" s="39">
        <f t="shared" si="12"/>
        <v>4575.0235769230767</v>
      </c>
      <c r="J64" s="39">
        <f t="shared" si="12"/>
        <v>5459.8672192307686</v>
      </c>
      <c r="K64" s="39">
        <f t="shared" si="12"/>
        <v>6344.7108615384604</v>
      </c>
      <c r="L64" s="39">
        <f t="shared" si="12"/>
        <v>7229.5545038461523</v>
      </c>
      <c r="M64" s="39">
        <f t="shared" si="12"/>
        <v>8114.3981461538442</v>
      </c>
      <c r="N64" s="39">
        <f t="shared" si="12"/>
        <v>9011.0605884615361</v>
      </c>
      <c r="O64" s="39">
        <f t="shared" si="12"/>
        <v>9907.723030769228</v>
      </c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7" ht="23.25" x14ac:dyDescent="0.2">
      <c r="A67" s="133" t="s">
        <v>66</v>
      </c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</row>
    <row r="68" spans="1:17" x14ac:dyDescent="0.2">
      <c r="A68" s="108" t="s">
        <v>15</v>
      </c>
      <c r="B68" s="109" t="s">
        <v>132</v>
      </c>
      <c r="C68" s="109"/>
      <c r="D68" s="108" t="s">
        <v>16</v>
      </c>
      <c r="E68" s="108"/>
      <c r="F68" s="108" t="s">
        <v>17</v>
      </c>
      <c r="G68" s="108"/>
      <c r="H68" s="108" t="s">
        <v>18</v>
      </c>
      <c r="I68" s="108"/>
      <c r="J68" s="108"/>
      <c r="K68" s="108"/>
      <c r="L68" s="108"/>
      <c r="M68" s="108"/>
      <c r="N68" s="108"/>
      <c r="O68" s="108"/>
      <c r="P68" s="108"/>
      <c r="Q68" s="108"/>
    </row>
    <row r="69" spans="1:17" x14ac:dyDescent="0.2">
      <c r="A69" s="108"/>
      <c r="B69" s="109"/>
      <c r="C69" s="109"/>
      <c r="D69" s="13">
        <v>1</v>
      </c>
      <c r="E69" s="13">
        <v>2</v>
      </c>
      <c r="F69" s="13">
        <v>3</v>
      </c>
      <c r="G69" s="13">
        <v>4</v>
      </c>
      <c r="H69" s="13">
        <v>5</v>
      </c>
      <c r="I69" s="13">
        <v>6</v>
      </c>
      <c r="J69" s="13">
        <v>7</v>
      </c>
      <c r="K69" s="13">
        <v>8</v>
      </c>
      <c r="L69" s="13">
        <v>9</v>
      </c>
      <c r="M69" s="13">
        <v>10</v>
      </c>
      <c r="N69" s="13">
        <v>11</v>
      </c>
      <c r="O69" s="13">
        <v>12</v>
      </c>
      <c r="P69" s="13">
        <v>13</v>
      </c>
      <c r="Q69" s="13">
        <v>14</v>
      </c>
    </row>
    <row r="70" spans="1:17" x14ac:dyDescent="0.2">
      <c r="A70" s="13">
        <v>1</v>
      </c>
      <c r="B70" s="125" t="s">
        <v>49</v>
      </c>
      <c r="C70" s="126"/>
      <c r="D70" s="7">
        <f>SUM(D71:D79)</f>
        <v>2000</v>
      </c>
      <c r="E70" s="7">
        <f t="shared" ref="E70:Q70" si="13">SUM(E71:E79)</f>
        <v>3700</v>
      </c>
      <c r="F70" s="37">
        <f t="shared" si="13"/>
        <v>1849.2574786324788</v>
      </c>
      <c r="G70" s="37">
        <f t="shared" si="13"/>
        <v>2514.4096153846149</v>
      </c>
      <c r="H70" s="37">
        <f t="shared" si="13"/>
        <v>2152.7856837606837</v>
      </c>
      <c r="I70" s="37">
        <f t="shared" si="13"/>
        <v>2212.7856837606837</v>
      </c>
      <c r="J70" s="37">
        <f t="shared" si="13"/>
        <v>2272.7856837606837</v>
      </c>
      <c r="K70" s="37">
        <f t="shared" si="13"/>
        <v>2236.7856837606837</v>
      </c>
      <c r="L70" s="37">
        <f t="shared" si="13"/>
        <v>2236.7856837606837</v>
      </c>
      <c r="M70" s="37">
        <f t="shared" si="13"/>
        <v>2236.7856837606837</v>
      </c>
      <c r="N70" s="37">
        <f t="shared" si="13"/>
        <v>2236.7856837606837</v>
      </c>
      <c r="O70" s="37">
        <f t="shared" si="13"/>
        <v>2236.7856837606837</v>
      </c>
      <c r="P70" s="37">
        <f t="shared" si="13"/>
        <v>2207.3856837606832</v>
      </c>
      <c r="Q70" s="37">
        <f t="shared" si="13"/>
        <v>3602.8856837606832</v>
      </c>
    </row>
    <row r="71" spans="1:17" x14ac:dyDescent="0.2">
      <c r="A71" s="8">
        <v>1.1000000000000001</v>
      </c>
      <c r="B71" s="128" t="s">
        <v>42</v>
      </c>
      <c r="C71" s="112"/>
      <c r="D71" s="7"/>
      <c r="E71" s="7"/>
      <c r="F71" s="37">
        <f>D58</f>
        <v>848.42414529914549</v>
      </c>
      <c r="G71" s="37">
        <f t="shared" ref="G71:Q71" si="14">E58</f>
        <v>1369.8262820512819</v>
      </c>
      <c r="H71" s="37">
        <f t="shared" si="14"/>
        <v>1655.0773504273502</v>
      </c>
      <c r="I71" s="37">
        <f t="shared" si="14"/>
        <v>1715.0773504273502</v>
      </c>
      <c r="J71" s="37">
        <f t="shared" si="14"/>
        <v>1775.0773504273502</v>
      </c>
      <c r="K71" s="37">
        <f t="shared" si="14"/>
        <v>1799.0773504273502</v>
      </c>
      <c r="L71" s="37">
        <f t="shared" si="14"/>
        <v>1799.0773504273502</v>
      </c>
      <c r="M71" s="37">
        <f t="shared" si="14"/>
        <v>1799.0773504273502</v>
      </c>
      <c r="N71" s="37">
        <f t="shared" si="14"/>
        <v>1799.0773504273502</v>
      </c>
      <c r="O71" s="37">
        <f t="shared" si="14"/>
        <v>1799.0773504273502</v>
      </c>
      <c r="P71" s="37">
        <f t="shared" si="14"/>
        <v>1818.6773504273497</v>
      </c>
      <c r="Q71" s="37">
        <f t="shared" si="14"/>
        <v>1818.6773504273497</v>
      </c>
    </row>
    <row r="72" spans="1:17" ht="14.25" customHeight="1" x14ac:dyDescent="0.2">
      <c r="A72" s="8">
        <v>1.2</v>
      </c>
      <c r="B72" s="113" t="s">
        <v>50</v>
      </c>
      <c r="C72" s="114"/>
      <c r="D72" s="8"/>
      <c r="E72" s="8"/>
      <c r="F72" s="38">
        <f>D48</f>
        <v>497.70833333333331</v>
      </c>
      <c r="G72" s="38">
        <f t="shared" ref="G72:Q72" si="15">E48</f>
        <v>497.70833333333331</v>
      </c>
      <c r="H72" s="38">
        <f t="shared" si="15"/>
        <v>497.70833333333331</v>
      </c>
      <c r="I72" s="38">
        <f t="shared" si="15"/>
        <v>497.70833333333331</v>
      </c>
      <c r="J72" s="38">
        <f t="shared" si="15"/>
        <v>497.70833333333331</v>
      </c>
      <c r="K72" s="38">
        <f t="shared" si="15"/>
        <v>437.70833333333331</v>
      </c>
      <c r="L72" s="38">
        <f t="shared" si="15"/>
        <v>437.70833333333331</v>
      </c>
      <c r="M72" s="38">
        <f t="shared" si="15"/>
        <v>437.70833333333331</v>
      </c>
      <c r="N72" s="38">
        <f t="shared" si="15"/>
        <v>437.70833333333331</v>
      </c>
      <c r="O72" s="38">
        <f t="shared" si="15"/>
        <v>437.70833333333331</v>
      </c>
      <c r="P72" s="38">
        <f t="shared" si="15"/>
        <v>388.70833333333331</v>
      </c>
      <c r="Q72" s="38">
        <f t="shared" si="15"/>
        <v>388.70833333333331</v>
      </c>
    </row>
    <row r="73" spans="1:17" ht="14.25" customHeight="1" x14ac:dyDescent="0.2">
      <c r="A73" s="8">
        <v>1.3</v>
      </c>
      <c r="B73" s="113" t="s">
        <v>51</v>
      </c>
      <c r="C73" s="114"/>
      <c r="D73" s="44">
        <f>D11</f>
        <v>1000</v>
      </c>
      <c r="E73" s="45">
        <f>E11</f>
        <v>3000</v>
      </c>
      <c r="F73" s="8"/>
      <c r="G73" s="8"/>
      <c r="H73" s="8"/>
      <c r="I73" s="22"/>
      <c r="J73" s="8"/>
      <c r="K73" s="8"/>
      <c r="L73" s="8"/>
      <c r="M73" s="8"/>
      <c r="N73" s="8"/>
      <c r="O73" s="8"/>
      <c r="P73" s="8"/>
      <c r="Q73" s="6"/>
    </row>
    <row r="74" spans="1:17" ht="14.25" customHeight="1" x14ac:dyDescent="0.2">
      <c r="A74" s="8">
        <v>1.4</v>
      </c>
      <c r="B74" s="113" t="s">
        <v>52</v>
      </c>
      <c r="C74" s="114"/>
      <c r="D74" s="8"/>
      <c r="E74" s="8"/>
      <c r="F74" s="38">
        <f>F12</f>
        <v>303.125</v>
      </c>
      <c r="G74" s="38">
        <f>G12</f>
        <v>436.875</v>
      </c>
      <c r="H74" s="8"/>
      <c r="I74" s="22"/>
      <c r="J74" s="8"/>
      <c r="K74" s="8"/>
      <c r="L74" s="8"/>
      <c r="M74" s="8"/>
      <c r="N74" s="8"/>
      <c r="O74" s="8"/>
      <c r="P74" s="8"/>
      <c r="Q74" s="6"/>
    </row>
    <row r="75" spans="1:17" ht="14.25" customHeight="1" x14ac:dyDescent="0.2">
      <c r="A75" s="8">
        <v>1.5</v>
      </c>
      <c r="B75" s="113" t="s">
        <v>53</v>
      </c>
      <c r="C75" s="114"/>
      <c r="D75" s="8"/>
      <c r="E75" s="8"/>
      <c r="F75" s="8"/>
      <c r="G75" s="8"/>
      <c r="H75" s="8"/>
      <c r="I75" s="22"/>
      <c r="J75" s="8"/>
      <c r="K75" s="8"/>
      <c r="L75" s="8"/>
      <c r="M75" s="8"/>
      <c r="N75" s="8"/>
      <c r="O75" s="8"/>
      <c r="P75" s="8"/>
      <c r="Q75" s="6"/>
    </row>
    <row r="76" spans="1:17" ht="14.25" customHeight="1" x14ac:dyDescent="0.2">
      <c r="A76" s="8">
        <v>1.6</v>
      </c>
      <c r="B76" s="113" t="s">
        <v>30</v>
      </c>
      <c r="C76" s="114"/>
      <c r="D76" s="8">
        <v>1000</v>
      </c>
      <c r="E76" s="8">
        <v>700</v>
      </c>
      <c r="F76" s="8">
        <v>200</v>
      </c>
      <c r="G76" s="8">
        <v>210</v>
      </c>
      <c r="H76" s="8"/>
      <c r="I76" s="22"/>
      <c r="J76" s="8"/>
      <c r="K76" s="8"/>
      <c r="L76" s="8"/>
      <c r="M76" s="8"/>
      <c r="N76" s="8"/>
      <c r="O76" s="8"/>
      <c r="P76" s="8"/>
      <c r="Q76" s="6"/>
    </row>
    <row r="77" spans="1:17" ht="14.25" customHeight="1" x14ac:dyDescent="0.2">
      <c r="A77" s="8">
        <v>1.7</v>
      </c>
      <c r="B77" s="113" t="s">
        <v>32</v>
      </c>
      <c r="C77" s="114"/>
      <c r="D77" s="8"/>
      <c r="E77" s="8"/>
      <c r="F77" s="8"/>
      <c r="G77" s="8"/>
      <c r="H77" s="8"/>
      <c r="I77" s="22"/>
      <c r="J77" s="8"/>
      <c r="K77" s="8"/>
      <c r="L77" s="8"/>
      <c r="M77" s="8"/>
      <c r="N77" s="8"/>
      <c r="O77" s="8"/>
      <c r="P77" s="8"/>
      <c r="Q77" s="6"/>
    </row>
    <row r="78" spans="1:17" ht="14.25" customHeight="1" x14ac:dyDescent="0.2">
      <c r="A78" s="8">
        <v>1.8</v>
      </c>
      <c r="B78" s="113" t="s">
        <v>54</v>
      </c>
      <c r="C78" s="114"/>
      <c r="D78" s="8"/>
      <c r="E78" s="8"/>
      <c r="F78" s="8"/>
      <c r="G78" s="8"/>
      <c r="H78" s="8"/>
      <c r="I78" s="22"/>
      <c r="J78" s="8"/>
      <c r="K78" s="8"/>
      <c r="L78" s="8"/>
      <c r="M78" s="8"/>
      <c r="N78" s="8"/>
      <c r="O78" s="8"/>
      <c r="P78" s="8"/>
      <c r="Q78" s="6">
        <f>4910*0.05</f>
        <v>245.5</v>
      </c>
    </row>
    <row r="79" spans="1:17" ht="14.25" customHeight="1" x14ac:dyDescent="0.2">
      <c r="A79" s="11">
        <v>1.9</v>
      </c>
      <c r="B79" s="113" t="s">
        <v>55</v>
      </c>
      <c r="C79" s="114"/>
      <c r="D79" s="11"/>
      <c r="E79" s="11"/>
      <c r="F79" s="11"/>
      <c r="G79" s="11"/>
      <c r="H79" s="11"/>
      <c r="I79" s="23"/>
      <c r="J79" s="11"/>
      <c r="K79" s="11"/>
      <c r="L79" s="11"/>
      <c r="M79" s="11"/>
      <c r="N79" s="11"/>
      <c r="O79" s="11"/>
      <c r="P79" s="11"/>
      <c r="Q79" s="10">
        <f>H7</f>
        <v>1150</v>
      </c>
    </row>
    <row r="80" spans="1:17" ht="14.25" customHeight="1" x14ac:dyDescent="0.2">
      <c r="A80" s="8">
        <v>2</v>
      </c>
      <c r="B80" s="111" t="s">
        <v>56</v>
      </c>
      <c r="C80" s="112"/>
      <c r="D80" s="8">
        <f>SUM(D81:D88)</f>
        <v>2000</v>
      </c>
      <c r="E80" s="8">
        <f t="shared" ref="E80:Q80" si="16">SUM(E81:E88)</f>
        <v>3700</v>
      </c>
      <c r="F80" s="34">
        <f t="shared" si="16"/>
        <v>1733.104967948718</v>
      </c>
      <c r="G80" s="34">
        <f t="shared" si="16"/>
        <v>2298.9176730769232</v>
      </c>
      <c r="H80" s="34">
        <f t="shared" si="16"/>
        <v>1746.1755256410256</v>
      </c>
      <c r="I80" s="34">
        <f t="shared" si="16"/>
        <v>2165.9755256410253</v>
      </c>
      <c r="J80" s="34">
        <f t="shared" si="16"/>
        <v>1585.7755256410255</v>
      </c>
      <c r="K80" s="35">
        <f t="shared" si="16"/>
        <v>1593.6955256410256</v>
      </c>
      <c r="L80" s="35">
        <f t="shared" si="16"/>
        <v>1593.6955256410256</v>
      </c>
      <c r="M80" s="35">
        <f t="shared" si="16"/>
        <v>1593.6955256410256</v>
      </c>
      <c r="N80" s="35">
        <f t="shared" si="16"/>
        <v>1593.6955256410256</v>
      </c>
      <c r="O80" s="35">
        <f t="shared" si="16"/>
        <v>1593.6955256410256</v>
      </c>
      <c r="P80" s="35">
        <f t="shared" si="16"/>
        <v>1600.1635256410254</v>
      </c>
      <c r="Q80" s="35">
        <f t="shared" si="16"/>
        <v>2340.1635256410254</v>
      </c>
    </row>
    <row r="81" spans="1:18" ht="14.25" customHeight="1" x14ac:dyDescent="0.2">
      <c r="A81" s="3">
        <v>2.1</v>
      </c>
      <c r="B81" s="121" t="s">
        <v>123</v>
      </c>
      <c r="C81" s="127"/>
      <c r="D81" s="5">
        <f>D5</f>
        <v>2000</v>
      </c>
      <c r="E81" s="7">
        <f>E5</f>
        <v>3700</v>
      </c>
      <c r="F81" s="7"/>
      <c r="G81" s="7"/>
      <c r="H81" s="7"/>
      <c r="I81" s="7"/>
      <c r="J81" s="7"/>
      <c r="K81" s="8"/>
      <c r="L81" s="2"/>
      <c r="M81" s="8"/>
      <c r="N81" s="2"/>
      <c r="O81" s="8"/>
      <c r="Q81" s="28"/>
    </row>
    <row r="82" spans="1:18" x14ac:dyDescent="0.2">
      <c r="A82" s="4">
        <v>2.2000000000000002</v>
      </c>
      <c r="B82" s="123" t="s">
        <v>57</v>
      </c>
      <c r="C82" s="124"/>
      <c r="D82" s="6"/>
      <c r="E82" s="6"/>
      <c r="F82" s="8"/>
      <c r="G82" s="8"/>
      <c r="H82" s="8"/>
      <c r="I82" s="8"/>
      <c r="J82" s="8"/>
      <c r="K82" s="8"/>
      <c r="L82" s="2"/>
      <c r="M82" s="8"/>
      <c r="N82" s="2"/>
      <c r="O82" s="8"/>
      <c r="Q82" s="28"/>
    </row>
    <row r="83" spans="1:18" x14ac:dyDescent="0.2">
      <c r="A83" s="4">
        <v>2.2999999999999998</v>
      </c>
      <c r="B83" s="123" t="s">
        <v>58</v>
      </c>
      <c r="C83" s="124"/>
      <c r="D83" s="6"/>
      <c r="E83" s="8"/>
      <c r="F83" s="38">
        <f>F7</f>
        <v>503.125</v>
      </c>
      <c r="G83" s="38">
        <f>G7</f>
        <v>646.875</v>
      </c>
      <c r="H83" s="8"/>
      <c r="I83" s="8"/>
      <c r="J83" s="8"/>
      <c r="K83" s="8"/>
      <c r="L83" s="2"/>
      <c r="M83" s="8"/>
      <c r="N83" s="2"/>
      <c r="O83" s="8"/>
      <c r="Q83" s="28"/>
    </row>
    <row r="84" spans="1:18" x14ac:dyDescent="0.2">
      <c r="A84" s="4">
        <v>2.4</v>
      </c>
      <c r="B84" s="123" t="s">
        <v>43</v>
      </c>
      <c r="C84" s="124"/>
      <c r="D84" s="6"/>
      <c r="E84" s="8"/>
      <c r="F84" s="38">
        <f>D59</f>
        <v>279.97996794871801</v>
      </c>
      <c r="G84" s="38">
        <f t="shared" ref="G84:Q84" si="17">E59</f>
        <v>452.04267307692305</v>
      </c>
      <c r="H84" s="38">
        <f t="shared" si="17"/>
        <v>546.17552564102562</v>
      </c>
      <c r="I84" s="38">
        <f t="shared" si="17"/>
        <v>565.97552564102557</v>
      </c>
      <c r="J84" s="38">
        <f t="shared" si="17"/>
        <v>585.77552564102564</v>
      </c>
      <c r="K84" s="38">
        <f t="shared" si="17"/>
        <v>593.6955256410256</v>
      </c>
      <c r="L84" s="38">
        <f t="shared" si="17"/>
        <v>593.6955256410256</v>
      </c>
      <c r="M84" s="38">
        <f t="shared" si="17"/>
        <v>593.6955256410256</v>
      </c>
      <c r="N84" s="38">
        <f t="shared" si="17"/>
        <v>593.6955256410256</v>
      </c>
      <c r="O84" s="38">
        <f t="shared" si="17"/>
        <v>593.6955256410256</v>
      </c>
      <c r="P84" s="38">
        <f t="shared" si="17"/>
        <v>600.16352564102544</v>
      </c>
      <c r="Q84" s="38">
        <f t="shared" si="17"/>
        <v>600.16352564102544</v>
      </c>
    </row>
    <row r="85" spans="1:18" x14ac:dyDescent="0.2">
      <c r="A85" s="4">
        <v>2.5</v>
      </c>
      <c r="B85" s="123" t="s">
        <v>46</v>
      </c>
      <c r="C85" s="124"/>
      <c r="D85" s="6"/>
      <c r="E85" s="8"/>
      <c r="F85" s="8">
        <f>D62</f>
        <v>50</v>
      </c>
      <c r="G85" s="8">
        <f t="shared" ref="G85:H85" si="18">E62</f>
        <v>100</v>
      </c>
      <c r="H85" s="8">
        <f t="shared" si="18"/>
        <v>200</v>
      </c>
      <c r="I85" s="8">
        <v>600</v>
      </c>
      <c r="J85" s="8">
        <v>1000</v>
      </c>
      <c r="K85" s="8">
        <v>1000</v>
      </c>
      <c r="L85" s="8">
        <v>1000</v>
      </c>
      <c r="M85" s="17">
        <v>1000</v>
      </c>
      <c r="N85" s="17">
        <v>1000</v>
      </c>
      <c r="O85" s="17">
        <v>1000</v>
      </c>
      <c r="P85" s="17">
        <v>1000</v>
      </c>
      <c r="Q85" s="17">
        <v>1000</v>
      </c>
    </row>
    <row r="86" spans="1:18" x14ac:dyDescent="0.2">
      <c r="A86" s="4">
        <v>2.6</v>
      </c>
      <c r="B86" s="123" t="s">
        <v>59</v>
      </c>
      <c r="C86" s="124"/>
      <c r="D86" s="6"/>
      <c r="E86" s="8"/>
      <c r="F86" s="8">
        <f>F27</f>
        <v>900</v>
      </c>
      <c r="G86" s="8">
        <f>G27</f>
        <v>1100</v>
      </c>
      <c r="H86" s="8">
        <f>H27</f>
        <v>1000</v>
      </c>
      <c r="I86" s="8">
        <f>I27</f>
        <v>1000</v>
      </c>
      <c r="J86" s="8"/>
      <c r="K86" s="8"/>
      <c r="L86" s="2"/>
      <c r="M86" s="8"/>
      <c r="N86" s="2"/>
      <c r="O86" s="8"/>
      <c r="Q86" s="28"/>
    </row>
    <row r="87" spans="1:18" x14ac:dyDescent="0.2">
      <c r="A87" s="4">
        <v>2.7</v>
      </c>
      <c r="B87" s="123" t="s">
        <v>60</v>
      </c>
      <c r="C87" s="124"/>
      <c r="D87" s="6"/>
      <c r="E87" s="8"/>
      <c r="F87" s="8"/>
      <c r="G87" s="8"/>
      <c r="H87" s="8"/>
      <c r="I87" s="8"/>
      <c r="J87" s="8"/>
      <c r="K87" s="8"/>
      <c r="L87" s="2"/>
      <c r="M87" s="8"/>
      <c r="N87" s="2"/>
      <c r="O87" s="8"/>
      <c r="P87" s="2"/>
      <c r="Q87" s="8">
        <f>Q28</f>
        <v>740</v>
      </c>
    </row>
    <row r="88" spans="1:18" x14ac:dyDescent="0.2">
      <c r="A88" s="9">
        <v>2.8</v>
      </c>
      <c r="B88" s="136" t="s">
        <v>61</v>
      </c>
      <c r="C88" s="137"/>
      <c r="D88" s="10"/>
      <c r="E88" s="11"/>
      <c r="F88" s="11"/>
      <c r="G88" s="11"/>
      <c r="H88" s="11"/>
      <c r="I88" s="11"/>
      <c r="J88" s="11"/>
      <c r="K88" s="11"/>
      <c r="L88" s="12"/>
      <c r="M88" s="11"/>
      <c r="N88" s="12"/>
      <c r="O88" s="11"/>
      <c r="P88" s="12"/>
      <c r="Q88" s="11"/>
    </row>
    <row r="89" spans="1:18" x14ac:dyDescent="0.2">
      <c r="A89" s="13">
        <v>3</v>
      </c>
      <c r="B89" s="110" t="s">
        <v>62</v>
      </c>
      <c r="C89" s="110"/>
      <c r="D89" s="13">
        <f>D70-D80</f>
        <v>0</v>
      </c>
      <c r="E89" s="13">
        <f t="shared" ref="E89:Q89" si="19">E70-E80</f>
        <v>0</v>
      </c>
      <c r="F89" s="35">
        <f>F70-F80</f>
        <v>116.15251068376074</v>
      </c>
      <c r="G89" s="35">
        <f t="shared" si="19"/>
        <v>215.49194230769172</v>
      </c>
      <c r="H89" s="35">
        <f t="shared" si="19"/>
        <v>406.61015811965808</v>
      </c>
      <c r="I89" s="35">
        <f t="shared" si="19"/>
        <v>46.810158119658354</v>
      </c>
      <c r="J89" s="35">
        <f t="shared" si="19"/>
        <v>687.01015811965817</v>
      </c>
      <c r="K89" s="35">
        <f t="shared" si="19"/>
        <v>643.0901581196581</v>
      </c>
      <c r="L89" s="35">
        <f t="shared" si="19"/>
        <v>643.0901581196581</v>
      </c>
      <c r="M89" s="35">
        <f t="shared" si="19"/>
        <v>643.0901581196581</v>
      </c>
      <c r="N89" s="35">
        <f t="shared" si="19"/>
        <v>643.0901581196581</v>
      </c>
      <c r="O89" s="35">
        <f t="shared" si="19"/>
        <v>643.0901581196581</v>
      </c>
      <c r="P89" s="35">
        <f t="shared" si="19"/>
        <v>607.22215811965771</v>
      </c>
      <c r="Q89" s="35">
        <f t="shared" si="19"/>
        <v>1262.7221581196577</v>
      </c>
    </row>
    <row r="90" spans="1:18" x14ac:dyDescent="0.2">
      <c r="A90" s="13">
        <v>4</v>
      </c>
      <c r="B90" s="110" t="s">
        <v>63</v>
      </c>
      <c r="C90" s="110"/>
      <c r="D90" s="13">
        <f>D89</f>
        <v>0</v>
      </c>
      <c r="E90" s="13">
        <f>D90+E89</f>
        <v>0</v>
      </c>
      <c r="F90" s="35">
        <f>E90+F89</f>
        <v>116.15251068376074</v>
      </c>
      <c r="G90" s="35">
        <f t="shared" ref="G90:Q90" si="20">F90+G89</f>
        <v>331.64445299145245</v>
      </c>
      <c r="H90" s="35">
        <f t="shared" si="20"/>
        <v>738.25461111111053</v>
      </c>
      <c r="I90" s="35">
        <f t="shared" si="20"/>
        <v>785.06476923076889</v>
      </c>
      <c r="J90" s="35">
        <f t="shared" si="20"/>
        <v>1472.0749273504271</v>
      </c>
      <c r="K90" s="35">
        <f t="shared" si="20"/>
        <v>2115.1650854700852</v>
      </c>
      <c r="L90" s="35">
        <f t="shared" si="20"/>
        <v>2758.2552435897433</v>
      </c>
      <c r="M90" s="35">
        <f t="shared" si="20"/>
        <v>3401.3454017094014</v>
      </c>
      <c r="N90" s="35">
        <f t="shared" si="20"/>
        <v>4044.4355598290595</v>
      </c>
      <c r="O90" s="35">
        <f t="shared" si="20"/>
        <v>4687.525717948718</v>
      </c>
      <c r="P90" s="35">
        <f t="shared" si="20"/>
        <v>5294.7478760683753</v>
      </c>
      <c r="Q90" s="35">
        <f t="shared" si="20"/>
        <v>6557.4700341880325</v>
      </c>
    </row>
    <row r="91" spans="1: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8" ht="23.25" x14ac:dyDescent="0.2">
      <c r="A93" s="133" t="s">
        <v>65</v>
      </c>
      <c r="B93" s="131"/>
      <c r="C93" s="131"/>
      <c r="D93" s="131"/>
      <c r="E93" s="131"/>
      <c r="F93" s="131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</row>
    <row r="94" spans="1:18" x14ac:dyDescent="0.2">
      <c r="A94" s="108" t="s">
        <v>15</v>
      </c>
      <c r="B94" s="109" t="s">
        <v>133</v>
      </c>
      <c r="C94" s="109"/>
      <c r="D94" s="108" t="s">
        <v>16</v>
      </c>
      <c r="E94" s="108"/>
      <c r="F94" s="108" t="s">
        <v>17</v>
      </c>
      <c r="G94" s="108"/>
      <c r="H94" s="108" t="s">
        <v>18</v>
      </c>
      <c r="I94" s="108"/>
      <c r="J94" s="108"/>
      <c r="K94" s="108"/>
      <c r="L94" s="108"/>
      <c r="M94" s="108"/>
      <c r="N94" s="108"/>
      <c r="O94" s="108"/>
      <c r="P94" s="108"/>
      <c r="Q94" s="108"/>
    </row>
    <row r="95" spans="1:18" x14ac:dyDescent="0.2">
      <c r="A95" s="108"/>
      <c r="B95" s="109"/>
      <c r="C95" s="109"/>
      <c r="D95" s="13">
        <v>1</v>
      </c>
      <c r="E95" s="13">
        <v>2</v>
      </c>
      <c r="F95" s="13">
        <v>3</v>
      </c>
      <c r="G95" s="13">
        <v>4</v>
      </c>
      <c r="H95" s="13">
        <v>5</v>
      </c>
      <c r="I95" s="13">
        <v>6</v>
      </c>
      <c r="J95" s="13">
        <v>7</v>
      </c>
      <c r="K95" s="13">
        <v>8</v>
      </c>
      <c r="L95" s="13">
        <v>9</v>
      </c>
      <c r="M95" s="13">
        <v>10</v>
      </c>
      <c r="N95" s="13">
        <v>11</v>
      </c>
      <c r="O95" s="13">
        <v>12</v>
      </c>
      <c r="P95" s="13">
        <v>13</v>
      </c>
      <c r="Q95" s="13">
        <v>14</v>
      </c>
    </row>
    <row r="96" spans="1:18" x14ac:dyDescent="0.2">
      <c r="A96" s="13">
        <v>1</v>
      </c>
      <c r="B96" s="125" t="s">
        <v>64</v>
      </c>
      <c r="C96" s="126"/>
      <c r="D96" s="7">
        <f>SUM(D97:D104)</f>
        <v>2000</v>
      </c>
      <c r="E96" s="43">
        <f>SUM(E97:E105)</f>
        <v>5700</v>
      </c>
      <c r="F96" s="57">
        <f>SUM(F97:F105)</f>
        <v>6771.5666880341887</v>
      </c>
      <c r="G96" s="57">
        <f t="shared" ref="G96:Q96" si="21">SUM(G97:G105)</f>
        <v>7406.2322393162376</v>
      </c>
      <c r="H96" s="57">
        <f t="shared" si="21"/>
        <v>7215.1342222222211</v>
      </c>
      <c r="I96" s="57">
        <f t="shared" si="21"/>
        <v>7164.226205128205</v>
      </c>
      <c r="J96" s="35">
        <f t="shared" si="21"/>
        <v>7153.5281880341881</v>
      </c>
      <c r="K96" s="57">
        <f t="shared" si="21"/>
        <v>8158.9201709401705</v>
      </c>
      <c r="L96" s="57">
        <f t="shared" si="21"/>
        <v>9164.3021538461544</v>
      </c>
      <c r="M96" s="57">
        <f t="shared" si="21"/>
        <v>10169.684136752136</v>
      </c>
      <c r="N96" s="57">
        <f t="shared" si="21"/>
        <v>11175.056119658118</v>
      </c>
      <c r="O96" s="57">
        <f t="shared" si="21"/>
        <v>12180.438102564101</v>
      </c>
      <c r="P96" s="57">
        <f t="shared" si="21"/>
        <v>13198.964085470085</v>
      </c>
      <c r="Q96" s="43">
        <f t="shared" si="21"/>
        <v>6557.4700341880325</v>
      </c>
      <c r="R96" s="49"/>
    </row>
    <row r="97" spans="1:17" x14ac:dyDescent="0.2">
      <c r="A97" s="8">
        <v>1.1000000000000001</v>
      </c>
      <c r="B97" s="128" t="s">
        <v>71</v>
      </c>
      <c r="C97" s="112"/>
      <c r="D97" s="7"/>
      <c r="E97" s="7"/>
      <c r="F97" s="57">
        <f>SUM(F98:F101)</f>
        <v>784.63751068376075</v>
      </c>
      <c r="G97" s="57">
        <f>SUM(G98:G101)</f>
        <v>1350.8244529914523</v>
      </c>
      <c r="H97" s="57">
        <f t="shared" ref="H97:P97" si="22">SUM(H98:H101)</f>
        <v>1504.1296111111105</v>
      </c>
      <c r="I97" s="57">
        <f t="shared" si="22"/>
        <v>1727.529769230769</v>
      </c>
      <c r="J97" s="57">
        <f t="shared" si="22"/>
        <v>1971.0349273504271</v>
      </c>
      <c r="K97" s="57">
        <f t="shared" si="22"/>
        <v>2692.5850854700852</v>
      </c>
      <c r="L97" s="57">
        <f t="shared" si="22"/>
        <v>3414.1302435897433</v>
      </c>
      <c r="M97" s="57">
        <f t="shared" si="22"/>
        <v>4135.6754017094008</v>
      </c>
      <c r="N97" s="57">
        <f t="shared" si="22"/>
        <v>4857.2155598290592</v>
      </c>
      <c r="O97" s="57">
        <f t="shared" si="22"/>
        <v>5578.7607179487177</v>
      </c>
      <c r="P97" s="57">
        <f t="shared" si="22"/>
        <v>6282.3778760683754</v>
      </c>
      <c r="Q97" s="5"/>
    </row>
    <row r="98" spans="1:17" x14ac:dyDescent="0.2">
      <c r="A98" s="8" t="s">
        <v>72</v>
      </c>
      <c r="B98" s="113" t="s">
        <v>73</v>
      </c>
      <c r="C98" s="114"/>
      <c r="D98" s="8"/>
      <c r="E98" s="8"/>
      <c r="F98" s="38">
        <v>618.48500000000001</v>
      </c>
      <c r="G98" s="38">
        <v>899.18</v>
      </c>
      <c r="H98" s="38">
        <v>645.875</v>
      </c>
      <c r="I98" s="38">
        <v>822.46500000000003</v>
      </c>
      <c r="J98" s="38">
        <v>378.96</v>
      </c>
      <c r="K98" s="38">
        <v>457.42</v>
      </c>
      <c r="L98" s="38">
        <v>535.875</v>
      </c>
      <c r="M98" s="38">
        <v>614.33000000000004</v>
      </c>
      <c r="N98" s="38">
        <v>692.78</v>
      </c>
      <c r="O98" s="38">
        <v>771.23500000000001</v>
      </c>
      <c r="P98" s="38">
        <v>867.63</v>
      </c>
      <c r="Q98" s="6"/>
    </row>
    <row r="99" spans="1:17" x14ac:dyDescent="0.2">
      <c r="A99" s="8" t="s">
        <v>74</v>
      </c>
      <c r="B99" s="113" t="s">
        <v>63</v>
      </c>
      <c r="C99" s="114"/>
      <c r="D99" s="8"/>
      <c r="E99" s="8"/>
      <c r="F99" s="38">
        <f>F90</f>
        <v>116.15251068376074</v>
      </c>
      <c r="G99" s="38">
        <f t="shared" ref="G99:P99" si="23">G90</f>
        <v>331.64445299145245</v>
      </c>
      <c r="H99" s="38">
        <f t="shared" si="23"/>
        <v>738.25461111111053</v>
      </c>
      <c r="I99" s="38">
        <f t="shared" si="23"/>
        <v>785.06476923076889</v>
      </c>
      <c r="J99" s="38">
        <f t="shared" si="23"/>
        <v>1472.0749273504271</v>
      </c>
      <c r="K99" s="38">
        <f t="shared" si="23"/>
        <v>2115.1650854700852</v>
      </c>
      <c r="L99" s="38">
        <f t="shared" si="23"/>
        <v>2758.2552435897433</v>
      </c>
      <c r="M99" s="38">
        <f t="shared" si="23"/>
        <v>3401.3454017094014</v>
      </c>
      <c r="N99" s="38">
        <f t="shared" si="23"/>
        <v>4044.4355598290595</v>
      </c>
      <c r="O99" s="38">
        <f t="shared" si="23"/>
        <v>4687.525717948718</v>
      </c>
      <c r="P99" s="38">
        <f t="shared" si="23"/>
        <v>5294.7478760683753</v>
      </c>
      <c r="Q99" s="58">
        <f>Q90</f>
        <v>6557.4700341880325</v>
      </c>
    </row>
    <row r="100" spans="1:17" x14ac:dyDescent="0.2">
      <c r="A100" s="8" t="s">
        <v>75</v>
      </c>
      <c r="B100" s="113" t="s">
        <v>77</v>
      </c>
      <c r="C100" s="114"/>
      <c r="D100" s="8"/>
      <c r="E100" s="8"/>
      <c r="F100" s="8">
        <v>50</v>
      </c>
      <c r="G100" s="8">
        <v>120</v>
      </c>
      <c r="H100" s="8">
        <v>120</v>
      </c>
      <c r="I100" s="8">
        <v>120</v>
      </c>
      <c r="J100" s="8">
        <v>120</v>
      </c>
      <c r="K100" s="8">
        <v>120</v>
      </c>
      <c r="L100" s="8">
        <v>120</v>
      </c>
      <c r="M100" s="8">
        <v>120</v>
      </c>
      <c r="N100" s="8">
        <v>120</v>
      </c>
      <c r="O100" s="17">
        <v>120</v>
      </c>
      <c r="P100" s="17">
        <v>120</v>
      </c>
      <c r="Q100" s="6"/>
    </row>
    <row r="101" spans="1:17" x14ac:dyDescent="0.2">
      <c r="A101" s="8" t="s">
        <v>76</v>
      </c>
      <c r="B101" s="113" t="s">
        <v>78</v>
      </c>
      <c r="C101" s="114"/>
      <c r="D101" s="8"/>
      <c r="E101" s="8"/>
      <c r="F101" s="38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6"/>
    </row>
    <row r="102" spans="1:17" x14ac:dyDescent="0.2">
      <c r="A102" s="8">
        <v>1.2</v>
      </c>
      <c r="B102" s="113" t="s">
        <v>79</v>
      </c>
      <c r="C102" s="114"/>
      <c r="D102" s="44">
        <f>D4</f>
        <v>2000</v>
      </c>
      <c r="E102" s="8"/>
      <c r="F102" s="8"/>
      <c r="G102" s="8"/>
      <c r="H102" s="8"/>
      <c r="I102" s="22"/>
      <c r="J102" s="8"/>
      <c r="K102" s="8"/>
      <c r="L102" s="8"/>
      <c r="M102" s="8"/>
      <c r="N102" s="8"/>
      <c r="O102" s="17"/>
      <c r="P102" s="17"/>
      <c r="Q102" s="6"/>
    </row>
    <row r="103" spans="1:17" x14ac:dyDescent="0.2">
      <c r="A103" s="8">
        <v>1.3</v>
      </c>
      <c r="B103" s="113" t="s">
        <v>80</v>
      </c>
      <c r="C103" s="114"/>
      <c r="D103" s="8"/>
      <c r="E103" s="44">
        <v>4910</v>
      </c>
      <c r="F103" s="34">
        <f>4910-4910*0.95/12</f>
        <v>4521.291666666667</v>
      </c>
      <c r="G103" s="34">
        <f>4910-4910*0.95/12*2</f>
        <v>4132.583333333333</v>
      </c>
      <c r="H103" s="34">
        <f>4910-4910*0.95/12*3</f>
        <v>3743.875</v>
      </c>
      <c r="I103" s="34">
        <f>4910-4910*0.95/12*4</f>
        <v>3355.166666666667</v>
      </c>
      <c r="J103" s="34">
        <f>4910-4910*0.95/12*5</f>
        <v>2966.4583333333335</v>
      </c>
      <c r="K103" s="34">
        <f>4910-4910*0.95/12*6</f>
        <v>2577.75</v>
      </c>
      <c r="L103" s="34">
        <f>4910-4910*0.95/12*7</f>
        <v>2189.041666666667</v>
      </c>
      <c r="M103" s="34">
        <f>4910-4910*0.95/12*8</f>
        <v>1800.3333333333335</v>
      </c>
      <c r="N103" s="34">
        <f>4910-4910*0.95/12*9</f>
        <v>1411.625</v>
      </c>
      <c r="O103" s="34">
        <f>4910-4910*0.95/12*10</f>
        <v>1022.916666666667</v>
      </c>
      <c r="P103" s="34">
        <f>4910-4910*0.95/12*11</f>
        <v>634.20833333333394</v>
      </c>
      <c r="Q103" s="34"/>
    </row>
    <row r="104" spans="1:17" x14ac:dyDescent="0.2">
      <c r="A104" s="8">
        <v>1.4</v>
      </c>
      <c r="B104" s="113" t="s">
        <v>81</v>
      </c>
      <c r="C104" s="114"/>
      <c r="D104" s="8"/>
      <c r="E104" s="8">
        <v>490</v>
      </c>
      <c r="F104" s="8">
        <f>490-490*0.1</f>
        <v>441</v>
      </c>
      <c r="G104" s="8">
        <f>490-490*0.2</f>
        <v>392</v>
      </c>
      <c r="H104" s="8">
        <f>490-490*0.3</f>
        <v>343</v>
      </c>
      <c r="I104" s="8">
        <f>490-490*0.4</f>
        <v>294</v>
      </c>
      <c r="J104" s="8">
        <f>490-490*0.5</f>
        <v>245</v>
      </c>
      <c r="K104" s="8">
        <f>490-490*0.6</f>
        <v>196</v>
      </c>
      <c r="L104" s="8">
        <f>490-490*0.7</f>
        <v>147</v>
      </c>
      <c r="M104" s="8">
        <f>490-490*0.8</f>
        <v>98</v>
      </c>
      <c r="N104" s="8">
        <f>490-490*0.9</f>
        <v>49</v>
      </c>
      <c r="O104" s="17"/>
      <c r="P104" s="17"/>
      <c r="Q104" s="6"/>
    </row>
    <row r="105" spans="1:17" x14ac:dyDescent="0.2">
      <c r="A105" s="11">
        <v>1.5</v>
      </c>
      <c r="B105" s="142" t="s">
        <v>124</v>
      </c>
      <c r="C105" s="116"/>
      <c r="D105" s="11"/>
      <c r="E105" s="11">
        <v>300</v>
      </c>
      <c r="F105" s="11">
        <f>300-300/5</f>
        <v>240</v>
      </c>
      <c r="G105" s="11">
        <f>300-300/5*2</f>
        <v>180</v>
      </c>
      <c r="H105" s="11">
        <f>300-300/5*3</f>
        <v>120</v>
      </c>
      <c r="I105" s="11">
        <f>300-300/5*4</f>
        <v>60</v>
      </c>
      <c r="J105" s="11"/>
      <c r="K105" s="8"/>
      <c r="L105" s="8"/>
      <c r="M105" s="8"/>
      <c r="N105" s="8"/>
      <c r="O105" s="17"/>
      <c r="P105" s="17"/>
      <c r="Q105" s="6"/>
    </row>
    <row r="106" spans="1:17" x14ac:dyDescent="0.2">
      <c r="A106" s="8">
        <v>2</v>
      </c>
      <c r="B106" s="113" t="s">
        <v>82</v>
      </c>
      <c r="C106" s="114"/>
      <c r="D106" s="8">
        <f>D112+SUM(D114:D117)</f>
        <v>2000</v>
      </c>
      <c r="E106" s="8">
        <f>E112+SUM(E114:E117)</f>
        <v>5700</v>
      </c>
      <c r="F106" s="38">
        <f>F112+SUM(F114:F117)</f>
        <v>6771.5691773504277</v>
      </c>
      <c r="G106" s="38">
        <f t="shared" ref="G106:Q106" si="24">G112+SUM(G114:G117)</f>
        <v>7406.2277863247864</v>
      </c>
      <c r="H106" s="38">
        <f>H112+SUM(H114:H117)</f>
        <v>7215.1296111111114</v>
      </c>
      <c r="I106" s="38">
        <f t="shared" si="24"/>
        <v>7164.2314358974363</v>
      </c>
      <c r="J106" s="38">
        <f t="shared" si="24"/>
        <v>7153.5332606837601</v>
      </c>
      <c r="K106" s="36">
        <f t="shared" si="24"/>
        <v>8158.9150854700856</v>
      </c>
      <c r="L106" s="36">
        <f t="shared" si="24"/>
        <v>9164.2969102564093</v>
      </c>
      <c r="M106" s="36">
        <f t="shared" si="24"/>
        <v>10169.678735042733</v>
      </c>
      <c r="N106" s="36">
        <f t="shared" si="24"/>
        <v>11175.060559829059</v>
      </c>
      <c r="O106" s="36">
        <f t="shared" si="24"/>
        <v>12180.442384615382</v>
      </c>
      <c r="P106" s="36">
        <f t="shared" si="24"/>
        <v>13198.956209401707</v>
      </c>
      <c r="Q106" s="15">
        <f t="shared" si="24"/>
        <v>13357.470034188031</v>
      </c>
    </row>
    <row r="107" spans="1:17" x14ac:dyDescent="0.2">
      <c r="A107" s="3">
        <v>2.1</v>
      </c>
      <c r="B107" s="121" t="s">
        <v>83</v>
      </c>
      <c r="C107" s="127"/>
      <c r="D107" s="5"/>
      <c r="E107" s="7"/>
      <c r="F107" s="57">
        <f>SUM(F108:F110)</f>
        <v>353.125</v>
      </c>
      <c r="G107" s="7">
        <f t="shared" ref="G107:P107" si="25">SUM(G108:G110)</f>
        <v>860</v>
      </c>
      <c r="H107" s="7">
        <f t="shared" si="25"/>
        <v>860</v>
      </c>
      <c r="I107" s="7">
        <f t="shared" si="25"/>
        <v>860</v>
      </c>
      <c r="J107" s="7">
        <f t="shared" si="25"/>
        <v>860</v>
      </c>
      <c r="K107" s="7">
        <f t="shared" si="25"/>
        <v>860</v>
      </c>
      <c r="L107" s="7">
        <f t="shared" si="25"/>
        <v>860</v>
      </c>
      <c r="M107" s="7">
        <f t="shared" si="25"/>
        <v>860</v>
      </c>
      <c r="N107" s="7">
        <f t="shared" si="25"/>
        <v>860</v>
      </c>
      <c r="O107" s="7">
        <f t="shared" si="25"/>
        <v>860</v>
      </c>
      <c r="P107" s="7">
        <f t="shared" si="25"/>
        <v>860</v>
      </c>
      <c r="Q107" s="17"/>
    </row>
    <row r="108" spans="1:17" x14ac:dyDescent="0.2">
      <c r="A108" s="4" t="s">
        <v>84</v>
      </c>
      <c r="B108" s="123" t="s">
        <v>85</v>
      </c>
      <c r="C108" s="124"/>
      <c r="D108" s="6"/>
      <c r="E108" s="6"/>
      <c r="F108" s="8">
        <f>F100</f>
        <v>50</v>
      </c>
      <c r="G108" s="8">
        <f t="shared" ref="G108:P108" si="26">G100</f>
        <v>120</v>
      </c>
      <c r="H108" s="8">
        <f t="shared" si="26"/>
        <v>120</v>
      </c>
      <c r="I108" s="8">
        <f t="shared" si="26"/>
        <v>120</v>
      </c>
      <c r="J108" s="8">
        <f t="shared" si="26"/>
        <v>120</v>
      </c>
      <c r="K108" s="8">
        <f t="shared" si="26"/>
        <v>120</v>
      </c>
      <c r="L108" s="8">
        <f t="shared" si="26"/>
        <v>120</v>
      </c>
      <c r="M108" s="8">
        <f t="shared" si="26"/>
        <v>120</v>
      </c>
      <c r="N108" s="8">
        <f t="shared" si="26"/>
        <v>120</v>
      </c>
      <c r="O108" s="17">
        <f t="shared" si="26"/>
        <v>120</v>
      </c>
      <c r="P108" s="17">
        <f t="shared" si="26"/>
        <v>120</v>
      </c>
      <c r="Q108" s="17"/>
    </row>
    <row r="109" spans="1:17" x14ac:dyDescent="0.2">
      <c r="A109" s="4" t="s">
        <v>86</v>
      </c>
      <c r="B109" s="123" t="s">
        <v>52</v>
      </c>
      <c r="C109" s="124"/>
      <c r="D109" s="6"/>
      <c r="E109" s="8"/>
      <c r="F109" s="38">
        <f>G22</f>
        <v>303.125</v>
      </c>
      <c r="G109" s="44">
        <f t="shared" ref="G109:P109" si="27">H22</f>
        <v>740</v>
      </c>
      <c r="H109" s="44">
        <f t="shared" si="27"/>
        <v>740</v>
      </c>
      <c r="I109" s="44">
        <f t="shared" si="27"/>
        <v>740</v>
      </c>
      <c r="J109" s="44">
        <f t="shared" si="27"/>
        <v>740</v>
      </c>
      <c r="K109" s="44">
        <f t="shared" si="27"/>
        <v>740</v>
      </c>
      <c r="L109" s="44">
        <f t="shared" si="27"/>
        <v>740</v>
      </c>
      <c r="M109" s="44">
        <f t="shared" si="27"/>
        <v>740</v>
      </c>
      <c r="N109" s="44">
        <f t="shared" si="27"/>
        <v>740</v>
      </c>
      <c r="O109" s="44">
        <f t="shared" si="27"/>
        <v>740</v>
      </c>
      <c r="P109" s="44">
        <f t="shared" si="27"/>
        <v>740</v>
      </c>
      <c r="Q109" s="17"/>
    </row>
    <row r="110" spans="1:17" x14ac:dyDescent="0.2">
      <c r="A110" s="4" t="s">
        <v>87</v>
      </c>
      <c r="B110" s="123" t="s">
        <v>53</v>
      </c>
      <c r="C110" s="124"/>
      <c r="D110" s="6"/>
      <c r="E110" s="8"/>
      <c r="F110" s="8"/>
      <c r="G110" s="8"/>
      <c r="H110" s="8"/>
      <c r="I110" s="8"/>
      <c r="J110" s="8"/>
      <c r="K110" s="8"/>
      <c r="L110" s="2"/>
      <c r="M110" s="8"/>
      <c r="N110" s="2"/>
      <c r="O110" s="17"/>
      <c r="P110" s="2"/>
      <c r="Q110" s="17"/>
    </row>
    <row r="111" spans="1:17" x14ac:dyDescent="0.2">
      <c r="A111" s="4">
        <v>2.2000000000000002</v>
      </c>
      <c r="B111" s="123" t="s">
        <v>51</v>
      </c>
      <c r="C111" s="124"/>
      <c r="D111" s="45">
        <f>D11</f>
        <v>1000</v>
      </c>
      <c r="E111" s="44">
        <f>E11+D11</f>
        <v>4000</v>
      </c>
      <c r="F111" s="8">
        <f>F21</f>
        <v>4000</v>
      </c>
      <c r="G111" s="17">
        <f t="shared" ref="G111:I111" si="28">G21</f>
        <v>3100</v>
      </c>
      <c r="H111" s="17">
        <f t="shared" si="28"/>
        <v>2000</v>
      </c>
      <c r="I111" s="17">
        <f t="shared" si="28"/>
        <v>1000</v>
      </c>
      <c r="J111" s="17"/>
      <c r="K111" s="8"/>
      <c r="L111" s="2"/>
      <c r="M111" s="8"/>
      <c r="N111" s="2"/>
      <c r="O111" s="17"/>
      <c r="P111" s="2"/>
      <c r="Q111" s="17"/>
    </row>
    <row r="112" spans="1:17" x14ac:dyDescent="0.2">
      <c r="A112" s="4"/>
      <c r="B112" s="123" t="s">
        <v>88</v>
      </c>
      <c r="C112" s="124"/>
      <c r="D112" s="6">
        <f>D111+D107</f>
        <v>1000</v>
      </c>
      <c r="E112" s="6">
        <f t="shared" ref="E112:P112" si="29">E111+E107</f>
        <v>4000</v>
      </c>
      <c r="F112" s="58">
        <f t="shared" si="29"/>
        <v>4353.125</v>
      </c>
      <c r="G112" s="6">
        <f t="shared" si="29"/>
        <v>3960</v>
      </c>
      <c r="H112" s="6">
        <f t="shared" si="29"/>
        <v>2860</v>
      </c>
      <c r="I112" s="6">
        <f>I111+I107</f>
        <v>1860</v>
      </c>
      <c r="J112" s="6">
        <f t="shared" si="29"/>
        <v>860</v>
      </c>
      <c r="K112" s="6">
        <f t="shared" si="29"/>
        <v>860</v>
      </c>
      <c r="L112" s="6">
        <f>L111+L107</f>
        <v>860</v>
      </c>
      <c r="M112" s="6">
        <f t="shared" si="29"/>
        <v>860</v>
      </c>
      <c r="N112" s="6">
        <f t="shared" si="29"/>
        <v>860</v>
      </c>
      <c r="O112" s="6">
        <f t="shared" si="29"/>
        <v>860</v>
      </c>
      <c r="P112" s="6">
        <f t="shared" si="29"/>
        <v>860</v>
      </c>
      <c r="Q112" s="6"/>
    </row>
    <row r="113" spans="1:18" x14ac:dyDescent="0.2">
      <c r="A113" s="4">
        <v>2.2999999999999998</v>
      </c>
      <c r="B113" s="123" t="s">
        <v>89</v>
      </c>
      <c r="C113" s="124"/>
      <c r="D113" s="6"/>
      <c r="E113" s="8"/>
      <c r="F113" s="8"/>
      <c r="G113" s="8"/>
      <c r="H113" s="8"/>
      <c r="I113" s="8"/>
      <c r="J113" s="8"/>
      <c r="K113" s="8"/>
      <c r="L113" s="2"/>
      <c r="M113" s="8"/>
      <c r="N113" s="2"/>
      <c r="O113" s="17"/>
      <c r="P113" s="2"/>
      <c r="Q113" s="17"/>
    </row>
    <row r="114" spans="1:18" x14ac:dyDescent="0.2">
      <c r="A114" s="4" t="s">
        <v>90</v>
      </c>
      <c r="B114" s="123" t="s">
        <v>91</v>
      </c>
      <c r="C114" s="124"/>
      <c r="D114" s="45">
        <f>D9</f>
        <v>1000</v>
      </c>
      <c r="E114" s="44">
        <f>E9+D9</f>
        <v>1700</v>
      </c>
      <c r="F114" s="8">
        <f>E114+F9</f>
        <v>1900</v>
      </c>
      <c r="G114" s="8">
        <f>F114+G9</f>
        <v>2110</v>
      </c>
      <c r="H114" s="17">
        <f>F114+G9</f>
        <v>2110</v>
      </c>
      <c r="I114" s="17">
        <f>H114+I9</f>
        <v>2110</v>
      </c>
      <c r="J114" s="17">
        <f t="shared" ref="J114:Q114" si="30">I114+J9</f>
        <v>2110</v>
      </c>
      <c r="K114" s="17">
        <f t="shared" si="30"/>
        <v>2110</v>
      </c>
      <c r="L114" s="17">
        <f t="shared" si="30"/>
        <v>2110</v>
      </c>
      <c r="M114" s="17">
        <f t="shared" si="30"/>
        <v>2110</v>
      </c>
      <c r="N114" s="17">
        <f t="shared" si="30"/>
        <v>2110</v>
      </c>
      <c r="O114" s="17">
        <f t="shared" si="30"/>
        <v>2110</v>
      </c>
      <c r="P114" s="17">
        <f t="shared" si="30"/>
        <v>2110</v>
      </c>
      <c r="Q114" s="17">
        <f t="shared" si="30"/>
        <v>2110</v>
      </c>
    </row>
    <row r="115" spans="1:18" x14ac:dyDescent="0.2">
      <c r="A115" s="4" t="s">
        <v>93</v>
      </c>
      <c r="B115" s="123" t="s">
        <v>92</v>
      </c>
      <c r="C115" s="124"/>
      <c r="D115" s="6"/>
      <c r="E115" s="8"/>
      <c r="F115" s="8"/>
      <c r="G115" s="8"/>
      <c r="H115" s="8"/>
      <c r="I115" s="8"/>
      <c r="J115" s="8"/>
      <c r="K115" s="8"/>
      <c r="L115" s="2"/>
      <c r="M115" s="8"/>
      <c r="N115" s="2"/>
      <c r="O115" s="8"/>
      <c r="Q115" s="28"/>
    </row>
    <row r="116" spans="1:18" x14ac:dyDescent="0.2">
      <c r="A116" s="4" t="s">
        <v>94</v>
      </c>
      <c r="B116" s="123" t="s">
        <v>95</v>
      </c>
      <c r="C116" s="124"/>
      <c r="D116" s="6"/>
      <c r="E116" s="8"/>
      <c r="F116" s="38">
        <f>D61</f>
        <v>56.844417735042754</v>
      </c>
      <c r="G116" s="38">
        <f>F116+E61</f>
        <v>148.62277863247863</v>
      </c>
      <c r="H116" s="38">
        <f t="shared" ref="H116:Q116" si="31">G116+F61</f>
        <v>259.51296111111111</v>
      </c>
      <c r="I116" s="38">
        <f t="shared" si="31"/>
        <v>374.42314358974357</v>
      </c>
      <c r="J116" s="38">
        <f t="shared" si="31"/>
        <v>493.35332606837608</v>
      </c>
      <c r="K116" s="38">
        <f t="shared" si="31"/>
        <v>613.89150854700858</v>
      </c>
      <c r="L116" s="38">
        <f t="shared" si="31"/>
        <v>734.42969102564109</v>
      </c>
      <c r="M116" s="38">
        <f t="shared" si="31"/>
        <v>854.9678735042736</v>
      </c>
      <c r="N116" s="38">
        <f t="shared" si="31"/>
        <v>975.5060559829061</v>
      </c>
      <c r="O116" s="38">
        <f t="shared" si="31"/>
        <v>1096.0442384615385</v>
      </c>
      <c r="P116" s="38">
        <f t="shared" si="31"/>
        <v>1217.8956209401708</v>
      </c>
      <c r="Q116" s="38">
        <f t="shared" si="31"/>
        <v>1339.7470034188032</v>
      </c>
    </row>
    <row r="117" spans="1:18" x14ac:dyDescent="0.2">
      <c r="A117" s="9" t="s">
        <v>96</v>
      </c>
      <c r="B117" s="136" t="s">
        <v>48</v>
      </c>
      <c r="C117" s="137"/>
      <c r="D117" s="10"/>
      <c r="E117" s="11"/>
      <c r="F117" s="39">
        <f>D64</f>
        <v>461.59975961538476</v>
      </c>
      <c r="G117" s="39">
        <f t="shared" ref="G117:Q117" si="32">E64</f>
        <v>1187.6050076923077</v>
      </c>
      <c r="H117" s="39">
        <f t="shared" si="32"/>
        <v>1985.6166499999999</v>
      </c>
      <c r="I117" s="39">
        <f t="shared" si="32"/>
        <v>2819.8082923076922</v>
      </c>
      <c r="J117" s="39">
        <f t="shared" si="32"/>
        <v>3690.1799346153844</v>
      </c>
      <c r="K117" s="39">
        <f t="shared" si="32"/>
        <v>4575.0235769230767</v>
      </c>
      <c r="L117" s="39">
        <f t="shared" si="32"/>
        <v>5459.8672192307686</v>
      </c>
      <c r="M117" s="39">
        <f t="shared" si="32"/>
        <v>6344.7108615384604</v>
      </c>
      <c r="N117" s="39">
        <f t="shared" si="32"/>
        <v>7229.5545038461523</v>
      </c>
      <c r="O117" s="39">
        <f t="shared" si="32"/>
        <v>8114.3981461538442</v>
      </c>
      <c r="P117" s="39">
        <f t="shared" si="32"/>
        <v>9011.0605884615361</v>
      </c>
      <c r="Q117" s="39">
        <f t="shared" si="32"/>
        <v>9907.723030769228</v>
      </c>
    </row>
    <row r="118" spans="1:18" x14ac:dyDescent="0.2">
      <c r="A118" s="32"/>
      <c r="B118" s="111" t="s">
        <v>97</v>
      </c>
      <c r="C118" s="112"/>
      <c r="D118" s="59">
        <f>D112/D96</f>
        <v>0.5</v>
      </c>
      <c r="E118" s="60">
        <f>E112/E96</f>
        <v>0.70175438596491224</v>
      </c>
      <c r="F118" s="61">
        <f>F112/F96</f>
        <v>0.64285344892080343</v>
      </c>
      <c r="G118" s="60">
        <f t="shared" ref="G118:P118" si="33">G112/G96</f>
        <v>0.53468482651383853</v>
      </c>
      <c r="H118" s="59">
        <f t="shared" si="33"/>
        <v>0.39638902228476297</v>
      </c>
      <c r="I118" s="59">
        <f t="shared" si="33"/>
        <v>0.25962329311553545</v>
      </c>
      <c r="J118" s="59">
        <f t="shared" si="33"/>
        <v>0.12022039717946938</v>
      </c>
      <c r="K118" s="59">
        <f t="shared" si="33"/>
        <v>0.10540610546271595</v>
      </c>
      <c r="L118" s="59">
        <f t="shared" si="33"/>
        <v>9.3842388166901256E-2</v>
      </c>
      <c r="M118" s="59">
        <f t="shared" si="33"/>
        <v>8.4565064994698638E-2</v>
      </c>
      <c r="N118" s="59">
        <f t="shared" si="33"/>
        <v>7.6957107936770727E-2</v>
      </c>
      <c r="O118" s="59">
        <f t="shared" si="33"/>
        <v>7.0605013773598305E-2</v>
      </c>
      <c r="P118" s="59">
        <f t="shared" si="33"/>
        <v>6.5156628537744135E-2</v>
      </c>
      <c r="Q118" s="60"/>
    </row>
    <row r="119" spans="1:18" x14ac:dyDescent="0.2">
      <c r="A119" s="30"/>
      <c r="B119" s="113" t="s">
        <v>98</v>
      </c>
      <c r="C119" s="114"/>
      <c r="D119" s="62"/>
      <c r="E119" s="63"/>
      <c r="F119" s="63">
        <f>F97/F107</f>
        <v>2.2219823311398534</v>
      </c>
      <c r="G119" s="63">
        <f t="shared" ref="G119:P119" si="34">G97/G107</f>
        <v>1.5707261081295958</v>
      </c>
      <c r="H119" s="63">
        <f t="shared" si="34"/>
        <v>1.7489879198966403</v>
      </c>
      <c r="I119" s="63">
        <f t="shared" si="34"/>
        <v>2.0087555456171735</v>
      </c>
      <c r="J119" s="63">
        <f t="shared" si="34"/>
        <v>2.2919010783144502</v>
      </c>
      <c r="K119" s="63">
        <f t="shared" si="34"/>
        <v>3.1309128900814946</v>
      </c>
      <c r="L119" s="63">
        <f t="shared" si="34"/>
        <v>3.9699188878950502</v>
      </c>
      <c r="M119" s="63">
        <f t="shared" si="34"/>
        <v>4.8089248857086053</v>
      </c>
      <c r="N119" s="63">
        <f t="shared" si="34"/>
        <v>5.6479250695686734</v>
      </c>
      <c r="O119" s="63">
        <f t="shared" si="34"/>
        <v>6.4869310673822298</v>
      </c>
      <c r="P119" s="63">
        <f t="shared" si="34"/>
        <v>7.3050905535678785</v>
      </c>
      <c r="Q119" s="63"/>
    </row>
    <row r="120" spans="1:18" x14ac:dyDescent="0.2">
      <c r="A120" s="31"/>
      <c r="B120" s="115" t="s">
        <v>99</v>
      </c>
      <c r="C120" s="116"/>
      <c r="D120" s="64"/>
      <c r="E120" s="65"/>
      <c r="F120" s="65">
        <f>(F97-F101)/F107</f>
        <v>2.2219823311398534</v>
      </c>
      <c r="G120" s="65">
        <f t="shared" ref="G120:P120" si="35">(G97-G101)/G107</f>
        <v>1.5707261081295958</v>
      </c>
      <c r="H120" s="65">
        <f t="shared" si="35"/>
        <v>1.7489879198966403</v>
      </c>
      <c r="I120" s="65">
        <f t="shared" si="35"/>
        <v>2.0087555456171735</v>
      </c>
      <c r="J120" s="65">
        <f t="shared" si="35"/>
        <v>2.2919010783144502</v>
      </c>
      <c r="K120" s="65">
        <f t="shared" si="35"/>
        <v>3.1309128900814946</v>
      </c>
      <c r="L120" s="65">
        <f t="shared" si="35"/>
        <v>3.9699188878950502</v>
      </c>
      <c r="M120" s="65">
        <f t="shared" si="35"/>
        <v>4.8089248857086053</v>
      </c>
      <c r="N120" s="65">
        <f t="shared" si="35"/>
        <v>5.6479250695686734</v>
      </c>
      <c r="O120" s="65">
        <f t="shared" si="35"/>
        <v>6.4869310673822298</v>
      </c>
      <c r="P120" s="65">
        <f t="shared" si="35"/>
        <v>7.3050905535678785</v>
      </c>
      <c r="Q120" s="65"/>
    </row>
    <row r="121" spans="1:1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8" ht="23.25" x14ac:dyDescent="0.2">
      <c r="A123" s="133" t="s">
        <v>100</v>
      </c>
      <c r="B123" s="131"/>
      <c r="C123" s="131"/>
      <c r="D123" s="131"/>
      <c r="E123" s="131"/>
      <c r="F123" s="131"/>
      <c r="G123" s="131"/>
      <c r="H123" s="131"/>
      <c r="I123" s="131"/>
      <c r="J123" s="131"/>
      <c r="K123" s="131"/>
      <c r="L123" s="131"/>
      <c r="M123" s="131"/>
      <c r="N123" s="131"/>
      <c r="O123" s="131"/>
      <c r="P123" s="131"/>
      <c r="Q123" s="131"/>
    </row>
    <row r="124" spans="1:18" x14ac:dyDescent="0.2">
      <c r="A124" s="108" t="s">
        <v>15</v>
      </c>
      <c r="B124" s="109" t="s">
        <v>133</v>
      </c>
      <c r="C124" s="109"/>
      <c r="D124" s="108" t="s">
        <v>16</v>
      </c>
      <c r="E124" s="108"/>
      <c r="F124" s="108" t="s">
        <v>17</v>
      </c>
      <c r="G124" s="108"/>
      <c r="H124" s="108" t="s">
        <v>18</v>
      </c>
      <c r="I124" s="108"/>
      <c r="J124" s="108"/>
      <c r="K124" s="108"/>
      <c r="L124" s="108"/>
      <c r="M124" s="108"/>
      <c r="N124" s="108"/>
      <c r="O124" s="108"/>
      <c r="P124" s="108"/>
      <c r="Q124" s="108"/>
    </row>
    <row r="125" spans="1:18" x14ac:dyDescent="0.2">
      <c r="A125" s="108"/>
      <c r="B125" s="109"/>
      <c r="C125" s="109"/>
      <c r="D125" s="13">
        <v>1</v>
      </c>
      <c r="E125" s="13">
        <v>2</v>
      </c>
      <c r="F125" s="13">
        <v>3</v>
      </c>
      <c r="G125" s="13">
        <v>4</v>
      </c>
      <c r="H125" s="13">
        <v>5</v>
      </c>
      <c r="I125" s="13">
        <v>6</v>
      </c>
      <c r="J125" s="13">
        <v>7</v>
      </c>
      <c r="K125" s="13">
        <v>8</v>
      </c>
      <c r="L125" s="13">
        <v>9</v>
      </c>
      <c r="M125" s="13">
        <v>10</v>
      </c>
      <c r="N125" s="13">
        <v>11</v>
      </c>
      <c r="O125" s="13">
        <v>12</v>
      </c>
      <c r="P125" s="13">
        <v>13</v>
      </c>
      <c r="Q125" s="13">
        <v>14</v>
      </c>
    </row>
    <row r="126" spans="1:18" x14ac:dyDescent="0.2">
      <c r="A126" s="4">
        <v>1</v>
      </c>
      <c r="B126" s="138" t="s">
        <v>101</v>
      </c>
      <c r="C126" s="13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x14ac:dyDescent="0.2">
      <c r="A127" s="8">
        <v>1.1000000000000001</v>
      </c>
      <c r="B127" s="140" t="s">
        <v>40</v>
      </c>
      <c r="C127" s="114"/>
      <c r="D127" s="8"/>
      <c r="E127" s="8"/>
      <c r="F127" s="8">
        <f>D55</f>
        <v>5600</v>
      </c>
      <c r="G127" s="54">
        <f t="shared" ref="G127:Q127" si="36">E55</f>
        <v>7200</v>
      </c>
      <c r="H127" s="54">
        <f t="shared" si="36"/>
        <v>8000</v>
      </c>
      <c r="I127" s="54">
        <f t="shared" si="36"/>
        <v>8000</v>
      </c>
      <c r="J127" s="54">
        <f t="shared" si="36"/>
        <v>8000</v>
      </c>
      <c r="K127" s="54">
        <f t="shared" si="36"/>
        <v>8000</v>
      </c>
      <c r="L127" s="54">
        <f t="shared" si="36"/>
        <v>8000</v>
      </c>
      <c r="M127" s="54">
        <f t="shared" si="36"/>
        <v>8000</v>
      </c>
      <c r="N127" s="54">
        <f t="shared" si="36"/>
        <v>8000</v>
      </c>
      <c r="O127" s="54">
        <f t="shared" si="36"/>
        <v>8000</v>
      </c>
      <c r="P127" s="54">
        <f t="shared" si="36"/>
        <v>8000</v>
      </c>
      <c r="Q127" s="54">
        <f t="shared" si="36"/>
        <v>8000</v>
      </c>
    </row>
    <row r="128" spans="1:18" x14ac:dyDescent="0.2">
      <c r="A128" s="8">
        <v>1.2</v>
      </c>
      <c r="B128" s="113" t="s">
        <v>102</v>
      </c>
      <c r="C128" s="114"/>
      <c r="D128" s="8"/>
      <c r="E128" s="8"/>
      <c r="F128" s="8"/>
      <c r="G128" s="8"/>
      <c r="H128" s="8"/>
      <c r="I128" s="22"/>
      <c r="J128" s="8"/>
      <c r="K128" s="8"/>
      <c r="L128" s="8"/>
      <c r="M128" s="8"/>
      <c r="N128" s="8"/>
      <c r="O128" s="8"/>
      <c r="P128" s="28"/>
      <c r="Q128" s="6">
        <f>Q78</f>
        <v>245.5</v>
      </c>
    </row>
    <row r="129" spans="1:18" x14ac:dyDescent="0.2">
      <c r="A129" s="11">
        <v>1.3</v>
      </c>
      <c r="B129" s="115" t="s">
        <v>55</v>
      </c>
      <c r="C129" s="116"/>
      <c r="D129" s="11"/>
      <c r="E129" s="11"/>
      <c r="F129" s="11"/>
      <c r="G129" s="11"/>
      <c r="H129" s="11"/>
      <c r="I129" s="23"/>
      <c r="J129" s="11"/>
      <c r="K129" s="11"/>
      <c r="L129" s="11"/>
      <c r="M129" s="11"/>
      <c r="N129" s="11"/>
      <c r="O129" s="11"/>
      <c r="P129" s="29"/>
      <c r="Q129" s="10">
        <f>Q79</f>
        <v>1150</v>
      </c>
    </row>
    <row r="130" spans="1:18" x14ac:dyDescent="0.2">
      <c r="A130" s="8">
        <v>2</v>
      </c>
      <c r="B130" s="113" t="s">
        <v>103</v>
      </c>
      <c r="C130" s="114"/>
      <c r="D130" s="8"/>
      <c r="E130" s="8"/>
      <c r="F130" s="8"/>
      <c r="G130" s="8"/>
      <c r="H130" s="8"/>
      <c r="I130" s="22"/>
      <c r="J130" s="8"/>
      <c r="K130" s="8"/>
      <c r="L130" s="8"/>
      <c r="M130" s="8"/>
      <c r="N130" s="8"/>
      <c r="O130" s="8"/>
      <c r="P130" s="28"/>
      <c r="Q130" s="26"/>
    </row>
    <row r="131" spans="1:18" x14ac:dyDescent="0.2">
      <c r="A131" s="8">
        <v>2.1</v>
      </c>
      <c r="B131" s="113" t="s">
        <v>119</v>
      </c>
      <c r="C131" s="114"/>
      <c r="D131" s="8">
        <f>D5</f>
        <v>2000</v>
      </c>
      <c r="E131" s="54">
        <f>E5</f>
        <v>3700</v>
      </c>
      <c r="F131" s="8"/>
      <c r="G131" s="8"/>
      <c r="H131" s="8"/>
      <c r="I131" s="22"/>
      <c r="J131" s="8"/>
      <c r="K131" s="8"/>
      <c r="L131" s="8"/>
      <c r="M131" s="8"/>
      <c r="N131" s="8"/>
      <c r="O131" s="8"/>
      <c r="P131" s="28"/>
      <c r="Q131" s="26"/>
    </row>
    <row r="132" spans="1:18" x14ac:dyDescent="0.2">
      <c r="A132" s="8">
        <v>2.2000000000000002</v>
      </c>
      <c r="B132" s="113" t="s">
        <v>104</v>
      </c>
      <c r="C132" s="114"/>
      <c r="D132" s="8"/>
      <c r="E132" s="8"/>
      <c r="F132" s="38">
        <f>F7</f>
        <v>503.125</v>
      </c>
      <c r="G132" s="38">
        <f>G7</f>
        <v>646.875</v>
      </c>
      <c r="H132" s="8"/>
      <c r="I132" s="22"/>
      <c r="J132" s="8"/>
      <c r="K132" s="8"/>
      <c r="L132" s="8"/>
      <c r="M132" s="8"/>
      <c r="N132" s="8"/>
      <c r="O132" s="8"/>
      <c r="P132" s="28"/>
      <c r="Q132" s="26"/>
    </row>
    <row r="133" spans="1:18" x14ac:dyDescent="0.2">
      <c r="A133" s="8">
        <v>2.2999999999999998</v>
      </c>
      <c r="B133" s="113" t="s">
        <v>39</v>
      </c>
      <c r="C133" s="114"/>
      <c r="D133" s="8"/>
      <c r="E133" s="8"/>
      <c r="F133" s="38">
        <f>D49</f>
        <v>3920.375</v>
      </c>
      <c r="G133" s="38">
        <f t="shared" ref="G133:Q133" si="37">E49</f>
        <v>5024.375</v>
      </c>
      <c r="H133" s="38">
        <f t="shared" si="37"/>
        <v>5581.375</v>
      </c>
      <c r="I133" s="38">
        <f t="shared" si="37"/>
        <v>5581.375</v>
      </c>
      <c r="J133" s="38">
        <f t="shared" si="37"/>
        <v>5581.375</v>
      </c>
      <c r="K133" s="38">
        <f t="shared" si="37"/>
        <v>5617.375</v>
      </c>
      <c r="L133" s="38">
        <f t="shared" si="37"/>
        <v>5617.375</v>
      </c>
      <c r="M133" s="38">
        <f t="shared" si="37"/>
        <v>5617.375</v>
      </c>
      <c r="N133" s="38">
        <f t="shared" si="37"/>
        <v>5617.375</v>
      </c>
      <c r="O133" s="38">
        <f t="shared" si="37"/>
        <v>5617.375</v>
      </c>
      <c r="P133" s="38">
        <f t="shared" si="37"/>
        <v>5646.7750000000005</v>
      </c>
      <c r="Q133" s="38">
        <f t="shared" si="37"/>
        <v>5646.7750000000005</v>
      </c>
    </row>
    <row r="134" spans="1:18" x14ac:dyDescent="0.2">
      <c r="A134" s="8">
        <v>2.4</v>
      </c>
      <c r="B134" s="113" t="s">
        <v>41</v>
      </c>
      <c r="C134" s="114"/>
      <c r="D134" s="8"/>
      <c r="E134" s="8"/>
      <c r="F134" s="34">
        <f>D56</f>
        <v>81.367521367521391</v>
      </c>
      <c r="G134" s="34">
        <f t="shared" ref="G134:Q134" si="38">E56</f>
        <v>104.61538461538463</v>
      </c>
      <c r="H134" s="34">
        <f t="shared" si="38"/>
        <v>116.23931623931627</v>
      </c>
      <c r="I134" s="34">
        <f t="shared" si="38"/>
        <v>116.23931623931627</v>
      </c>
      <c r="J134" s="34">
        <f t="shared" si="38"/>
        <v>116.23931623931627</v>
      </c>
      <c r="K134" s="34">
        <f t="shared" si="38"/>
        <v>116.23931623931627</v>
      </c>
      <c r="L134" s="34">
        <f t="shared" si="38"/>
        <v>116.23931623931627</v>
      </c>
      <c r="M134" s="34">
        <f t="shared" si="38"/>
        <v>116.23931623931627</v>
      </c>
      <c r="N134" s="34">
        <f t="shared" si="38"/>
        <v>116.23931623931627</v>
      </c>
      <c r="O134" s="34">
        <f t="shared" si="38"/>
        <v>116.23931623931627</v>
      </c>
      <c r="P134" s="34">
        <f t="shared" si="38"/>
        <v>116.23931623931627</v>
      </c>
      <c r="Q134" s="34">
        <f t="shared" si="38"/>
        <v>116.23931623931627</v>
      </c>
    </row>
    <row r="135" spans="1:18" x14ac:dyDescent="0.2">
      <c r="A135" s="8">
        <v>2.5</v>
      </c>
      <c r="B135" s="113" t="s">
        <v>43</v>
      </c>
      <c r="C135" s="114"/>
      <c r="D135" s="8"/>
      <c r="E135" s="8"/>
      <c r="F135" s="38">
        <f>D59</f>
        <v>279.97996794871801</v>
      </c>
      <c r="G135" s="38">
        <f t="shared" ref="G135:Q135" si="39">E59</f>
        <v>452.04267307692305</v>
      </c>
      <c r="H135" s="38">
        <f t="shared" si="39"/>
        <v>546.17552564102562</v>
      </c>
      <c r="I135" s="38">
        <f t="shared" si="39"/>
        <v>565.97552564102557</v>
      </c>
      <c r="J135" s="39">
        <f t="shared" si="39"/>
        <v>585.77552564102564</v>
      </c>
      <c r="K135" s="39">
        <f t="shared" si="39"/>
        <v>593.6955256410256</v>
      </c>
      <c r="L135" s="39">
        <f t="shared" si="39"/>
        <v>593.6955256410256</v>
      </c>
      <c r="M135" s="39">
        <f t="shared" si="39"/>
        <v>593.6955256410256</v>
      </c>
      <c r="N135" s="39">
        <f t="shared" si="39"/>
        <v>593.6955256410256</v>
      </c>
      <c r="O135" s="39">
        <f t="shared" si="39"/>
        <v>593.6955256410256</v>
      </c>
      <c r="P135" s="39">
        <f t="shared" si="39"/>
        <v>600.16352564102544</v>
      </c>
      <c r="Q135" s="39">
        <f t="shared" si="39"/>
        <v>600.16352564102544</v>
      </c>
    </row>
    <row r="136" spans="1:18" x14ac:dyDescent="0.2">
      <c r="A136" s="3">
        <v>3</v>
      </c>
      <c r="B136" s="121" t="s">
        <v>105</v>
      </c>
      <c r="C136" s="127"/>
      <c r="D136" s="46">
        <f>SUM(D127:D129)-SUM(D131:D134)</f>
        <v>-2000</v>
      </c>
      <c r="E136" s="46">
        <f t="shared" ref="E136:Q136" si="40">SUM(E127:E129)-SUM(E131:E134)</f>
        <v>-3700</v>
      </c>
      <c r="F136" s="67">
        <f t="shared" si="40"/>
        <v>1095.1324786324785</v>
      </c>
      <c r="G136" s="67">
        <f t="shared" si="40"/>
        <v>1424.1346153846152</v>
      </c>
      <c r="H136" s="67">
        <f t="shared" si="40"/>
        <v>2302.3856837606836</v>
      </c>
      <c r="I136" s="67">
        <f t="shared" si="40"/>
        <v>2302.3856837606836</v>
      </c>
      <c r="J136" s="67">
        <f t="shared" si="40"/>
        <v>2302.3856837606836</v>
      </c>
      <c r="K136" s="67">
        <f t="shared" si="40"/>
        <v>2266.3856837606836</v>
      </c>
      <c r="L136" s="67">
        <f t="shared" si="40"/>
        <v>2266.3856837606836</v>
      </c>
      <c r="M136" s="67">
        <f t="shared" si="40"/>
        <v>2266.3856837606836</v>
      </c>
      <c r="N136" s="67">
        <f t="shared" si="40"/>
        <v>2266.3856837606836</v>
      </c>
      <c r="O136" s="67">
        <f t="shared" si="40"/>
        <v>2266.3856837606836</v>
      </c>
      <c r="P136" s="67">
        <f t="shared" si="40"/>
        <v>2236.9856837606831</v>
      </c>
      <c r="Q136" s="67">
        <f t="shared" si="40"/>
        <v>3632.4856837606831</v>
      </c>
    </row>
    <row r="137" spans="1:18" x14ac:dyDescent="0.2">
      <c r="A137" s="4">
        <v>4</v>
      </c>
      <c r="B137" s="123" t="s">
        <v>106</v>
      </c>
      <c r="C137" s="124"/>
      <c r="D137" s="45">
        <f>SUM(D127:D129)-SUM(D131:D135)</f>
        <v>-2000</v>
      </c>
      <c r="E137" s="45">
        <f t="shared" ref="E137:Q137" si="41">SUM(E127:E129)-SUM(E131:E135)</f>
        <v>-3700</v>
      </c>
      <c r="F137" s="58">
        <f t="shared" si="41"/>
        <v>815.15251068376074</v>
      </c>
      <c r="G137" s="58">
        <f t="shared" si="41"/>
        <v>972.09194230769208</v>
      </c>
      <c r="H137" s="58">
        <f t="shared" si="41"/>
        <v>1756.2101581196584</v>
      </c>
      <c r="I137" s="58">
        <f t="shared" si="41"/>
        <v>1736.4101581196583</v>
      </c>
      <c r="J137" s="58">
        <f t="shared" si="41"/>
        <v>1716.6101581196581</v>
      </c>
      <c r="K137" s="58">
        <f t="shared" si="41"/>
        <v>1672.690158119658</v>
      </c>
      <c r="L137" s="58">
        <f t="shared" si="41"/>
        <v>1672.690158119658</v>
      </c>
      <c r="M137" s="58">
        <f t="shared" si="41"/>
        <v>1672.690158119658</v>
      </c>
      <c r="N137" s="58">
        <f t="shared" si="41"/>
        <v>1672.690158119658</v>
      </c>
      <c r="O137" s="58">
        <f t="shared" si="41"/>
        <v>1672.690158119658</v>
      </c>
      <c r="P137" s="58">
        <f t="shared" si="41"/>
        <v>1636.8221581196576</v>
      </c>
      <c r="Q137" s="58">
        <f t="shared" si="41"/>
        <v>3032.3221581196576</v>
      </c>
    </row>
    <row r="138" spans="1:18" x14ac:dyDescent="0.2">
      <c r="A138" s="8">
        <v>5</v>
      </c>
      <c r="B138" s="141" t="s">
        <v>109</v>
      </c>
      <c r="C138" s="124"/>
      <c r="D138" s="45">
        <f>D137</f>
        <v>-2000</v>
      </c>
      <c r="E138" s="44">
        <f>D138+E137</f>
        <v>-5700</v>
      </c>
      <c r="F138" s="34">
        <f t="shared" ref="F138:Q138" si="42">E138+F137</f>
        <v>-4884.8474893162393</v>
      </c>
      <c r="G138" s="34">
        <f t="shared" si="42"/>
        <v>-3912.7555470085472</v>
      </c>
      <c r="H138" s="34">
        <f t="shared" si="42"/>
        <v>-2156.5453888888887</v>
      </c>
      <c r="I138" s="34">
        <f t="shared" si="42"/>
        <v>-420.13523076923047</v>
      </c>
      <c r="J138" s="34">
        <f t="shared" si="42"/>
        <v>1296.4749273504276</v>
      </c>
      <c r="K138" s="34">
        <f t="shared" si="42"/>
        <v>2969.1650854700856</v>
      </c>
      <c r="L138" s="34">
        <f t="shared" si="42"/>
        <v>4641.8552435897436</v>
      </c>
      <c r="M138" s="34">
        <f t="shared" si="42"/>
        <v>6314.5454017094016</v>
      </c>
      <c r="N138" s="34">
        <f t="shared" si="42"/>
        <v>7987.2355598290596</v>
      </c>
      <c r="O138" s="34">
        <f t="shared" si="42"/>
        <v>9659.9257179487176</v>
      </c>
      <c r="P138" s="34">
        <f t="shared" si="42"/>
        <v>11296.747876068375</v>
      </c>
      <c r="Q138" s="34">
        <f t="shared" si="42"/>
        <v>14329.070034188033</v>
      </c>
    </row>
    <row r="139" spans="1:18" x14ac:dyDescent="0.2">
      <c r="A139" s="4">
        <v>6</v>
      </c>
      <c r="B139" s="123" t="s">
        <v>108</v>
      </c>
      <c r="C139" s="124"/>
      <c r="D139" s="70">
        <f>1/(1+0.15)^D125</f>
        <v>0.86956521739130443</v>
      </c>
      <c r="E139" s="70">
        <f t="shared" ref="E139:Q139" si="43">1/(1+0.15)^E125</f>
        <v>0.7561436672967865</v>
      </c>
      <c r="F139" s="70">
        <f t="shared" si="43"/>
        <v>0.65751623243198831</v>
      </c>
      <c r="G139" s="70">
        <f t="shared" si="43"/>
        <v>0.57175324559303342</v>
      </c>
      <c r="H139" s="70">
        <f t="shared" si="43"/>
        <v>0.49717673529828987</v>
      </c>
      <c r="I139" s="70">
        <f t="shared" si="43"/>
        <v>0.43232759591155645</v>
      </c>
      <c r="J139" s="70">
        <f t="shared" si="43"/>
        <v>0.37593703992309269</v>
      </c>
      <c r="K139" s="70">
        <f t="shared" si="43"/>
        <v>0.32690177384616753</v>
      </c>
      <c r="L139" s="70">
        <f t="shared" si="43"/>
        <v>0.28426241204014574</v>
      </c>
      <c r="M139" s="70">
        <f t="shared" si="43"/>
        <v>0.24718470612186585</v>
      </c>
      <c r="N139" s="70">
        <f t="shared" si="43"/>
        <v>0.21494322271466598</v>
      </c>
      <c r="O139" s="70">
        <f t="shared" si="43"/>
        <v>0.18690715018666609</v>
      </c>
      <c r="P139" s="70">
        <f t="shared" si="43"/>
        <v>0.16252795668405748</v>
      </c>
      <c r="Q139" s="71">
        <f t="shared" si="43"/>
        <v>0.14132865798613695</v>
      </c>
      <c r="R139" s="72"/>
    </row>
    <row r="140" spans="1:18" x14ac:dyDescent="0.2">
      <c r="A140" s="4">
        <v>7</v>
      </c>
      <c r="B140" s="123" t="s">
        <v>110</v>
      </c>
      <c r="C140" s="124"/>
      <c r="D140" s="58">
        <f>D137*D139</f>
        <v>-1739.130434782609</v>
      </c>
      <c r="E140" s="58">
        <f t="shared" ref="E140:Q140" si="44">E137*E139</f>
        <v>-2797.7315689981101</v>
      </c>
      <c r="F140" s="58">
        <f t="shared" si="44"/>
        <v>535.97600768226243</v>
      </c>
      <c r="G140" s="58">
        <f t="shared" si="44"/>
        <v>555.79672302925871</v>
      </c>
      <c r="H140" s="58">
        <f t="shared" si="44"/>
        <v>873.14683291162521</v>
      </c>
      <c r="I140" s="58">
        <f t="shared" si="44"/>
        <v>750.69802917627749</v>
      </c>
      <c r="J140" s="58">
        <f t="shared" si="44"/>
        <v>645.33734154541639</v>
      </c>
      <c r="K140" s="58">
        <f t="shared" si="44"/>
        <v>546.80537978434268</v>
      </c>
      <c r="L140" s="58">
        <f t="shared" si="44"/>
        <v>475.48293894290674</v>
      </c>
      <c r="M140" s="58">
        <f t="shared" si="44"/>
        <v>413.46342516774502</v>
      </c>
      <c r="N140" s="58">
        <f t="shared" si="44"/>
        <v>359.53341318934349</v>
      </c>
      <c r="O140" s="58">
        <f t="shared" si="44"/>
        <v>312.63775059942918</v>
      </c>
      <c r="P140" s="58">
        <f t="shared" si="44"/>
        <v>266.02936081437718</v>
      </c>
      <c r="Q140" s="58">
        <f t="shared" si="44"/>
        <v>428.55402118867778</v>
      </c>
    </row>
    <row r="141" spans="1:18" x14ac:dyDescent="0.2">
      <c r="A141" s="9">
        <v>8</v>
      </c>
      <c r="B141" s="136" t="s">
        <v>111</v>
      </c>
      <c r="C141" s="137"/>
      <c r="D141" s="68">
        <f>D138*D139</f>
        <v>-1739.130434782609</v>
      </c>
      <c r="E141" s="68">
        <f t="shared" ref="E141:Q141" si="45">E138*E139</f>
        <v>-4310.0189035916828</v>
      </c>
      <c r="F141" s="68">
        <f t="shared" si="45"/>
        <v>-3211.8665171800708</v>
      </c>
      <c r="G141" s="68">
        <f t="shared" si="45"/>
        <v>-2237.1306832142818</v>
      </c>
      <c r="H141" s="68">
        <f t="shared" si="45"/>
        <v>-1072.1841959703586</v>
      </c>
      <c r="I141" s="68">
        <f t="shared" si="45"/>
        <v>-181.6360542762084</v>
      </c>
      <c r="J141" s="68">
        <f t="shared" si="45"/>
        <v>487.3929465226264</v>
      </c>
      <c r="K141" s="68">
        <f t="shared" si="45"/>
        <v>970.62533328227858</v>
      </c>
      <c r="L141" s="68">
        <f t="shared" si="45"/>
        <v>1319.5049678840187</v>
      </c>
      <c r="M141" s="68">
        <f t="shared" si="45"/>
        <v>1560.8590494147179</v>
      </c>
      <c r="N141" s="68">
        <f t="shared" si="45"/>
        <v>1716.8021518108374</v>
      </c>
      <c r="O141" s="68">
        <f t="shared" si="45"/>
        <v>1805.5091869566793</v>
      </c>
      <c r="P141" s="68">
        <f t="shared" si="45"/>
        <v>1836.0373494723592</v>
      </c>
      <c r="Q141" s="68">
        <f t="shared" si="45"/>
        <v>2025.108238121164</v>
      </c>
    </row>
    <row r="142" spans="1:18" x14ac:dyDescent="0.2">
      <c r="A142" s="14"/>
      <c r="B142" s="141"/>
      <c r="C142" s="141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25"/>
      <c r="Q142" s="25"/>
    </row>
    <row r="143" spans="1:18" x14ac:dyDescent="0.2">
      <c r="A143" s="14"/>
      <c r="B143" s="141"/>
      <c r="C143" s="141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25"/>
      <c r="Q143" s="25"/>
    </row>
    <row r="144" spans="1:18" ht="23.25" x14ac:dyDescent="0.2">
      <c r="A144" s="133" t="s">
        <v>112</v>
      </c>
      <c r="B144" s="131"/>
      <c r="C144" s="131"/>
      <c r="D144" s="131"/>
      <c r="E144" s="131"/>
      <c r="F144" s="131"/>
      <c r="G144" s="131"/>
      <c r="H144" s="131"/>
      <c r="I144" s="131"/>
      <c r="J144" s="131"/>
      <c r="K144" s="131"/>
      <c r="L144" s="131"/>
      <c r="M144" s="131"/>
      <c r="N144" s="131"/>
      <c r="O144" s="131"/>
      <c r="P144" s="131"/>
      <c r="Q144" s="131"/>
    </row>
    <row r="145" spans="1:19" x14ac:dyDescent="0.2">
      <c r="A145" s="108" t="s">
        <v>15</v>
      </c>
      <c r="B145" s="109" t="s">
        <v>133</v>
      </c>
      <c r="C145" s="109"/>
      <c r="D145" s="108" t="s">
        <v>16</v>
      </c>
      <c r="E145" s="108"/>
      <c r="F145" s="108" t="s">
        <v>17</v>
      </c>
      <c r="G145" s="108"/>
      <c r="H145" s="108" t="s">
        <v>18</v>
      </c>
      <c r="I145" s="108"/>
      <c r="J145" s="108"/>
      <c r="K145" s="108"/>
      <c r="L145" s="108"/>
      <c r="M145" s="108"/>
      <c r="N145" s="108"/>
      <c r="O145" s="108"/>
      <c r="P145" s="108"/>
      <c r="Q145" s="108"/>
    </row>
    <row r="146" spans="1:19" x14ac:dyDescent="0.2">
      <c r="A146" s="108"/>
      <c r="B146" s="109"/>
      <c r="C146" s="109"/>
      <c r="D146" s="13">
        <v>1</v>
      </c>
      <c r="E146" s="13">
        <v>2</v>
      </c>
      <c r="F146" s="13">
        <v>3</v>
      </c>
      <c r="G146" s="13">
        <v>4</v>
      </c>
      <c r="H146" s="13">
        <v>5</v>
      </c>
      <c r="I146" s="13">
        <v>6</v>
      </c>
      <c r="J146" s="13">
        <v>7</v>
      </c>
      <c r="K146" s="13">
        <v>8</v>
      </c>
      <c r="L146" s="13">
        <v>9</v>
      </c>
      <c r="M146" s="13">
        <v>10</v>
      </c>
      <c r="N146" s="13">
        <v>11</v>
      </c>
      <c r="O146" s="13">
        <v>12</v>
      </c>
      <c r="P146" s="13">
        <v>13</v>
      </c>
      <c r="Q146" s="13">
        <v>14</v>
      </c>
    </row>
    <row r="147" spans="1:19" x14ac:dyDescent="0.2">
      <c r="A147" s="4">
        <v>1</v>
      </c>
      <c r="B147" s="138" t="s">
        <v>101</v>
      </c>
      <c r="C147" s="13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7"/>
    </row>
    <row r="148" spans="1:19" x14ac:dyDescent="0.2">
      <c r="A148" s="8">
        <v>1.1000000000000001</v>
      </c>
      <c r="B148" s="140" t="s">
        <v>40</v>
      </c>
      <c r="C148" s="114"/>
      <c r="D148" s="8"/>
      <c r="E148" s="8"/>
      <c r="F148" s="8">
        <f>D55</f>
        <v>5600</v>
      </c>
      <c r="G148" s="54">
        <f t="shared" ref="G148:Q148" si="46">E55</f>
        <v>7200</v>
      </c>
      <c r="H148" s="54">
        <f t="shared" si="46"/>
        <v>8000</v>
      </c>
      <c r="I148" s="54">
        <f t="shared" si="46"/>
        <v>8000</v>
      </c>
      <c r="J148" s="54">
        <f t="shared" si="46"/>
        <v>8000</v>
      </c>
      <c r="K148" s="54">
        <f t="shared" si="46"/>
        <v>8000</v>
      </c>
      <c r="L148" s="54">
        <f t="shared" si="46"/>
        <v>8000</v>
      </c>
      <c r="M148" s="54">
        <f t="shared" si="46"/>
        <v>8000</v>
      </c>
      <c r="N148" s="54">
        <f t="shared" si="46"/>
        <v>8000</v>
      </c>
      <c r="O148" s="54">
        <f t="shared" si="46"/>
        <v>8000</v>
      </c>
      <c r="P148" s="54">
        <f t="shared" si="46"/>
        <v>8000</v>
      </c>
      <c r="Q148" s="54">
        <f t="shared" si="46"/>
        <v>8000</v>
      </c>
    </row>
    <row r="149" spans="1:19" x14ac:dyDescent="0.2">
      <c r="A149" s="8">
        <v>1.2</v>
      </c>
      <c r="B149" s="113" t="s">
        <v>102</v>
      </c>
      <c r="C149" s="114"/>
      <c r="D149" s="8"/>
      <c r="E149" s="8"/>
      <c r="F149" s="8"/>
      <c r="G149" s="8"/>
      <c r="H149" s="8"/>
      <c r="I149" s="22"/>
      <c r="J149" s="8"/>
      <c r="K149" s="8"/>
      <c r="L149" s="8"/>
      <c r="M149" s="8"/>
      <c r="N149" s="8"/>
      <c r="O149" s="8"/>
      <c r="P149" s="28"/>
      <c r="Q149" s="6">
        <f>Q78</f>
        <v>245.5</v>
      </c>
    </row>
    <row r="150" spans="1:19" x14ac:dyDescent="0.2">
      <c r="A150" s="11">
        <v>1.3</v>
      </c>
      <c r="B150" s="115" t="s">
        <v>55</v>
      </c>
      <c r="C150" s="116"/>
      <c r="D150" s="11"/>
      <c r="E150" s="11"/>
      <c r="F150" s="11"/>
      <c r="G150" s="11"/>
      <c r="H150" s="11"/>
      <c r="I150" s="23"/>
      <c r="J150" s="11"/>
      <c r="K150" s="11"/>
      <c r="L150" s="11"/>
      <c r="M150" s="11"/>
      <c r="N150" s="11"/>
      <c r="O150" s="11"/>
      <c r="P150" s="29"/>
      <c r="Q150" s="10">
        <f>Q79</f>
        <v>1150</v>
      </c>
    </row>
    <row r="151" spans="1:19" x14ac:dyDescent="0.2">
      <c r="A151" s="8">
        <v>2</v>
      </c>
      <c r="B151" s="113" t="s">
        <v>103</v>
      </c>
      <c r="C151" s="114"/>
      <c r="D151" s="8"/>
      <c r="E151" s="8"/>
      <c r="F151" s="8"/>
      <c r="G151" s="8"/>
      <c r="H151" s="8"/>
      <c r="I151" s="22"/>
      <c r="J151" s="8"/>
      <c r="K151" s="8"/>
      <c r="L151" s="8"/>
      <c r="M151" s="8"/>
      <c r="N151" s="8"/>
      <c r="O151" s="8"/>
      <c r="P151" s="28"/>
      <c r="Q151" s="26"/>
    </row>
    <row r="152" spans="1:19" x14ac:dyDescent="0.2">
      <c r="A152" s="8">
        <v>2.1</v>
      </c>
      <c r="B152" s="113" t="s">
        <v>113</v>
      </c>
      <c r="C152" s="114"/>
      <c r="D152" s="8">
        <f>D9</f>
        <v>1000</v>
      </c>
      <c r="E152" s="54">
        <f t="shared" ref="E152:G152" si="47">E9</f>
        <v>700</v>
      </c>
      <c r="F152" s="54">
        <f t="shared" si="47"/>
        <v>200</v>
      </c>
      <c r="G152" s="54">
        <f t="shared" si="47"/>
        <v>210</v>
      </c>
      <c r="H152" s="8"/>
      <c r="I152" s="22"/>
      <c r="J152" s="8"/>
      <c r="K152" s="8"/>
      <c r="L152" s="8"/>
      <c r="M152" s="8"/>
      <c r="N152" s="8"/>
      <c r="O152" s="8"/>
      <c r="P152" s="28"/>
      <c r="Q152" s="26"/>
    </row>
    <row r="153" spans="1:19" x14ac:dyDescent="0.2">
      <c r="A153" s="119">
        <v>2.2000000000000002</v>
      </c>
      <c r="B153" s="113" t="s">
        <v>51</v>
      </c>
      <c r="C153" s="19" t="s">
        <v>114</v>
      </c>
      <c r="D153" s="8"/>
      <c r="E153" s="8"/>
      <c r="F153" s="8">
        <f>F27</f>
        <v>900</v>
      </c>
      <c r="G153" s="54">
        <f t="shared" ref="G153:I153" si="48">G27</f>
        <v>1100</v>
      </c>
      <c r="H153" s="54">
        <f t="shared" si="48"/>
        <v>1000</v>
      </c>
      <c r="I153" s="54">
        <f t="shared" si="48"/>
        <v>1000</v>
      </c>
      <c r="J153" s="8"/>
      <c r="K153" s="8"/>
      <c r="L153" s="8"/>
      <c r="M153" s="8"/>
      <c r="N153" s="8"/>
      <c r="O153" s="8"/>
      <c r="P153" s="28"/>
      <c r="Q153" s="26"/>
    </row>
    <row r="154" spans="1:19" x14ac:dyDescent="0.2">
      <c r="A154" s="119"/>
      <c r="B154" s="113"/>
      <c r="C154" s="33" t="s">
        <v>115</v>
      </c>
      <c r="D154" s="8"/>
      <c r="E154" s="8"/>
      <c r="F154" s="8">
        <f>F25</f>
        <v>240</v>
      </c>
      <c r="G154" s="54">
        <f t="shared" ref="G154:I154" si="49">G25</f>
        <v>186</v>
      </c>
      <c r="H154" s="54">
        <f t="shared" si="49"/>
        <v>120</v>
      </c>
      <c r="I154" s="54">
        <f t="shared" si="49"/>
        <v>60</v>
      </c>
      <c r="J154" s="8"/>
      <c r="K154" s="8"/>
      <c r="L154" s="8"/>
      <c r="M154" s="8"/>
      <c r="N154" s="8"/>
      <c r="O154" s="8"/>
      <c r="P154" s="28"/>
      <c r="Q154" s="26"/>
    </row>
    <row r="155" spans="1:19" x14ac:dyDescent="0.2">
      <c r="A155" s="119">
        <v>2.2999999999999998</v>
      </c>
      <c r="B155" s="113" t="s">
        <v>52</v>
      </c>
      <c r="C155" s="19" t="s">
        <v>114</v>
      </c>
      <c r="D155" s="8"/>
      <c r="E155" s="8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4">
        <f>Q28</f>
        <v>740</v>
      </c>
      <c r="R155" s="52"/>
      <c r="S155" s="25"/>
    </row>
    <row r="156" spans="1:19" x14ac:dyDescent="0.2">
      <c r="A156" s="119"/>
      <c r="B156" s="113"/>
      <c r="C156" s="33" t="s">
        <v>115</v>
      </c>
      <c r="D156" s="8"/>
      <c r="E156" s="8"/>
      <c r="F156" s="50">
        <f t="shared" ref="F156:Q156" si="50">F26</f>
        <v>12.125</v>
      </c>
      <c r="G156" s="50">
        <f t="shared" si="50"/>
        <v>17.475000000000001</v>
      </c>
      <c r="H156" s="50">
        <f t="shared" si="50"/>
        <v>29.6</v>
      </c>
      <c r="I156" s="50">
        <f t="shared" si="50"/>
        <v>29.6</v>
      </c>
      <c r="J156" s="50">
        <f t="shared" si="50"/>
        <v>29.6</v>
      </c>
      <c r="K156" s="50">
        <f t="shared" si="50"/>
        <v>29.6</v>
      </c>
      <c r="L156" s="50">
        <f t="shared" si="50"/>
        <v>29.6</v>
      </c>
      <c r="M156" s="50">
        <f t="shared" si="50"/>
        <v>29.6</v>
      </c>
      <c r="N156" s="50">
        <f t="shared" si="50"/>
        <v>29.6</v>
      </c>
      <c r="O156" s="50">
        <f t="shared" si="50"/>
        <v>29.6</v>
      </c>
      <c r="P156" s="50">
        <f t="shared" si="50"/>
        <v>29.6</v>
      </c>
      <c r="Q156" s="50">
        <f t="shared" si="50"/>
        <v>29.6</v>
      </c>
    </row>
    <row r="157" spans="1:19" x14ac:dyDescent="0.2">
      <c r="A157" s="119">
        <v>2.4</v>
      </c>
      <c r="B157" s="113" t="s">
        <v>53</v>
      </c>
      <c r="C157" s="19" t="s">
        <v>114</v>
      </c>
      <c r="D157" s="8"/>
      <c r="E157" s="8"/>
      <c r="F157" s="8"/>
      <c r="G157" s="8"/>
      <c r="H157" s="8"/>
      <c r="I157" s="22"/>
      <c r="J157" s="8"/>
      <c r="K157" s="8"/>
      <c r="L157" s="8"/>
      <c r="M157" s="8"/>
      <c r="N157" s="8"/>
      <c r="O157" s="8"/>
      <c r="P157" s="28"/>
      <c r="Q157" s="26"/>
    </row>
    <row r="158" spans="1:19" x14ac:dyDescent="0.2">
      <c r="A158" s="119"/>
      <c r="B158" s="113"/>
      <c r="C158" s="33" t="s">
        <v>115</v>
      </c>
      <c r="D158" s="8"/>
      <c r="E158" s="8"/>
      <c r="F158" s="8"/>
      <c r="G158" s="8"/>
      <c r="H158" s="8"/>
      <c r="I158" s="22"/>
      <c r="J158" s="8"/>
      <c r="K158" s="8"/>
      <c r="L158" s="8"/>
      <c r="M158" s="8"/>
      <c r="N158" s="8"/>
      <c r="O158" s="8"/>
      <c r="P158" s="28"/>
      <c r="Q158" s="26"/>
    </row>
    <row r="159" spans="1:19" x14ac:dyDescent="0.2">
      <c r="A159" s="8">
        <v>2.5</v>
      </c>
      <c r="B159" s="113" t="s">
        <v>39</v>
      </c>
      <c r="C159" s="114"/>
      <c r="D159" s="8"/>
      <c r="E159" s="8"/>
      <c r="F159" s="38">
        <f>D49</f>
        <v>3920.375</v>
      </c>
      <c r="G159" s="38">
        <f t="shared" ref="G159:Q159" si="51">E49</f>
        <v>5024.375</v>
      </c>
      <c r="H159" s="38">
        <f t="shared" si="51"/>
        <v>5581.375</v>
      </c>
      <c r="I159" s="38">
        <f t="shared" si="51"/>
        <v>5581.375</v>
      </c>
      <c r="J159" s="38">
        <f t="shared" si="51"/>
        <v>5581.375</v>
      </c>
      <c r="K159" s="38">
        <f t="shared" si="51"/>
        <v>5617.375</v>
      </c>
      <c r="L159" s="38">
        <f t="shared" si="51"/>
        <v>5617.375</v>
      </c>
      <c r="M159" s="38">
        <f t="shared" si="51"/>
        <v>5617.375</v>
      </c>
      <c r="N159" s="38">
        <f t="shared" si="51"/>
        <v>5617.375</v>
      </c>
      <c r="O159" s="38">
        <f t="shared" si="51"/>
        <v>5617.375</v>
      </c>
      <c r="P159" s="38">
        <f t="shared" si="51"/>
        <v>5646.7750000000005</v>
      </c>
      <c r="Q159" s="38">
        <f t="shared" si="51"/>
        <v>5646.7750000000005</v>
      </c>
    </row>
    <row r="160" spans="1:19" x14ac:dyDescent="0.2">
      <c r="A160" s="8">
        <v>2.6</v>
      </c>
      <c r="B160" s="113" t="s">
        <v>41</v>
      </c>
      <c r="C160" s="114"/>
      <c r="D160" s="8"/>
      <c r="E160" s="8"/>
      <c r="F160" s="34">
        <f>D56</f>
        <v>81.367521367521391</v>
      </c>
      <c r="G160" s="34">
        <f t="shared" ref="G160:Q160" si="52">E56</f>
        <v>104.61538461538463</v>
      </c>
      <c r="H160" s="34">
        <f t="shared" si="52"/>
        <v>116.23931623931627</v>
      </c>
      <c r="I160" s="34">
        <f t="shared" si="52"/>
        <v>116.23931623931627</v>
      </c>
      <c r="J160" s="34">
        <f t="shared" si="52"/>
        <v>116.23931623931627</v>
      </c>
      <c r="K160" s="34">
        <f t="shared" si="52"/>
        <v>116.23931623931627</v>
      </c>
      <c r="L160" s="34">
        <f t="shared" si="52"/>
        <v>116.23931623931627</v>
      </c>
      <c r="M160" s="34">
        <f t="shared" si="52"/>
        <v>116.23931623931627</v>
      </c>
      <c r="N160" s="34">
        <f t="shared" si="52"/>
        <v>116.23931623931627</v>
      </c>
      <c r="O160" s="34">
        <f t="shared" si="52"/>
        <v>116.23931623931627</v>
      </c>
      <c r="P160" s="34">
        <f t="shared" si="52"/>
        <v>116.23931623931627</v>
      </c>
      <c r="Q160" s="34">
        <f t="shared" si="52"/>
        <v>116.23931623931627</v>
      </c>
    </row>
    <row r="161" spans="1:17" x14ac:dyDescent="0.2">
      <c r="A161" s="8">
        <v>2.7</v>
      </c>
      <c r="B161" s="115" t="s">
        <v>43</v>
      </c>
      <c r="C161" s="116"/>
      <c r="D161" s="8"/>
      <c r="E161" s="8"/>
      <c r="F161" s="38">
        <f>D59</f>
        <v>279.97996794871801</v>
      </c>
      <c r="G161" s="38">
        <f t="shared" ref="G161:Q161" si="53">E59</f>
        <v>452.04267307692305</v>
      </c>
      <c r="H161" s="38">
        <f t="shared" si="53"/>
        <v>546.17552564102562</v>
      </c>
      <c r="I161" s="38">
        <f t="shared" si="53"/>
        <v>565.97552564102557</v>
      </c>
      <c r="J161" s="39">
        <f t="shared" si="53"/>
        <v>585.77552564102564</v>
      </c>
      <c r="K161" s="39">
        <f t="shared" si="53"/>
        <v>593.6955256410256</v>
      </c>
      <c r="L161" s="39">
        <f t="shared" si="53"/>
        <v>593.6955256410256</v>
      </c>
      <c r="M161" s="39">
        <f t="shared" si="53"/>
        <v>593.6955256410256</v>
      </c>
      <c r="N161" s="39">
        <f t="shared" si="53"/>
        <v>593.6955256410256</v>
      </c>
      <c r="O161" s="39">
        <f t="shared" si="53"/>
        <v>593.6955256410256</v>
      </c>
      <c r="P161" s="39">
        <f t="shared" si="53"/>
        <v>600.16352564102544</v>
      </c>
      <c r="Q161" s="39">
        <f t="shared" si="53"/>
        <v>600.16352564102544</v>
      </c>
    </row>
    <row r="162" spans="1:17" ht="14.25" customHeight="1" x14ac:dyDescent="0.2">
      <c r="A162" s="7">
        <v>3</v>
      </c>
      <c r="B162" s="122" t="s">
        <v>116</v>
      </c>
      <c r="C162" s="127"/>
      <c r="D162" s="5">
        <f>SUM(D148:D150)-SUM(D152:D161)</f>
        <v>-1000</v>
      </c>
      <c r="E162" s="5">
        <f t="shared" ref="E162:Q162" si="54">SUM(E148:E150)-SUM(E152:E161)</f>
        <v>-700</v>
      </c>
      <c r="F162" s="67">
        <f t="shared" si="54"/>
        <v>-33.847489316239262</v>
      </c>
      <c r="G162" s="67">
        <f t="shared" si="54"/>
        <v>105.49194230769172</v>
      </c>
      <c r="H162" s="67">
        <f t="shared" si="54"/>
        <v>606.61015811965808</v>
      </c>
      <c r="I162" s="67">
        <f t="shared" si="54"/>
        <v>646.8101581196579</v>
      </c>
      <c r="J162" s="67">
        <f t="shared" si="54"/>
        <v>1687.0101581196577</v>
      </c>
      <c r="K162" s="67">
        <f t="shared" si="54"/>
        <v>1643.0901581196576</v>
      </c>
      <c r="L162" s="67">
        <f t="shared" si="54"/>
        <v>1643.0901581196576</v>
      </c>
      <c r="M162" s="67">
        <f t="shared" si="54"/>
        <v>1643.0901581196576</v>
      </c>
      <c r="N162" s="67">
        <f t="shared" si="54"/>
        <v>1643.0901581196576</v>
      </c>
      <c r="O162" s="67">
        <f t="shared" si="54"/>
        <v>1643.0901581196576</v>
      </c>
      <c r="P162" s="67">
        <f t="shared" si="54"/>
        <v>1607.2221581196573</v>
      </c>
      <c r="Q162" s="67">
        <f t="shared" si="54"/>
        <v>2262.7221581196573</v>
      </c>
    </row>
    <row r="163" spans="1:17" x14ac:dyDescent="0.2">
      <c r="A163" s="8">
        <v>4</v>
      </c>
      <c r="B163" s="141" t="s">
        <v>107</v>
      </c>
      <c r="C163" s="124"/>
      <c r="D163" s="6">
        <f>D162</f>
        <v>-1000</v>
      </c>
      <c r="E163" s="8">
        <f>D163+E162</f>
        <v>-1700</v>
      </c>
      <c r="F163" s="34">
        <f t="shared" ref="F163:Q163" si="55">E163+F162</f>
        <v>-1733.8474893162393</v>
      </c>
      <c r="G163" s="34">
        <f t="shared" si="55"/>
        <v>-1628.3555470085475</v>
      </c>
      <c r="H163" s="34">
        <f t="shared" si="55"/>
        <v>-1021.7453888888895</v>
      </c>
      <c r="I163" s="34">
        <f t="shared" si="55"/>
        <v>-374.93523076923157</v>
      </c>
      <c r="J163" s="34">
        <f t="shared" si="55"/>
        <v>1312.0749273504262</v>
      </c>
      <c r="K163" s="34">
        <f t="shared" si="55"/>
        <v>2955.1650854700838</v>
      </c>
      <c r="L163" s="34">
        <f t="shared" si="55"/>
        <v>4598.2552435897414</v>
      </c>
      <c r="M163" s="34">
        <f t="shared" si="55"/>
        <v>6241.3454017093991</v>
      </c>
      <c r="N163" s="34">
        <f t="shared" si="55"/>
        <v>7884.4355598290567</v>
      </c>
      <c r="O163" s="34">
        <f t="shared" si="55"/>
        <v>9527.5257179487144</v>
      </c>
      <c r="P163" s="34">
        <f t="shared" si="55"/>
        <v>11134.747876068372</v>
      </c>
      <c r="Q163" s="34">
        <f t="shared" si="55"/>
        <v>13397.470034188029</v>
      </c>
    </row>
    <row r="164" spans="1:17" x14ac:dyDescent="0.2">
      <c r="A164" s="8">
        <v>5</v>
      </c>
      <c r="B164" s="141" t="s">
        <v>108</v>
      </c>
      <c r="C164" s="124"/>
      <c r="D164" s="70">
        <f>1/(1+0.15)^D146</f>
        <v>0.86956521739130443</v>
      </c>
      <c r="E164" s="70">
        <f t="shared" ref="E164:Q164" si="56">1/(1+0.15)^E146</f>
        <v>0.7561436672967865</v>
      </c>
      <c r="F164" s="70">
        <f t="shared" si="56"/>
        <v>0.65751623243198831</v>
      </c>
      <c r="G164" s="70">
        <f t="shared" si="56"/>
        <v>0.57175324559303342</v>
      </c>
      <c r="H164" s="70">
        <f t="shared" si="56"/>
        <v>0.49717673529828987</v>
      </c>
      <c r="I164" s="70">
        <f t="shared" si="56"/>
        <v>0.43232759591155645</v>
      </c>
      <c r="J164" s="70">
        <f t="shared" si="56"/>
        <v>0.37593703992309269</v>
      </c>
      <c r="K164" s="70">
        <f t="shared" si="56"/>
        <v>0.32690177384616753</v>
      </c>
      <c r="L164" s="70">
        <f t="shared" si="56"/>
        <v>0.28426241204014574</v>
      </c>
      <c r="M164" s="70">
        <f t="shared" si="56"/>
        <v>0.24718470612186585</v>
      </c>
      <c r="N164" s="70">
        <f t="shared" si="56"/>
        <v>0.21494322271466598</v>
      </c>
      <c r="O164" s="70">
        <f t="shared" si="56"/>
        <v>0.18690715018666609</v>
      </c>
      <c r="P164" s="70">
        <f t="shared" si="56"/>
        <v>0.16252795668405748</v>
      </c>
      <c r="Q164" s="70">
        <f t="shared" si="56"/>
        <v>0.14132865798613695</v>
      </c>
    </row>
    <row r="165" spans="1:17" x14ac:dyDescent="0.2">
      <c r="A165" s="8">
        <v>6</v>
      </c>
      <c r="B165" s="141" t="s">
        <v>117</v>
      </c>
      <c r="C165" s="124"/>
      <c r="D165" s="58">
        <f>D162*D164</f>
        <v>-869.56521739130449</v>
      </c>
      <c r="E165" s="58">
        <f t="shared" ref="E165:Q165" si="57">E162*E164</f>
        <v>-529.30056710775057</v>
      </c>
      <c r="F165" s="58">
        <f t="shared" si="57"/>
        <v>-22.255273652495617</v>
      </c>
      <c r="G165" s="58">
        <f t="shared" si="57"/>
        <v>60.315360398335777</v>
      </c>
      <c r="H165" s="58">
        <f t="shared" si="57"/>
        <v>301.59245801271101</v>
      </c>
      <c r="I165" s="58">
        <f t="shared" si="57"/>
        <v>279.6338806710454</v>
      </c>
      <c r="J165" s="58">
        <f t="shared" si="57"/>
        <v>634.20960516369269</v>
      </c>
      <c r="K165" s="58">
        <f t="shared" si="57"/>
        <v>537.12908727849594</v>
      </c>
      <c r="L165" s="58">
        <f t="shared" si="57"/>
        <v>467.06877154651835</v>
      </c>
      <c r="M165" s="58">
        <f t="shared" si="57"/>
        <v>406.14675786653765</v>
      </c>
      <c r="N165" s="58">
        <f t="shared" si="57"/>
        <v>353.17109379698934</v>
      </c>
      <c r="O165" s="58">
        <f t="shared" si="57"/>
        <v>307.1052989539038</v>
      </c>
      <c r="P165" s="58">
        <f t="shared" si="57"/>
        <v>261.21853329652902</v>
      </c>
      <c r="Q165" s="58">
        <f t="shared" si="57"/>
        <v>319.7874860025467</v>
      </c>
    </row>
    <row r="166" spans="1:17" x14ac:dyDescent="0.2">
      <c r="A166" s="11">
        <v>7</v>
      </c>
      <c r="B166" s="143" t="s">
        <v>118</v>
      </c>
      <c r="C166" s="137"/>
      <c r="D166" s="68">
        <f>D164*D163</f>
        <v>-869.56521739130449</v>
      </c>
      <c r="E166" s="68">
        <f t="shared" ref="E166:Q166" si="58">E164*E163</f>
        <v>-1285.4442344045372</v>
      </c>
      <c r="F166" s="68">
        <f t="shared" si="58"/>
        <v>-1140.0328687868757</v>
      </c>
      <c r="G166" s="68">
        <f t="shared" si="58"/>
        <v>-931.01756898155634</v>
      </c>
      <c r="H166" s="68">
        <f t="shared" si="58"/>
        <v>-507.98803675385966</v>
      </c>
      <c r="I166" s="68">
        <f t="shared" si="58"/>
        <v>-162.09484694100652</v>
      </c>
      <c r="J166" s="68">
        <f t="shared" si="58"/>
        <v>493.25756434542609</v>
      </c>
      <c r="K166" s="68">
        <f t="shared" si="58"/>
        <v>966.04870844843163</v>
      </c>
      <c r="L166" s="68">
        <f t="shared" si="58"/>
        <v>1307.1111267190679</v>
      </c>
      <c r="M166" s="68">
        <f t="shared" si="58"/>
        <v>1542.7651289265966</v>
      </c>
      <c r="N166" s="68">
        <f t="shared" si="58"/>
        <v>1694.7059885157691</v>
      </c>
      <c r="O166" s="68">
        <f t="shared" si="58"/>
        <v>1780.762680271964</v>
      </c>
      <c r="P166" s="68">
        <f t="shared" si="58"/>
        <v>1809.7078204895413</v>
      </c>
      <c r="Q166" s="68">
        <f t="shared" si="58"/>
        <v>1893.4464603412785</v>
      </c>
    </row>
    <row r="167" spans="1:17" x14ac:dyDescent="0.2">
      <c r="A167" s="14"/>
      <c r="B167" s="141"/>
      <c r="C167" s="141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25"/>
      <c r="Q167" s="25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7" ht="23.25" x14ac:dyDescent="0.2">
      <c r="A169" s="133" t="s">
        <v>134</v>
      </c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</row>
    <row r="170" spans="1:17" x14ac:dyDescent="0.2">
      <c r="A170" s="108" t="s">
        <v>0</v>
      </c>
      <c r="B170" s="109" t="s">
        <v>133</v>
      </c>
      <c r="C170" s="109"/>
      <c r="D170" s="108" t="s">
        <v>13</v>
      </c>
      <c r="E170" s="108"/>
      <c r="F170" s="108" t="s">
        <v>18</v>
      </c>
      <c r="G170" s="108"/>
      <c r="H170" s="108"/>
      <c r="I170" s="108"/>
      <c r="J170" s="108"/>
      <c r="K170" s="108"/>
      <c r="L170" s="108"/>
      <c r="M170" s="108"/>
      <c r="N170" s="108"/>
      <c r="O170" s="108"/>
    </row>
    <row r="171" spans="1:17" x14ac:dyDescent="0.2">
      <c r="A171" s="108"/>
      <c r="B171" s="109"/>
      <c r="C171" s="109"/>
      <c r="D171" s="55">
        <v>3</v>
      </c>
      <c r="E171" s="55">
        <v>4</v>
      </c>
      <c r="F171" s="55">
        <v>5</v>
      </c>
      <c r="G171" s="55">
        <v>6</v>
      </c>
      <c r="H171" s="55">
        <v>7</v>
      </c>
      <c r="I171" s="55">
        <v>8</v>
      </c>
      <c r="J171" s="55">
        <v>9</v>
      </c>
      <c r="K171" s="55">
        <v>10</v>
      </c>
      <c r="L171" s="55">
        <v>11</v>
      </c>
      <c r="M171" s="55">
        <v>12</v>
      </c>
      <c r="N171" s="55">
        <v>13</v>
      </c>
      <c r="O171" s="55">
        <v>14</v>
      </c>
    </row>
    <row r="172" spans="1:17" x14ac:dyDescent="0.2">
      <c r="A172" s="4">
        <v>1</v>
      </c>
      <c r="B172" s="138" t="s">
        <v>126</v>
      </c>
      <c r="C172" s="139"/>
      <c r="D172" s="4">
        <v>4910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7"/>
    </row>
    <row r="173" spans="1:17" x14ac:dyDescent="0.2">
      <c r="A173" s="54">
        <v>1.1000000000000001</v>
      </c>
      <c r="B173" s="140" t="s">
        <v>125</v>
      </c>
      <c r="C173" s="114"/>
      <c r="D173" s="34">
        <f>4910*0.95/12</f>
        <v>388.70833333333331</v>
      </c>
      <c r="E173" s="34">
        <f t="shared" ref="E173:O173" si="59">4910*0.95/12</f>
        <v>388.70833333333331</v>
      </c>
      <c r="F173" s="34">
        <f t="shared" si="59"/>
        <v>388.70833333333331</v>
      </c>
      <c r="G173" s="34">
        <f t="shared" si="59"/>
        <v>388.70833333333331</v>
      </c>
      <c r="H173" s="34">
        <f t="shared" si="59"/>
        <v>388.70833333333331</v>
      </c>
      <c r="I173" s="34">
        <f t="shared" si="59"/>
        <v>388.70833333333331</v>
      </c>
      <c r="J173" s="34">
        <f t="shared" si="59"/>
        <v>388.70833333333331</v>
      </c>
      <c r="K173" s="34">
        <f t="shared" si="59"/>
        <v>388.70833333333331</v>
      </c>
      <c r="L173" s="34">
        <f t="shared" si="59"/>
        <v>388.70833333333331</v>
      </c>
      <c r="M173" s="34">
        <f t="shared" si="59"/>
        <v>388.70833333333331</v>
      </c>
      <c r="N173" s="34">
        <f t="shared" si="59"/>
        <v>388.70833333333331</v>
      </c>
      <c r="O173" s="34">
        <f t="shared" si="59"/>
        <v>388.70833333333331</v>
      </c>
    </row>
    <row r="174" spans="1:17" x14ac:dyDescent="0.2">
      <c r="A174" s="56">
        <v>1.2</v>
      </c>
      <c r="B174" s="115" t="s">
        <v>80</v>
      </c>
      <c r="C174" s="116"/>
      <c r="D174" s="69">
        <f>4910-D173</f>
        <v>4521.291666666667</v>
      </c>
      <c r="E174" s="69">
        <f>D174-E173</f>
        <v>4132.5833333333339</v>
      </c>
      <c r="F174" s="69">
        <f t="shared" ref="F174:O174" si="60">E174-F173</f>
        <v>3743.8750000000005</v>
      </c>
      <c r="G174" s="69">
        <f t="shared" si="60"/>
        <v>3355.166666666667</v>
      </c>
      <c r="H174" s="69">
        <f t="shared" si="60"/>
        <v>2966.4583333333335</v>
      </c>
      <c r="I174" s="69">
        <f t="shared" si="60"/>
        <v>2577.75</v>
      </c>
      <c r="J174" s="69">
        <f t="shared" si="60"/>
        <v>2189.0416666666665</v>
      </c>
      <c r="K174" s="69">
        <f t="shared" si="60"/>
        <v>1800.3333333333333</v>
      </c>
      <c r="L174" s="69">
        <f t="shared" si="60"/>
        <v>1411.625</v>
      </c>
      <c r="M174" s="69">
        <f t="shared" si="60"/>
        <v>1022.9166666666667</v>
      </c>
      <c r="N174" s="69">
        <f t="shared" si="60"/>
        <v>634.20833333333348</v>
      </c>
      <c r="O174" s="69">
        <f t="shared" si="60"/>
        <v>245.50000000000017</v>
      </c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23.25" x14ac:dyDescent="0.2">
      <c r="A177" s="133" t="s">
        <v>135</v>
      </c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</row>
    <row r="178" spans="1:15" x14ac:dyDescent="0.2">
      <c r="A178" s="108" t="s">
        <v>0</v>
      </c>
      <c r="B178" s="109" t="s">
        <v>133</v>
      </c>
      <c r="C178" s="109"/>
      <c r="D178" s="108" t="s">
        <v>13</v>
      </c>
      <c r="E178" s="108"/>
      <c r="F178" s="108" t="s">
        <v>18</v>
      </c>
      <c r="G178" s="108"/>
      <c r="H178" s="108"/>
      <c r="I178" s="108"/>
      <c r="J178" s="108"/>
      <c r="K178" s="108"/>
      <c r="L178" s="108"/>
      <c r="M178" s="108"/>
      <c r="N178" s="108"/>
      <c r="O178" s="108"/>
    </row>
    <row r="179" spans="1:15" x14ac:dyDescent="0.2">
      <c r="A179" s="108"/>
      <c r="B179" s="109"/>
      <c r="C179" s="109"/>
      <c r="D179" s="55">
        <v>3</v>
      </c>
      <c r="E179" s="55">
        <v>4</v>
      </c>
      <c r="F179" s="55">
        <v>5</v>
      </c>
      <c r="G179" s="55">
        <v>6</v>
      </c>
      <c r="H179" s="55">
        <v>7</v>
      </c>
      <c r="I179" s="55">
        <v>8</v>
      </c>
      <c r="J179" s="55">
        <v>9</v>
      </c>
      <c r="K179" s="55">
        <v>10</v>
      </c>
      <c r="L179" s="55">
        <v>11</v>
      </c>
      <c r="M179" s="55">
        <v>12</v>
      </c>
      <c r="N179" s="55">
        <v>13</v>
      </c>
      <c r="O179" s="55">
        <v>14</v>
      </c>
    </row>
    <row r="180" spans="1:15" x14ac:dyDescent="0.2">
      <c r="A180" s="4">
        <v>1</v>
      </c>
      <c r="B180" s="138" t="s">
        <v>127</v>
      </c>
      <c r="C180" s="139"/>
      <c r="D180" s="4">
        <v>490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7"/>
    </row>
    <row r="181" spans="1:15" x14ac:dyDescent="0.2">
      <c r="A181" s="54">
        <v>1.1000000000000001</v>
      </c>
      <c r="B181" s="123" t="s">
        <v>128</v>
      </c>
      <c r="C181" s="124"/>
      <c r="D181" s="4">
        <f>490/10</f>
        <v>49</v>
      </c>
      <c r="E181" s="4">
        <f t="shared" ref="E181:M181" si="61">490/10</f>
        <v>49</v>
      </c>
      <c r="F181" s="4">
        <f t="shared" si="61"/>
        <v>49</v>
      </c>
      <c r="G181" s="4">
        <f t="shared" si="61"/>
        <v>49</v>
      </c>
      <c r="H181" s="4">
        <f t="shared" si="61"/>
        <v>49</v>
      </c>
      <c r="I181" s="4">
        <f t="shared" si="61"/>
        <v>49</v>
      </c>
      <c r="J181" s="4">
        <f t="shared" si="61"/>
        <v>49</v>
      </c>
      <c r="K181" s="4">
        <f t="shared" si="61"/>
        <v>49</v>
      </c>
      <c r="L181" s="4">
        <f t="shared" si="61"/>
        <v>49</v>
      </c>
      <c r="M181" s="4">
        <f t="shared" si="61"/>
        <v>49</v>
      </c>
      <c r="N181" s="4"/>
      <c r="O181" s="54"/>
    </row>
    <row r="182" spans="1:15" x14ac:dyDescent="0.2">
      <c r="A182" s="56">
        <v>1.2</v>
      </c>
      <c r="B182" s="136" t="s">
        <v>129</v>
      </c>
      <c r="C182" s="137"/>
      <c r="D182" s="9">
        <f>D180-D181</f>
        <v>441</v>
      </c>
      <c r="E182" s="9">
        <f>D182-E181</f>
        <v>392</v>
      </c>
      <c r="F182" s="9">
        <f t="shared" ref="F182:M182" si="62">E182-F181</f>
        <v>343</v>
      </c>
      <c r="G182" s="9">
        <f t="shared" si="62"/>
        <v>294</v>
      </c>
      <c r="H182" s="9">
        <f t="shared" si="62"/>
        <v>245</v>
      </c>
      <c r="I182" s="9">
        <f t="shared" si="62"/>
        <v>196</v>
      </c>
      <c r="J182" s="9">
        <f t="shared" si="62"/>
        <v>147</v>
      </c>
      <c r="K182" s="9">
        <f t="shared" si="62"/>
        <v>98</v>
      </c>
      <c r="L182" s="9">
        <f t="shared" si="62"/>
        <v>49</v>
      </c>
      <c r="M182" s="9">
        <f t="shared" si="62"/>
        <v>0</v>
      </c>
      <c r="N182" s="9"/>
      <c r="O182" s="56"/>
    </row>
    <row r="183" spans="1:15" x14ac:dyDescent="0.2">
      <c r="A183" s="54">
        <v>2</v>
      </c>
      <c r="B183" s="140" t="s">
        <v>130</v>
      </c>
      <c r="C183" s="114"/>
      <c r="D183" s="44">
        <v>300</v>
      </c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</row>
    <row r="184" spans="1:15" x14ac:dyDescent="0.2">
      <c r="A184" s="54">
        <v>2.2000000000000002</v>
      </c>
      <c r="B184" s="113" t="s">
        <v>131</v>
      </c>
      <c r="C184" s="114"/>
      <c r="D184" s="44">
        <f>300/5</f>
        <v>60</v>
      </c>
      <c r="E184" s="44">
        <f t="shared" ref="E184:H184" si="63">300/5</f>
        <v>60</v>
      </c>
      <c r="F184" s="44">
        <f t="shared" si="63"/>
        <v>60</v>
      </c>
      <c r="G184" s="44">
        <f t="shared" si="63"/>
        <v>60</v>
      </c>
      <c r="H184" s="44">
        <f t="shared" si="63"/>
        <v>60</v>
      </c>
      <c r="I184" s="34"/>
      <c r="J184" s="34"/>
      <c r="K184" s="34"/>
      <c r="L184" s="34"/>
      <c r="M184" s="34"/>
      <c r="N184" s="34"/>
      <c r="O184" s="34"/>
    </row>
    <row r="185" spans="1:15" x14ac:dyDescent="0.2">
      <c r="A185" s="56">
        <v>2.2999999999999998</v>
      </c>
      <c r="B185" s="115" t="s">
        <v>124</v>
      </c>
      <c r="C185" s="116"/>
      <c r="D185" s="73">
        <f>D183-D184</f>
        <v>240</v>
      </c>
      <c r="E185" s="73">
        <f>D185-E184</f>
        <v>180</v>
      </c>
      <c r="F185" s="73">
        <f t="shared" ref="F185:H185" si="64">E185-F184</f>
        <v>120</v>
      </c>
      <c r="G185" s="73">
        <f t="shared" si="64"/>
        <v>60</v>
      </c>
      <c r="H185" s="73">
        <f t="shared" si="64"/>
        <v>0</v>
      </c>
      <c r="I185" s="73"/>
      <c r="J185" s="73"/>
      <c r="K185" s="73"/>
      <c r="L185" s="73"/>
      <c r="M185" s="73"/>
      <c r="N185" s="73"/>
      <c r="O185" s="73"/>
    </row>
    <row r="186" spans="1:15" x14ac:dyDescent="0.2">
      <c r="A186" s="2"/>
      <c r="B186" s="2"/>
      <c r="C186" s="2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</row>
    <row r="187" spans="1: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23.25" x14ac:dyDescent="0.2">
      <c r="A188" s="133" t="s">
        <v>136</v>
      </c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</row>
    <row r="189" spans="1:15" x14ac:dyDescent="0.2">
      <c r="A189" s="117" t="s">
        <v>0</v>
      </c>
      <c r="B189" s="109" t="s">
        <v>133</v>
      </c>
      <c r="C189" s="109"/>
      <c r="D189" s="134" t="s">
        <v>13</v>
      </c>
      <c r="E189" s="135"/>
      <c r="F189" s="108" t="s">
        <v>18</v>
      </c>
      <c r="G189" s="108"/>
      <c r="H189" s="108"/>
      <c r="I189" s="108"/>
      <c r="J189" s="108"/>
      <c r="K189" s="108"/>
      <c r="L189" s="108"/>
      <c r="M189" s="108"/>
      <c r="N189" s="108"/>
      <c r="O189" s="108"/>
    </row>
    <row r="190" spans="1:15" x14ac:dyDescent="0.2">
      <c r="A190" s="118"/>
      <c r="B190" s="109"/>
      <c r="C190" s="109"/>
      <c r="D190" s="55">
        <v>3</v>
      </c>
      <c r="E190" s="55">
        <v>4</v>
      </c>
      <c r="F190" s="55">
        <v>5</v>
      </c>
      <c r="G190" s="55">
        <v>6</v>
      </c>
      <c r="H190" s="55">
        <v>7</v>
      </c>
      <c r="I190" s="55">
        <v>8</v>
      </c>
      <c r="J190" s="55">
        <v>9</v>
      </c>
      <c r="K190" s="55">
        <v>10</v>
      </c>
      <c r="L190" s="55">
        <v>11</v>
      </c>
      <c r="M190" s="55">
        <v>12</v>
      </c>
      <c r="N190" s="55">
        <v>13</v>
      </c>
      <c r="O190" s="55">
        <v>14</v>
      </c>
    </row>
    <row r="191" spans="1:15" x14ac:dyDescent="0.2">
      <c r="A191" s="7">
        <v>1</v>
      </c>
      <c r="B191" s="111" t="s">
        <v>40</v>
      </c>
      <c r="C191" s="112"/>
      <c r="D191" s="7">
        <f>100*80*0.7</f>
        <v>5600</v>
      </c>
      <c r="E191" s="2">
        <f>100*80*0.9</f>
        <v>7200</v>
      </c>
      <c r="F191" s="7">
        <f>80*100</f>
        <v>8000</v>
      </c>
      <c r="G191" s="7">
        <f t="shared" ref="G191:O191" si="65">80*100</f>
        <v>8000</v>
      </c>
      <c r="H191" s="7">
        <f t="shared" si="65"/>
        <v>8000</v>
      </c>
      <c r="I191" s="7">
        <f t="shared" si="65"/>
        <v>8000</v>
      </c>
      <c r="J191" s="7">
        <f t="shared" si="65"/>
        <v>8000</v>
      </c>
      <c r="K191" s="7">
        <f t="shared" si="65"/>
        <v>8000</v>
      </c>
      <c r="L191" s="7">
        <f t="shared" si="65"/>
        <v>8000</v>
      </c>
      <c r="M191" s="7">
        <f t="shared" si="65"/>
        <v>8000</v>
      </c>
      <c r="N191" s="7">
        <f t="shared" si="65"/>
        <v>8000</v>
      </c>
      <c r="O191" s="7">
        <f t="shared" si="65"/>
        <v>8000</v>
      </c>
    </row>
    <row r="192" spans="1:15" x14ac:dyDescent="0.2">
      <c r="A192" s="56">
        <v>2</v>
      </c>
      <c r="B192" s="115" t="s">
        <v>41</v>
      </c>
      <c r="C192" s="116"/>
      <c r="D192" s="69">
        <f>D191/1.17*0.17*0.1</f>
        <v>81.367521367521391</v>
      </c>
      <c r="E192" s="69">
        <f t="shared" ref="E192:O192" si="66">E191/1.17*0.17*0.1</f>
        <v>104.61538461538463</v>
      </c>
      <c r="F192" s="69">
        <f t="shared" si="66"/>
        <v>116.23931623931627</v>
      </c>
      <c r="G192" s="69">
        <f t="shared" si="66"/>
        <v>116.23931623931627</v>
      </c>
      <c r="H192" s="69">
        <f t="shared" si="66"/>
        <v>116.23931623931627</v>
      </c>
      <c r="I192" s="69">
        <f t="shared" si="66"/>
        <v>116.23931623931627</v>
      </c>
      <c r="J192" s="69">
        <f t="shared" si="66"/>
        <v>116.23931623931627</v>
      </c>
      <c r="K192" s="69">
        <f t="shared" si="66"/>
        <v>116.23931623931627</v>
      </c>
      <c r="L192" s="69">
        <f t="shared" si="66"/>
        <v>116.23931623931627</v>
      </c>
      <c r="M192" s="69">
        <f t="shared" si="66"/>
        <v>116.23931623931627</v>
      </c>
      <c r="N192" s="69">
        <f t="shared" si="66"/>
        <v>116.23931623931627</v>
      </c>
      <c r="O192" s="69">
        <f t="shared" si="66"/>
        <v>116.23931623931627</v>
      </c>
    </row>
    <row r="193" spans="1: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 spans="1:1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 spans="1:1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 spans="1:1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 spans="1:1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 spans="1:1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</sheetData>
  <mergeCells count="203">
    <mergeCell ref="A188:O188"/>
    <mergeCell ref="A189:A190"/>
    <mergeCell ref="B189:C190"/>
    <mergeCell ref="D189:E189"/>
    <mergeCell ref="F189:O189"/>
    <mergeCell ref="B191:C191"/>
    <mergeCell ref="B192:C192"/>
    <mergeCell ref="A178:A179"/>
    <mergeCell ref="B178:C179"/>
    <mergeCell ref="D178:E178"/>
    <mergeCell ref="F178:O178"/>
    <mergeCell ref="B180:C180"/>
    <mergeCell ref="B183:C183"/>
    <mergeCell ref="B185:C185"/>
    <mergeCell ref="B181:C181"/>
    <mergeCell ref="B182:C182"/>
    <mergeCell ref="B184:C184"/>
    <mergeCell ref="A177:O177"/>
    <mergeCell ref="A170:A171"/>
    <mergeCell ref="B170:C171"/>
    <mergeCell ref="D170:E170"/>
    <mergeCell ref="F170:O170"/>
    <mergeCell ref="B172:C172"/>
    <mergeCell ref="B173:C173"/>
    <mergeCell ref="B174:C174"/>
    <mergeCell ref="A169:O169"/>
    <mergeCell ref="B105:C105"/>
    <mergeCell ref="B164:C164"/>
    <mergeCell ref="B165:C165"/>
    <mergeCell ref="B166:C166"/>
    <mergeCell ref="B167:C167"/>
    <mergeCell ref="A153:A154"/>
    <mergeCell ref="B153:B154"/>
    <mergeCell ref="B155:B156"/>
    <mergeCell ref="B157:B158"/>
    <mergeCell ref="A155:A156"/>
    <mergeCell ref="A157:A158"/>
    <mergeCell ref="B160:C160"/>
    <mergeCell ref="B161:C161"/>
    <mergeCell ref="B162:C162"/>
    <mergeCell ref="B163:C163"/>
    <mergeCell ref="B150:C150"/>
    <mergeCell ref="B151:C151"/>
    <mergeCell ref="B152:C152"/>
    <mergeCell ref="B159:C159"/>
    <mergeCell ref="B147:C147"/>
    <mergeCell ref="B148:C148"/>
    <mergeCell ref="B149:C149"/>
    <mergeCell ref="A123:Q123"/>
    <mergeCell ref="A144:Q144"/>
    <mergeCell ref="A145:A146"/>
    <mergeCell ref="B145:C146"/>
    <mergeCell ref="D145:E145"/>
    <mergeCell ref="F145:G145"/>
    <mergeCell ref="H145:Q145"/>
    <mergeCell ref="B141:C141"/>
    <mergeCell ref="B142:C142"/>
    <mergeCell ref="B143:C143"/>
    <mergeCell ref="B136:C136"/>
    <mergeCell ref="B137:C137"/>
    <mergeCell ref="B138:C138"/>
    <mergeCell ref="B139:C139"/>
    <mergeCell ref="B140:C140"/>
    <mergeCell ref="B131:C131"/>
    <mergeCell ref="B132:C132"/>
    <mergeCell ref="B133:C133"/>
    <mergeCell ref="B134:C134"/>
    <mergeCell ref="B135:C135"/>
    <mergeCell ref="B126:C126"/>
    <mergeCell ref="B127:C127"/>
    <mergeCell ref="B128:C128"/>
    <mergeCell ref="B129:C129"/>
    <mergeCell ref="B130:C130"/>
    <mergeCell ref="B120:C120"/>
    <mergeCell ref="A124:A125"/>
    <mergeCell ref="B124:C125"/>
    <mergeCell ref="D124:E124"/>
    <mergeCell ref="F124:G124"/>
    <mergeCell ref="H124:Q124"/>
    <mergeCell ref="B119:C119"/>
    <mergeCell ref="B114:C114"/>
    <mergeCell ref="B115:C115"/>
    <mergeCell ref="B116:C116"/>
    <mergeCell ref="B111:C111"/>
    <mergeCell ref="B112:C112"/>
    <mergeCell ref="B113:C113"/>
    <mergeCell ref="B117:C117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96:C96"/>
    <mergeCell ref="B97:C97"/>
    <mergeCell ref="B98:C98"/>
    <mergeCell ref="B99:C99"/>
    <mergeCell ref="B100:C100"/>
    <mergeCell ref="A93:Q93"/>
    <mergeCell ref="A94:A95"/>
    <mergeCell ref="B94:C95"/>
    <mergeCell ref="D94:E94"/>
    <mergeCell ref="F94:G94"/>
    <mergeCell ref="H94:Q94"/>
    <mergeCell ref="B87:C87"/>
    <mergeCell ref="B88:C88"/>
    <mergeCell ref="B89:C89"/>
    <mergeCell ref="B90:C90"/>
    <mergeCell ref="A1:H1"/>
    <mergeCell ref="A17:Q17"/>
    <mergeCell ref="A38:O38"/>
    <mergeCell ref="A52:O52"/>
    <mergeCell ref="A67:Q67"/>
    <mergeCell ref="B30:C30"/>
    <mergeCell ref="B31:C31"/>
    <mergeCell ref="B32:C32"/>
    <mergeCell ref="B33:C33"/>
    <mergeCell ref="B34:C34"/>
    <mergeCell ref="B35:C35"/>
    <mergeCell ref="B55:C55"/>
    <mergeCell ref="B56:C56"/>
    <mergeCell ref="B57:C57"/>
    <mergeCell ref="B58:C58"/>
    <mergeCell ref="B59:C59"/>
    <mergeCell ref="B49:C49"/>
    <mergeCell ref="D39:E39"/>
    <mergeCell ref="F39:O39"/>
    <mergeCell ref="A53:A54"/>
    <mergeCell ref="B53:C54"/>
    <mergeCell ref="D53:E53"/>
    <mergeCell ref="F53:O53"/>
    <mergeCell ref="A47:A48"/>
    <mergeCell ref="B82:C82"/>
    <mergeCell ref="B83:C83"/>
    <mergeCell ref="B84:C84"/>
    <mergeCell ref="B85:C85"/>
    <mergeCell ref="B86:C86"/>
    <mergeCell ref="B70:C70"/>
    <mergeCell ref="B72:C72"/>
    <mergeCell ref="B73:C73"/>
    <mergeCell ref="B74:C74"/>
    <mergeCell ref="B75:C75"/>
    <mergeCell ref="B81:C81"/>
    <mergeCell ref="B76:C76"/>
    <mergeCell ref="B77:C77"/>
    <mergeCell ref="B78:C78"/>
    <mergeCell ref="B79:C79"/>
    <mergeCell ref="B80:C80"/>
    <mergeCell ref="B71:C71"/>
    <mergeCell ref="A68:A69"/>
    <mergeCell ref="B68:C69"/>
    <mergeCell ref="D68:E68"/>
    <mergeCell ref="F68:G68"/>
    <mergeCell ref="H68:Q68"/>
    <mergeCell ref="B60:C60"/>
    <mergeCell ref="B61:C61"/>
    <mergeCell ref="B63:C63"/>
    <mergeCell ref="B64:C64"/>
    <mergeCell ref="B62:C62"/>
    <mergeCell ref="B41:C41"/>
    <mergeCell ref="B42:C42"/>
    <mergeCell ref="B43:C43"/>
    <mergeCell ref="B44:C44"/>
    <mergeCell ref="B45:C45"/>
    <mergeCell ref="B46:C46"/>
    <mergeCell ref="B47:C47"/>
    <mergeCell ref="B48:C48"/>
    <mergeCell ref="B29:C29"/>
    <mergeCell ref="B39:C40"/>
    <mergeCell ref="A39:A40"/>
    <mergeCell ref="A21:A22"/>
    <mergeCell ref="A23:A24"/>
    <mergeCell ref="A25:A26"/>
    <mergeCell ref="A27:A28"/>
    <mergeCell ref="B20:C20"/>
    <mergeCell ref="B21:B22"/>
    <mergeCell ref="B23:B24"/>
    <mergeCell ref="B25:B26"/>
    <mergeCell ref="B27:B28"/>
    <mergeCell ref="A18:A19"/>
    <mergeCell ref="B18:C19"/>
    <mergeCell ref="D18:E18"/>
    <mergeCell ref="F18:G18"/>
    <mergeCell ref="H18:Q18"/>
    <mergeCell ref="A2:A3"/>
    <mergeCell ref="B2:C3"/>
    <mergeCell ref="B4:C4"/>
    <mergeCell ref="D2:E2"/>
    <mergeCell ref="H2:H3"/>
    <mergeCell ref="B5:C5"/>
    <mergeCell ref="B6:C6"/>
    <mergeCell ref="B7:C7"/>
    <mergeCell ref="B10:C10"/>
    <mergeCell ref="B11:C11"/>
    <mergeCell ref="B12:C12"/>
    <mergeCell ref="B13:C13"/>
    <mergeCell ref="F2:G2"/>
    <mergeCell ref="B8:C8"/>
    <mergeCell ref="B9:C9"/>
  </mergeCells>
  <phoneticPr fontId="1" type="noConversion"/>
  <pageMargins left="0.7" right="0.7" top="0.75" bottom="0.75" header="0.3" footer="0.3"/>
  <pageSetup paperSize="9" orientation="landscape" r:id="rId1"/>
  <ignoredErrors>
    <ignoredError sqref="H8 H1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963C-3434-4917-8163-EC57F49B1E82}">
  <dimension ref="A2:S101"/>
  <sheetViews>
    <sheetView tabSelected="1" topLeftCell="A86" workbookViewId="0">
      <selection activeCell="O101" sqref="C99:O101"/>
    </sheetView>
  </sheetViews>
  <sheetFormatPr defaultRowHeight="14.25" x14ac:dyDescent="0.2"/>
  <cols>
    <col min="1" max="1" width="9.25" customWidth="1"/>
    <col min="2" max="2" width="4.25" customWidth="1"/>
    <col min="3" max="3" width="21.875" customWidth="1"/>
    <col min="4" max="6" width="8.5" customWidth="1"/>
    <col min="7" max="7" width="12.5" customWidth="1"/>
    <col min="8" max="18" width="8.5" customWidth="1"/>
    <col min="22" max="22" width="9.375" bestFit="1" customWidth="1"/>
  </cols>
  <sheetData>
    <row r="2" spans="2:19" x14ac:dyDescent="0.2">
      <c r="L2">
        <f xml:space="preserve"> 7-1+162.09/493.26</f>
        <v>6.328609658192434</v>
      </c>
    </row>
    <row r="4" spans="2:19" x14ac:dyDescent="0.2">
      <c r="B4" s="146" t="s">
        <v>0</v>
      </c>
      <c r="C4" s="109" t="s">
        <v>142</v>
      </c>
      <c r="D4" s="109"/>
      <c r="E4" s="108" t="s">
        <v>2</v>
      </c>
      <c r="F4" s="108"/>
      <c r="G4" s="108" t="s">
        <v>13</v>
      </c>
      <c r="H4" s="108"/>
      <c r="I4" s="108" t="s">
        <v>18</v>
      </c>
      <c r="J4" s="108"/>
      <c r="K4" s="108"/>
      <c r="L4" s="108"/>
      <c r="M4" s="108"/>
      <c r="N4" s="108"/>
      <c r="O4" s="108"/>
      <c r="P4" s="108"/>
      <c r="Q4" s="108"/>
      <c r="R4" s="108"/>
    </row>
    <row r="5" spans="2:19" x14ac:dyDescent="0.2">
      <c r="B5" s="120"/>
      <c r="C5" s="144"/>
      <c r="D5" s="144"/>
      <c r="E5" s="7">
        <v>1</v>
      </c>
      <c r="F5" s="7">
        <v>2</v>
      </c>
      <c r="G5" s="7">
        <v>3</v>
      </c>
      <c r="H5" s="7">
        <v>4</v>
      </c>
      <c r="I5" s="7">
        <v>5</v>
      </c>
      <c r="J5" s="7">
        <v>6</v>
      </c>
      <c r="K5" s="7">
        <v>7</v>
      </c>
      <c r="L5" s="7">
        <v>8</v>
      </c>
      <c r="M5" s="7">
        <v>9</v>
      </c>
      <c r="N5" s="7">
        <v>10</v>
      </c>
      <c r="O5" s="7">
        <v>11</v>
      </c>
      <c r="P5" s="7">
        <v>12</v>
      </c>
      <c r="Q5" s="7">
        <v>13</v>
      </c>
      <c r="R5" s="7">
        <v>14</v>
      </c>
    </row>
    <row r="6" spans="2:19" ht="14.25" customHeight="1" x14ac:dyDescent="0.2">
      <c r="B6" s="3">
        <v>1</v>
      </c>
      <c r="C6" s="121" t="s">
        <v>138</v>
      </c>
      <c r="D6" s="127"/>
      <c r="E6" s="7">
        <v>-1000</v>
      </c>
      <c r="F6" s="76">
        <v>-700</v>
      </c>
      <c r="G6" s="57">
        <v>-33.847489316239262</v>
      </c>
      <c r="H6" s="77">
        <v>105.49194230769172</v>
      </c>
      <c r="I6" s="57">
        <v>606.61015811965808</v>
      </c>
      <c r="J6" s="77">
        <v>646.8101581196579</v>
      </c>
      <c r="K6" s="57">
        <v>1687.0101581196577</v>
      </c>
      <c r="L6" s="77">
        <v>1643.0901581196576</v>
      </c>
      <c r="M6" s="57">
        <v>1643.0901581196576</v>
      </c>
      <c r="N6" s="77">
        <v>1643.0901581196576</v>
      </c>
      <c r="O6" s="57">
        <v>1643.0901581196576</v>
      </c>
      <c r="P6" s="77">
        <v>1643.0901581196576</v>
      </c>
      <c r="Q6" s="57">
        <v>1607.2221581196573</v>
      </c>
      <c r="R6" s="67">
        <v>2262.7221581196573</v>
      </c>
    </row>
    <row r="7" spans="2:19" ht="14.25" customHeight="1" x14ac:dyDescent="0.2">
      <c r="B7" s="4">
        <v>2</v>
      </c>
      <c r="C7" s="123" t="s">
        <v>139</v>
      </c>
      <c r="D7" s="124"/>
      <c r="E7" s="54">
        <v>-1000</v>
      </c>
      <c r="F7" s="14">
        <v>-1700</v>
      </c>
      <c r="G7" s="34">
        <v>-1733.8474893162393</v>
      </c>
      <c r="H7" s="75">
        <v>-1628.3555470085475</v>
      </c>
      <c r="I7" s="34">
        <v>-1021.7453888888895</v>
      </c>
      <c r="J7" s="75">
        <v>-374.93523076923157</v>
      </c>
      <c r="K7" s="34">
        <v>1312.0749273504262</v>
      </c>
      <c r="L7" s="75">
        <v>2955.1650854700838</v>
      </c>
      <c r="M7" s="34">
        <v>4598.2552435897414</v>
      </c>
      <c r="N7" s="75">
        <v>6241.3454017093991</v>
      </c>
      <c r="O7" s="34">
        <v>7884.4355598290567</v>
      </c>
      <c r="P7" s="75">
        <v>9527.5257179487144</v>
      </c>
      <c r="Q7" s="34">
        <v>11134.747876068372</v>
      </c>
      <c r="R7" s="58">
        <v>13397.470034188029</v>
      </c>
    </row>
    <row r="8" spans="2:19" ht="14.25" customHeight="1" x14ac:dyDescent="0.2">
      <c r="B8" s="4">
        <v>3</v>
      </c>
      <c r="C8" s="113" t="s">
        <v>140</v>
      </c>
      <c r="D8" s="114"/>
      <c r="E8" s="78">
        <v>0.86956521739130443</v>
      </c>
      <c r="F8" s="79">
        <v>0.7561436672967865</v>
      </c>
      <c r="G8" s="78">
        <v>0.65751623243198831</v>
      </c>
      <c r="H8" s="79">
        <v>0.57175324559303342</v>
      </c>
      <c r="I8" s="78">
        <v>0.49717673529828987</v>
      </c>
      <c r="J8" s="79">
        <v>0.43232759591155645</v>
      </c>
      <c r="K8" s="78">
        <v>0.37593703992309269</v>
      </c>
      <c r="L8" s="79">
        <v>0.32690177384616753</v>
      </c>
      <c r="M8" s="78">
        <v>0.28426241204014574</v>
      </c>
      <c r="N8" s="79">
        <v>0.24718470612186585</v>
      </c>
      <c r="O8" s="78">
        <v>0.21494322271466598</v>
      </c>
      <c r="P8" s="79">
        <v>0.18690715018666609</v>
      </c>
      <c r="Q8" s="78">
        <v>0.16252795668405748</v>
      </c>
      <c r="R8" s="80">
        <v>0.14132865798613695</v>
      </c>
    </row>
    <row r="9" spans="2:19" ht="14.25" customHeight="1" x14ac:dyDescent="0.2">
      <c r="B9" s="4">
        <v>4</v>
      </c>
      <c r="C9" s="113" t="s">
        <v>141</v>
      </c>
      <c r="D9" s="114"/>
      <c r="E9" s="81">
        <v>-869.56521739130449</v>
      </c>
      <c r="F9" s="82">
        <v>-529.30056710775057</v>
      </c>
      <c r="G9" s="81">
        <v>-22.255273652495617</v>
      </c>
      <c r="H9" s="82">
        <v>60.315360398335777</v>
      </c>
      <c r="I9" s="81">
        <v>301.59245801271101</v>
      </c>
      <c r="J9" s="82">
        <v>279.6338806710454</v>
      </c>
      <c r="K9" s="81">
        <v>634.20960516369269</v>
      </c>
      <c r="L9" s="82">
        <v>537.12908727849594</v>
      </c>
      <c r="M9" s="81">
        <v>467.06877154651835</v>
      </c>
      <c r="N9" s="82">
        <v>406.14675786653765</v>
      </c>
      <c r="O9" s="81">
        <v>353.17109379698934</v>
      </c>
      <c r="P9" s="82">
        <v>307.1052989539038</v>
      </c>
      <c r="Q9" s="81">
        <v>261.21853329652902</v>
      </c>
      <c r="R9" s="83">
        <v>319.7874860025467</v>
      </c>
    </row>
    <row r="10" spans="2:19" x14ac:dyDescent="0.2">
      <c r="B10" s="4">
        <v>5</v>
      </c>
      <c r="C10" s="115" t="s">
        <v>137</v>
      </c>
      <c r="D10" s="116"/>
      <c r="E10" s="84">
        <v>-869.56521739130449</v>
      </c>
      <c r="F10" s="85">
        <v>-1285.4442344045372</v>
      </c>
      <c r="G10" s="84">
        <v>-1140.0328687868757</v>
      </c>
      <c r="H10" s="85">
        <v>-931.01756898155634</v>
      </c>
      <c r="I10" s="84">
        <v>-507.98803675385966</v>
      </c>
      <c r="J10" s="85">
        <v>-162.09484694100652</v>
      </c>
      <c r="K10" s="84">
        <v>493.25756434542609</v>
      </c>
      <c r="L10" s="85">
        <v>966.04870844843163</v>
      </c>
      <c r="M10" s="84">
        <v>1307.1111267190679</v>
      </c>
      <c r="N10" s="85">
        <v>1542.7651289265966</v>
      </c>
      <c r="O10" s="84">
        <v>1694.7059885157691</v>
      </c>
      <c r="P10" s="85">
        <v>1780.762680271964</v>
      </c>
      <c r="Q10" s="84">
        <v>1809.7078204895413</v>
      </c>
      <c r="R10" s="86">
        <v>1893.4464603412785</v>
      </c>
    </row>
    <row r="11" spans="2:19" x14ac:dyDescent="0.2">
      <c r="B11" s="76"/>
    </row>
    <row r="13" spans="2:19" x14ac:dyDescent="0.2">
      <c r="C13" s="150"/>
      <c r="D13" s="66" t="s">
        <v>159</v>
      </c>
      <c r="E13" s="66">
        <v>1</v>
      </c>
      <c r="F13" s="66">
        <v>2</v>
      </c>
      <c r="G13" s="66">
        <v>3</v>
      </c>
      <c r="H13" s="66">
        <v>4</v>
      </c>
      <c r="I13" s="66">
        <v>5</v>
      </c>
      <c r="J13" s="66">
        <v>6</v>
      </c>
      <c r="K13" s="66">
        <v>7</v>
      </c>
      <c r="L13" s="66">
        <v>8</v>
      </c>
      <c r="M13" s="66">
        <v>9</v>
      </c>
      <c r="N13" s="66">
        <v>10</v>
      </c>
      <c r="O13" s="66">
        <v>11</v>
      </c>
      <c r="P13" s="55">
        <v>12</v>
      </c>
      <c r="Q13" s="55">
        <v>13</v>
      </c>
      <c r="R13" s="55">
        <v>14</v>
      </c>
      <c r="S13" s="55" t="s">
        <v>143</v>
      </c>
    </row>
    <row r="14" spans="2:19" ht="14.25" customHeight="1" x14ac:dyDescent="0.2">
      <c r="C14" s="151"/>
      <c r="D14" s="87" t="s">
        <v>138</v>
      </c>
      <c r="E14" s="90">
        <v>-1000</v>
      </c>
      <c r="F14" s="90">
        <v>-700</v>
      </c>
      <c r="G14" s="90">
        <v>-33.847489316239262</v>
      </c>
      <c r="H14" s="90">
        <v>105.49194230769172</v>
      </c>
      <c r="I14" s="90">
        <v>606.61015811965808</v>
      </c>
      <c r="J14" s="90">
        <v>646.8101581196579</v>
      </c>
      <c r="K14" s="90">
        <v>1687.0101581196577</v>
      </c>
      <c r="L14" s="90">
        <v>1643.0901581196576</v>
      </c>
      <c r="M14" s="90">
        <v>1643.0901581196576</v>
      </c>
      <c r="N14" s="90">
        <v>1643.0901581196576</v>
      </c>
      <c r="O14" s="90">
        <v>1643.0901581196576</v>
      </c>
      <c r="P14" s="90">
        <v>1643.0901581196576</v>
      </c>
      <c r="Q14" s="90">
        <v>1607.2221581196573</v>
      </c>
      <c r="R14" s="90">
        <v>2262.7221581196573</v>
      </c>
      <c r="S14" s="91"/>
    </row>
    <row r="15" spans="2:19" x14ac:dyDescent="0.2">
      <c r="C15" s="152">
        <v>0.15</v>
      </c>
      <c r="D15" s="27" t="s">
        <v>145</v>
      </c>
      <c r="E15" s="90">
        <f t="shared" ref="E15:R15" si="0">1/(1+0.15)^E13</f>
        <v>0.86956521739130443</v>
      </c>
      <c r="F15" s="90">
        <f t="shared" si="0"/>
        <v>0.7561436672967865</v>
      </c>
      <c r="G15" s="90">
        <f t="shared" si="0"/>
        <v>0.65751623243198831</v>
      </c>
      <c r="H15" s="90">
        <f t="shared" si="0"/>
        <v>0.57175324559303342</v>
      </c>
      <c r="I15" s="90">
        <f t="shared" si="0"/>
        <v>0.49717673529828987</v>
      </c>
      <c r="J15" s="90">
        <f t="shared" si="0"/>
        <v>0.43232759591155645</v>
      </c>
      <c r="K15" s="90">
        <f t="shared" si="0"/>
        <v>0.37593703992309269</v>
      </c>
      <c r="L15" s="90">
        <f t="shared" si="0"/>
        <v>0.32690177384616753</v>
      </c>
      <c r="M15" s="90">
        <f t="shared" si="0"/>
        <v>0.28426241204014574</v>
      </c>
      <c r="N15" s="90">
        <f t="shared" si="0"/>
        <v>0.24718470612186585</v>
      </c>
      <c r="O15" s="90">
        <f t="shared" si="0"/>
        <v>0.21494322271466598</v>
      </c>
      <c r="P15" s="90">
        <f t="shared" si="0"/>
        <v>0.18690715018666609</v>
      </c>
      <c r="Q15" s="90">
        <f t="shared" si="0"/>
        <v>0.16252795668405748</v>
      </c>
      <c r="R15" s="90">
        <f t="shared" si="0"/>
        <v>0.14132865798613695</v>
      </c>
      <c r="S15" s="156">
        <f t="shared" ref="S15" si="1">SUM(E16:R16)</f>
        <v>2506.2572748357552</v>
      </c>
    </row>
    <row r="16" spans="2:19" x14ac:dyDescent="0.2">
      <c r="C16" s="153"/>
      <c r="D16" s="31" t="s">
        <v>144</v>
      </c>
      <c r="E16" s="92">
        <f t="shared" ref="E16:R16" si="2">E14*E15</f>
        <v>-869.56521739130449</v>
      </c>
      <c r="F16" s="92">
        <f t="shared" si="2"/>
        <v>-529.30056710775057</v>
      </c>
      <c r="G16" s="92">
        <f t="shared" si="2"/>
        <v>-22.255273652495617</v>
      </c>
      <c r="H16" s="92">
        <f t="shared" si="2"/>
        <v>60.315360398335777</v>
      </c>
      <c r="I16" s="92">
        <f t="shared" si="2"/>
        <v>301.59245801271101</v>
      </c>
      <c r="J16" s="92">
        <f t="shared" si="2"/>
        <v>279.6338806710454</v>
      </c>
      <c r="K16" s="92">
        <f t="shared" si="2"/>
        <v>634.20960516369269</v>
      </c>
      <c r="L16" s="92">
        <f t="shared" si="2"/>
        <v>537.12908727849594</v>
      </c>
      <c r="M16" s="92">
        <f t="shared" si="2"/>
        <v>467.06877154651835</v>
      </c>
      <c r="N16" s="92">
        <f t="shared" si="2"/>
        <v>406.14675786653765</v>
      </c>
      <c r="O16" s="92">
        <f t="shared" si="2"/>
        <v>353.17109379698934</v>
      </c>
      <c r="P16" s="92">
        <f t="shared" si="2"/>
        <v>307.1052989539038</v>
      </c>
      <c r="Q16" s="92">
        <f t="shared" si="2"/>
        <v>261.21853329652902</v>
      </c>
      <c r="R16" s="92">
        <f t="shared" si="2"/>
        <v>319.7874860025467</v>
      </c>
      <c r="S16" s="157"/>
    </row>
    <row r="17" spans="3:19" x14ac:dyDescent="0.2">
      <c r="C17" s="152">
        <v>0.2</v>
      </c>
      <c r="D17" s="27" t="s">
        <v>146</v>
      </c>
      <c r="E17" s="90">
        <f t="shared" ref="E17:R17" si="3">1/(1+0.2)^E13</f>
        <v>0.83333333333333337</v>
      </c>
      <c r="F17" s="90">
        <f t="shared" si="3"/>
        <v>0.69444444444444442</v>
      </c>
      <c r="G17" s="90">
        <f t="shared" si="3"/>
        <v>0.57870370370370372</v>
      </c>
      <c r="H17" s="90">
        <f t="shared" si="3"/>
        <v>0.48225308641975312</v>
      </c>
      <c r="I17" s="90">
        <f t="shared" si="3"/>
        <v>0.4018775720164609</v>
      </c>
      <c r="J17" s="90">
        <f t="shared" si="3"/>
        <v>0.33489797668038412</v>
      </c>
      <c r="K17" s="90">
        <f t="shared" si="3"/>
        <v>0.27908164723365342</v>
      </c>
      <c r="L17" s="90">
        <f t="shared" si="3"/>
        <v>0.23256803936137788</v>
      </c>
      <c r="M17" s="90">
        <f t="shared" si="3"/>
        <v>0.1938066994678149</v>
      </c>
      <c r="N17" s="90">
        <f t="shared" si="3"/>
        <v>0.16150558288984573</v>
      </c>
      <c r="O17" s="90">
        <f t="shared" si="3"/>
        <v>0.13458798574153813</v>
      </c>
      <c r="P17" s="90">
        <f t="shared" si="3"/>
        <v>0.11215665478461512</v>
      </c>
      <c r="Q17" s="90">
        <f t="shared" si="3"/>
        <v>9.3463878987179255E-2</v>
      </c>
      <c r="R17" s="90">
        <f t="shared" si="3"/>
        <v>7.7886565822649384E-2</v>
      </c>
      <c r="S17" s="156">
        <f t="shared" ref="S17" si="4">SUM(E18:R18)</f>
        <v>1340.8706442664859</v>
      </c>
    </row>
    <row r="18" spans="3:19" x14ac:dyDescent="0.2">
      <c r="C18" s="153"/>
      <c r="D18" s="31" t="s">
        <v>144</v>
      </c>
      <c r="E18" s="92">
        <f t="shared" ref="E18:R18" si="5">E17*E14</f>
        <v>-833.33333333333337</v>
      </c>
      <c r="F18" s="92">
        <f t="shared" si="5"/>
        <v>-486.11111111111109</v>
      </c>
      <c r="G18" s="92">
        <f t="shared" si="5"/>
        <v>-19.587667428379202</v>
      </c>
      <c r="H18" s="92">
        <f t="shared" si="5"/>
        <v>50.873814770298864</v>
      </c>
      <c r="I18" s="92">
        <f t="shared" si="5"/>
        <v>243.78301750564964</v>
      </c>
      <c r="J18" s="92">
        <f t="shared" si="5"/>
        <v>216.61541325059275</v>
      </c>
      <c r="K18" s="92">
        <f t="shared" si="5"/>
        <v>470.81357382794016</v>
      </c>
      <c r="L18" s="92">
        <f t="shared" si="5"/>
        <v>382.13025656786516</v>
      </c>
      <c r="M18" s="92">
        <f t="shared" si="5"/>
        <v>318.44188047322092</v>
      </c>
      <c r="N18" s="92">
        <f t="shared" si="5"/>
        <v>265.36823372768413</v>
      </c>
      <c r="O18" s="92">
        <f t="shared" si="5"/>
        <v>221.14019477307011</v>
      </c>
      <c r="P18" s="92">
        <f t="shared" si="5"/>
        <v>184.2834956442251</v>
      </c>
      <c r="Q18" s="92">
        <f t="shared" si="5"/>
        <v>150.21721729200874</v>
      </c>
      <c r="R18" s="92">
        <f t="shared" si="5"/>
        <v>176.23565830675395</v>
      </c>
      <c r="S18" s="157"/>
    </row>
    <row r="19" spans="3:19" x14ac:dyDescent="0.2">
      <c r="C19" s="152">
        <v>0.25</v>
      </c>
      <c r="D19" s="27" t="s">
        <v>147</v>
      </c>
      <c r="E19" s="90">
        <f t="shared" ref="E19:R19" si="6">1/(1+0.25)^E13</f>
        <v>0.8</v>
      </c>
      <c r="F19" s="90">
        <f t="shared" si="6"/>
        <v>0.64</v>
      </c>
      <c r="G19" s="90">
        <f t="shared" si="6"/>
        <v>0.51200000000000001</v>
      </c>
      <c r="H19" s="90">
        <f t="shared" si="6"/>
        <v>0.40960000000000002</v>
      </c>
      <c r="I19" s="90">
        <f t="shared" si="6"/>
        <v>0.32768000000000003</v>
      </c>
      <c r="J19" s="90">
        <f t="shared" si="6"/>
        <v>0.26214399999999999</v>
      </c>
      <c r="K19" s="90">
        <f t="shared" si="6"/>
        <v>0.20971519999999999</v>
      </c>
      <c r="L19" s="90">
        <f t="shared" si="6"/>
        <v>0.16777216</v>
      </c>
      <c r="M19" s="90">
        <f t="shared" si="6"/>
        <v>0.13421772800000001</v>
      </c>
      <c r="N19" s="90">
        <f t="shared" si="6"/>
        <v>0.1073741824</v>
      </c>
      <c r="O19" s="90">
        <f t="shared" si="6"/>
        <v>8.5899345919999995E-2</v>
      </c>
      <c r="P19" s="90">
        <f t="shared" si="6"/>
        <v>6.8719476735999999E-2</v>
      </c>
      <c r="Q19" s="90">
        <f t="shared" si="6"/>
        <v>5.4975581388800002E-2</v>
      </c>
      <c r="R19" s="90">
        <f t="shared" si="6"/>
        <v>4.398046511104E-2</v>
      </c>
      <c r="S19" s="156">
        <f t="shared" ref="S19" si="7">SUM(E20:R20)</f>
        <v>614.55096287709466</v>
      </c>
    </row>
    <row r="20" spans="3:19" x14ac:dyDescent="0.2">
      <c r="C20" s="153"/>
      <c r="D20" s="31" t="s">
        <v>144</v>
      </c>
      <c r="E20" s="92">
        <f t="shared" ref="E20:R20" si="8">E14*E19</f>
        <v>-800</v>
      </c>
      <c r="F20" s="92">
        <f t="shared" si="8"/>
        <v>-448</v>
      </c>
      <c r="G20" s="92">
        <f t="shared" si="8"/>
        <v>-17.329914529914504</v>
      </c>
      <c r="H20" s="92">
        <f t="shared" si="8"/>
        <v>43.20949956923053</v>
      </c>
      <c r="I20" s="92">
        <f t="shared" si="8"/>
        <v>198.77401661264958</v>
      </c>
      <c r="J20" s="92">
        <f t="shared" si="8"/>
        <v>169.55740209011958</v>
      </c>
      <c r="K20" s="92">
        <f t="shared" si="8"/>
        <v>353.79167271209565</v>
      </c>
      <c r="L20" s="92">
        <f t="shared" si="8"/>
        <v>275.66478490247653</v>
      </c>
      <c r="M20" s="92">
        <f t="shared" si="8"/>
        <v>220.5318279219812</v>
      </c>
      <c r="N20" s="92">
        <f t="shared" si="8"/>
        <v>176.42546233758497</v>
      </c>
      <c r="O20" s="92">
        <f t="shared" si="8"/>
        <v>141.14036987006796</v>
      </c>
      <c r="P20" s="92">
        <f t="shared" si="8"/>
        <v>112.91229589605437</v>
      </c>
      <c r="Q20" s="92">
        <f t="shared" si="8"/>
        <v>88.357972563589996</v>
      </c>
      <c r="R20" s="92">
        <f t="shared" si="8"/>
        <v>99.515572931158715</v>
      </c>
      <c r="S20" s="157"/>
    </row>
    <row r="21" spans="3:19" x14ac:dyDescent="0.2">
      <c r="C21" s="152">
        <v>0.28000000000000003</v>
      </c>
      <c r="D21" s="27" t="s">
        <v>148</v>
      </c>
      <c r="E21" s="90">
        <f t="shared" ref="E21:R21" si="9">1/(1+0.28)^E13</f>
        <v>0.78125</v>
      </c>
      <c r="F21" s="90">
        <f t="shared" si="9"/>
        <v>0.6103515625</v>
      </c>
      <c r="G21" s="90">
        <f t="shared" si="9"/>
        <v>0.47683715820312494</v>
      </c>
      <c r="H21" s="90">
        <f t="shared" si="9"/>
        <v>0.37252902984619141</v>
      </c>
      <c r="I21" s="90">
        <f t="shared" si="9"/>
        <v>0.29103830456733704</v>
      </c>
      <c r="J21" s="90">
        <f t="shared" si="9"/>
        <v>0.22737367544323206</v>
      </c>
      <c r="K21" s="90">
        <f t="shared" si="9"/>
        <v>0.17763568394002502</v>
      </c>
      <c r="L21" s="90">
        <f t="shared" si="9"/>
        <v>0.13877787807814454</v>
      </c>
      <c r="M21" s="90">
        <f t="shared" si="9"/>
        <v>0.10842021724855043</v>
      </c>
      <c r="N21" s="90">
        <f t="shared" si="9"/>
        <v>8.470329472543002E-2</v>
      </c>
      <c r="O21" s="90">
        <f t="shared" si="9"/>
        <v>6.61744490042422E-2</v>
      </c>
      <c r="P21" s="90">
        <f t="shared" si="9"/>
        <v>5.1698788284564222E-2</v>
      </c>
      <c r="Q21" s="90">
        <f t="shared" si="9"/>
        <v>4.0389678347315799E-2</v>
      </c>
      <c r="R21" s="90">
        <f t="shared" si="9"/>
        <v>3.1554436208840471E-2</v>
      </c>
      <c r="S21" s="156">
        <f t="shared" ref="S21" si="10">SUM(E22:R22)</f>
        <v>313.28494627778741</v>
      </c>
    </row>
    <row r="22" spans="3:19" x14ac:dyDescent="0.2">
      <c r="C22" s="153"/>
      <c r="D22" s="31" t="s">
        <v>141</v>
      </c>
      <c r="E22" s="92">
        <f t="shared" ref="E22:R22" si="11">E14*E21</f>
        <v>-781.25</v>
      </c>
      <c r="F22" s="92">
        <f t="shared" si="11"/>
        <v>-427.24609375</v>
      </c>
      <c r="G22" s="92">
        <f t="shared" si="11"/>
        <v>-16.139740617866163</v>
      </c>
      <c r="H22" s="92">
        <f t="shared" si="11"/>
        <v>39.298810924474786</v>
      </c>
      <c r="I22" s="92">
        <f t="shared" si="11"/>
        <v>176.54679195246953</v>
      </c>
      <c r="J22" s="92">
        <f t="shared" si="11"/>
        <v>147.0676029656847</v>
      </c>
      <c r="K22" s="92">
        <f t="shared" si="11"/>
        <v>299.67320325135518</v>
      </c>
      <c r="L22" s="92">
        <f t="shared" si="11"/>
        <v>228.02456563492908</v>
      </c>
      <c r="M22" s="92">
        <f t="shared" si="11"/>
        <v>178.14419190228836</v>
      </c>
      <c r="N22" s="92">
        <f t="shared" si="11"/>
        <v>139.17514992366279</v>
      </c>
      <c r="O22" s="92">
        <f t="shared" si="11"/>
        <v>108.73058587786154</v>
      </c>
      <c r="P22" s="92">
        <f t="shared" si="11"/>
        <v>84.945770217079328</v>
      </c>
      <c r="Q22" s="92">
        <f t="shared" si="11"/>
        <v>64.915185999131694</v>
      </c>
      <c r="R22" s="92">
        <f t="shared" si="11"/>
        <v>71.398921996716567</v>
      </c>
      <c r="S22" s="157"/>
    </row>
    <row r="23" spans="3:19" x14ac:dyDescent="0.2">
      <c r="C23" s="152">
        <v>0.3</v>
      </c>
      <c r="D23" s="27" t="s">
        <v>149</v>
      </c>
      <c r="E23" s="90">
        <f t="shared" ref="E23:R23" si="12">1/(1+0.3)^E13</f>
        <v>0.76923076923076916</v>
      </c>
      <c r="F23" s="90">
        <f t="shared" si="12"/>
        <v>0.59171597633136086</v>
      </c>
      <c r="G23" s="90">
        <f t="shared" si="12"/>
        <v>0.45516613563950831</v>
      </c>
      <c r="H23" s="90">
        <f t="shared" si="12"/>
        <v>0.35012779664577565</v>
      </c>
      <c r="I23" s="90">
        <f t="shared" si="12"/>
        <v>0.26932907434290432</v>
      </c>
      <c r="J23" s="90">
        <f t="shared" si="12"/>
        <v>0.20717621103300329</v>
      </c>
      <c r="K23" s="90">
        <f t="shared" si="12"/>
        <v>0.1593663161792333</v>
      </c>
      <c r="L23" s="90">
        <f t="shared" si="12"/>
        <v>0.12258947398402563</v>
      </c>
      <c r="M23" s="90">
        <f t="shared" si="12"/>
        <v>9.4299595372327405E-2</v>
      </c>
      <c r="N23" s="90">
        <f t="shared" si="12"/>
        <v>7.2538150286405687E-2</v>
      </c>
      <c r="O23" s="90">
        <f t="shared" si="12"/>
        <v>5.579857714338899E-2</v>
      </c>
      <c r="P23" s="90">
        <f t="shared" si="12"/>
        <v>4.2921982417991528E-2</v>
      </c>
      <c r="Q23" s="90">
        <f t="shared" si="12"/>
        <v>3.3016909552301174E-2</v>
      </c>
      <c r="R23" s="90">
        <f t="shared" si="12"/>
        <v>2.5397622732539361E-2</v>
      </c>
      <c r="S23" s="156">
        <f t="shared" ref="S23" si="13">SUM(E24:R24)</f>
        <v>152.62657044681052</v>
      </c>
    </row>
    <row r="24" spans="3:19" x14ac:dyDescent="0.2">
      <c r="C24" s="153"/>
      <c r="D24" s="31" t="s">
        <v>141</v>
      </c>
      <c r="E24" s="92">
        <f t="shared" ref="E24:R24" si="14">E14*E23</f>
        <v>-769.23076923076917</v>
      </c>
      <c r="F24" s="92">
        <f t="shared" si="14"/>
        <v>-414.20118343195259</v>
      </c>
      <c r="G24" s="92">
        <f t="shared" si="14"/>
        <v>-15.406230913172168</v>
      </c>
      <c r="H24" s="92">
        <f t="shared" si="14"/>
        <v>36.935661324075383</v>
      </c>
      <c r="I24" s="92">
        <f t="shared" si="14"/>
        <v>163.37775237337033</v>
      </c>
      <c r="J24" s="92">
        <f t="shared" si="14"/>
        <v>134.00367781688848</v>
      </c>
      <c r="K24" s="92">
        <f t="shared" si="14"/>
        <v>268.85259425647575</v>
      </c>
      <c r="L24" s="92">
        <f t="shared" si="14"/>
        <v>201.42555819221832</v>
      </c>
      <c r="M24" s="92">
        <f t="shared" si="14"/>
        <v>154.94273707093717</v>
      </c>
      <c r="N24" s="92">
        <f t="shared" si="14"/>
        <v>119.18672082379781</v>
      </c>
      <c r="O24" s="92">
        <f t="shared" si="14"/>
        <v>91.682092941382933</v>
      </c>
      <c r="P24" s="92">
        <f t="shared" si="14"/>
        <v>70.524686877986866</v>
      </c>
      <c r="Q24" s="92">
        <f t="shared" si="14"/>
        <v>53.06550862509102</v>
      </c>
      <c r="R24" s="92">
        <f t="shared" si="14"/>
        <v>57.467763720480328</v>
      </c>
      <c r="S24" s="157"/>
    </row>
    <row r="25" spans="3:19" x14ac:dyDescent="0.2">
      <c r="C25" s="158">
        <v>0.30499999999999999</v>
      </c>
      <c r="D25" s="27" t="s">
        <v>153</v>
      </c>
      <c r="E25" s="90">
        <f t="shared" ref="E25:R25" si="15">1/(1+0.305)^E13</f>
        <v>0.76628352490421459</v>
      </c>
      <c r="F25" s="90">
        <f t="shared" si="15"/>
        <v>0.5871904405396281</v>
      </c>
      <c r="G25" s="90">
        <f t="shared" si="15"/>
        <v>0.44995436056676485</v>
      </c>
      <c r="H25" s="90">
        <f t="shared" si="15"/>
        <v>0.3447926134611225</v>
      </c>
      <c r="I25" s="90">
        <f t="shared" si="15"/>
        <v>0.26420889920392532</v>
      </c>
      <c r="J25" s="90">
        <f t="shared" si="15"/>
        <v>0.20245892659304623</v>
      </c>
      <c r="K25" s="90">
        <f t="shared" si="15"/>
        <v>0.15514093991804309</v>
      </c>
      <c r="L25" s="90">
        <f t="shared" si="15"/>
        <v>0.11888194629735103</v>
      </c>
      <c r="M25" s="90">
        <f t="shared" si="15"/>
        <v>9.1097276856207693E-2</v>
      </c>
      <c r="N25" s="90">
        <f t="shared" si="15"/>
        <v>6.9806342418549966E-2</v>
      </c>
      <c r="O25" s="90">
        <f t="shared" si="15"/>
        <v>5.3491450129157056E-2</v>
      </c>
      <c r="P25" s="90">
        <f t="shared" si="15"/>
        <v>4.0989616957208479E-2</v>
      </c>
      <c r="Q25" s="90">
        <f t="shared" si="15"/>
        <v>3.1409668166443278E-2</v>
      </c>
      <c r="R25" s="90">
        <f t="shared" si="15"/>
        <v>2.4068711238653857E-2</v>
      </c>
      <c r="S25" s="156">
        <f t="shared" ref="S25" si="16">SUM(E26:R26)</f>
        <v>116.67175934749793</v>
      </c>
    </row>
    <row r="26" spans="3:19" x14ac:dyDescent="0.2">
      <c r="C26" s="159"/>
      <c r="D26" s="31" t="s">
        <v>141</v>
      </c>
      <c r="E26" s="92">
        <f t="shared" ref="E26:R26" si="17">E14*E25</f>
        <v>-766.28352490421457</v>
      </c>
      <c r="F26" s="92">
        <f t="shared" si="17"/>
        <v>-411.03330837773967</v>
      </c>
      <c r="G26" s="92">
        <f t="shared" si="17"/>
        <v>-15.229825412078842</v>
      </c>
      <c r="H26" s="92">
        <f t="shared" si="17"/>
        <v>36.372842487358987</v>
      </c>
      <c r="I26" s="92">
        <f t="shared" si="17"/>
        <v>160.27180212271395</v>
      </c>
      <c r="J26" s="92">
        <f t="shared" si="17"/>
        <v>130.95249032238445</v>
      </c>
      <c r="K26" s="92">
        <f t="shared" si="17"/>
        <v>261.72434158197018</v>
      </c>
      <c r="L26" s="92">
        <f t="shared" si="17"/>
        <v>195.33375593928716</v>
      </c>
      <c r="M26" s="92">
        <f t="shared" si="17"/>
        <v>149.68103903393651</v>
      </c>
      <c r="N26" s="92">
        <f t="shared" si="17"/>
        <v>114.69811420225022</v>
      </c>
      <c r="O26" s="92">
        <f t="shared" si="17"/>
        <v>87.891275250766455</v>
      </c>
      <c r="P26" s="92">
        <f t="shared" si="17"/>
        <v>67.349636207483883</v>
      </c>
      <c r="Q26" s="92">
        <f t="shared" si="17"/>
        <v>50.482314656293262</v>
      </c>
      <c r="R26" s="92">
        <f t="shared" si="17"/>
        <v>54.460806237085706</v>
      </c>
      <c r="S26" s="157"/>
    </row>
    <row r="27" spans="3:19" x14ac:dyDescent="0.2">
      <c r="C27" s="152">
        <v>0.31</v>
      </c>
      <c r="D27" s="27" t="s">
        <v>152</v>
      </c>
      <c r="E27" s="90">
        <f t="shared" ref="E27:R27" si="18">1/(1+0.31)^E13</f>
        <v>0.76335877862595414</v>
      </c>
      <c r="F27" s="90">
        <f t="shared" si="18"/>
        <v>0.58271662490530851</v>
      </c>
      <c r="G27" s="90">
        <f t="shared" si="18"/>
        <v>0.44482185107275451</v>
      </c>
      <c r="H27" s="90">
        <f t="shared" si="18"/>
        <v>0.33955866494103398</v>
      </c>
      <c r="I27" s="90">
        <f t="shared" si="18"/>
        <v>0.25920508774124729</v>
      </c>
      <c r="J27" s="90">
        <f t="shared" si="18"/>
        <v>0.19786647919179182</v>
      </c>
      <c r="K27" s="90">
        <f t="shared" si="18"/>
        <v>0.15104311388686398</v>
      </c>
      <c r="L27" s="90">
        <f t="shared" si="18"/>
        <v>0.11530008693653737</v>
      </c>
      <c r="M27" s="90">
        <f t="shared" si="18"/>
        <v>8.8015333539341503E-2</v>
      </c>
      <c r="N27" s="90">
        <f t="shared" si="18"/>
        <v>6.7187277510947704E-2</v>
      </c>
      <c r="O27" s="90">
        <f t="shared" si="18"/>
        <v>5.1287998099960069E-2</v>
      </c>
      <c r="P27" s="90">
        <f t="shared" si="18"/>
        <v>3.9151143587755781E-2</v>
      </c>
      <c r="Q27" s="90">
        <f t="shared" si="18"/>
        <v>2.988636915095861E-2</v>
      </c>
      <c r="R27" s="90">
        <f t="shared" si="18"/>
        <v>2.2814022252640162E-2</v>
      </c>
      <c r="S27" s="156">
        <f t="shared" ref="S27" si="19">SUM(E28:R28)</f>
        <v>82.249752389368439</v>
      </c>
    </row>
    <row r="28" spans="3:19" x14ac:dyDescent="0.2">
      <c r="C28" s="153"/>
      <c r="D28" s="31" t="s">
        <v>141</v>
      </c>
      <c r="E28" s="92">
        <f t="shared" ref="E28:R28" si="20">E14*E27</f>
        <v>-763.35877862595419</v>
      </c>
      <c r="F28" s="92">
        <f t="shared" si="20"/>
        <v>-407.90163743371596</v>
      </c>
      <c r="G28" s="92">
        <f t="shared" si="20"/>
        <v>-15.056102851814831</v>
      </c>
      <c r="H28" s="92">
        <f t="shared" si="20"/>
        <v>35.820703092036382</v>
      </c>
      <c r="I28" s="92">
        <f t="shared" si="20"/>
        <v>157.23643926013787</v>
      </c>
      <c r="J28" s="92">
        <f t="shared" si="20"/>
        <v>127.98204869262287</v>
      </c>
      <c r="K28" s="92">
        <f t="shared" si="20"/>
        <v>254.81126744116386</v>
      </c>
      <c r="L28" s="92">
        <f t="shared" si="20"/>
        <v>189.44843807576547</v>
      </c>
      <c r="M28" s="92">
        <f t="shared" si="20"/>
        <v>144.61712830211104</v>
      </c>
      <c r="N28" s="92">
        <f t="shared" si="20"/>
        <v>110.39475442909239</v>
      </c>
      <c r="O28" s="92">
        <f t="shared" si="20"/>
        <v>84.27080490770409</v>
      </c>
      <c r="P28" s="92">
        <f t="shared" si="20"/>
        <v>64.328858708171069</v>
      </c>
      <c r="Q28" s="92">
        <f t="shared" si="20"/>
        <v>48.034034725164446</v>
      </c>
      <c r="R28" s="92">
        <f t="shared" si="20"/>
        <v>51.621793666883832</v>
      </c>
      <c r="S28" s="157"/>
    </row>
    <row r="29" spans="3:19" x14ac:dyDescent="0.2">
      <c r="C29" s="158">
        <v>0.315</v>
      </c>
      <c r="D29" s="27" t="s">
        <v>153</v>
      </c>
      <c r="E29" s="90">
        <f t="shared" ref="E29:R29" si="21">1/(1+0.315)^E13</f>
        <v>0.76045627376425862</v>
      </c>
      <c r="F29" s="90">
        <f t="shared" si="21"/>
        <v>0.57829374430742098</v>
      </c>
      <c r="G29" s="90">
        <f t="shared" si="21"/>
        <v>0.43976710593720231</v>
      </c>
      <c r="H29" s="90">
        <f t="shared" si="21"/>
        <v>0.33442365470509688</v>
      </c>
      <c r="I29" s="90">
        <f t="shared" si="21"/>
        <v>0.25431456631566302</v>
      </c>
      <c r="J29" s="90">
        <f t="shared" si="21"/>
        <v>0.19339510746438254</v>
      </c>
      <c r="K29" s="90">
        <f t="shared" si="21"/>
        <v>0.14706852278660271</v>
      </c>
      <c r="L29" s="90">
        <f t="shared" si="21"/>
        <v>0.11183918082631385</v>
      </c>
      <c r="M29" s="90">
        <f t="shared" si="21"/>
        <v>8.5048806712025735E-2</v>
      </c>
      <c r="N29" s="90">
        <f t="shared" si="21"/>
        <v>6.4675898640323762E-2</v>
      </c>
      <c r="O29" s="90">
        <f t="shared" si="21"/>
        <v>4.9183192882375493E-2</v>
      </c>
      <c r="P29" s="90">
        <f t="shared" si="21"/>
        <v>3.7401667591160065E-2</v>
      </c>
      <c r="Q29" s="90">
        <f t="shared" si="21"/>
        <v>2.8442332768943021E-2</v>
      </c>
      <c r="R29" s="90">
        <f t="shared" si="21"/>
        <v>2.1629150394633475E-2</v>
      </c>
      <c r="S29" s="156">
        <f t="shared" ref="S29" si="22">SUM(E30:R30)</f>
        <v>49.291589393334149</v>
      </c>
    </row>
    <row r="30" spans="3:19" x14ac:dyDescent="0.2">
      <c r="C30" s="159"/>
      <c r="D30" s="31" t="s">
        <v>141</v>
      </c>
      <c r="E30" s="92">
        <f t="shared" ref="E30:R30" si="23">E14*E29</f>
        <v>-760.45627376425864</v>
      </c>
      <c r="F30" s="92">
        <f t="shared" si="23"/>
        <v>-404.80562101519467</v>
      </c>
      <c r="G30" s="92">
        <f t="shared" si="23"/>
        <v>-14.885012419842914</v>
      </c>
      <c r="H30" s="92">
        <f t="shared" si="23"/>
        <v>35.279000888477498</v>
      </c>
      <c r="I30" s="92">
        <f t="shared" si="23"/>
        <v>154.26979928487663</v>
      </c>
      <c r="J30" s="92">
        <f t="shared" si="23"/>
        <v>125.0899200386055</v>
      </c>
      <c r="K30" s="92">
        <f t="shared" si="23"/>
        <v>248.10609188065112</v>
      </c>
      <c r="L30" s="92">
        <f t="shared" si="23"/>
        <v>183.761857307881</v>
      </c>
      <c r="M30" s="92">
        <f t="shared" si="23"/>
        <v>139.74285726835058</v>
      </c>
      <c r="N30" s="92">
        <f t="shared" si="23"/>
        <v>106.26833252346051</v>
      </c>
      <c r="O30" s="92">
        <f t="shared" si="23"/>
        <v>80.812420169931968</v>
      </c>
      <c r="P30" s="92">
        <f t="shared" si="23"/>
        <v>61.454311916298067</v>
      </c>
      <c r="Q30" s="92">
        <f t="shared" si="23"/>
        <v>45.713147454858046</v>
      </c>
      <c r="R30" s="92">
        <f t="shared" si="23"/>
        <v>48.940757859239696</v>
      </c>
      <c r="S30" s="157"/>
    </row>
    <row r="31" spans="3:19" x14ac:dyDescent="0.2">
      <c r="C31" s="152">
        <v>0.32</v>
      </c>
      <c r="D31" s="27" t="s">
        <v>154</v>
      </c>
      <c r="E31" s="90">
        <f t="shared" ref="E31:R31" si="24">1/(1+0.32)^E13</f>
        <v>0.75757575757575757</v>
      </c>
      <c r="F31" s="90">
        <f t="shared" si="24"/>
        <v>0.57392102846648296</v>
      </c>
      <c r="G31" s="90">
        <f t="shared" si="24"/>
        <v>0.43478865792915378</v>
      </c>
      <c r="H31" s="90">
        <f t="shared" si="24"/>
        <v>0.32938534691602556</v>
      </c>
      <c r="I31" s="90">
        <f t="shared" si="24"/>
        <v>0.24953435372426175</v>
      </c>
      <c r="J31" s="90">
        <f t="shared" si="24"/>
        <v>0.18904117706383466</v>
      </c>
      <c r="K31" s="90">
        <f t="shared" si="24"/>
        <v>0.14321301292714747</v>
      </c>
      <c r="L31" s="90">
        <f t="shared" si="24"/>
        <v>0.1084947067629905</v>
      </c>
      <c r="M31" s="90">
        <f t="shared" si="24"/>
        <v>8.2192959668932197E-2</v>
      </c>
      <c r="N31" s="90">
        <f t="shared" si="24"/>
        <v>6.2267393688584992E-2</v>
      </c>
      <c r="O31" s="90">
        <f t="shared" si="24"/>
        <v>4.7172267945897718E-2</v>
      </c>
      <c r="P31" s="90">
        <f t="shared" si="24"/>
        <v>3.5736566625680088E-2</v>
      </c>
      <c r="Q31" s="90">
        <f t="shared" si="24"/>
        <v>2.7073156534606124E-2</v>
      </c>
      <c r="R31" s="90">
        <f t="shared" si="24"/>
        <v>2.0509967071671305E-2</v>
      </c>
      <c r="S31" s="156">
        <f t="shared" ref="S31" si="25">SUM(E32:R32)</f>
        <v>17.731746901594391</v>
      </c>
    </row>
    <row r="32" spans="3:19" x14ac:dyDescent="0.2">
      <c r="C32" s="153"/>
      <c r="D32" s="31" t="s">
        <v>141</v>
      </c>
      <c r="E32" s="92">
        <f t="shared" ref="E32:R32" si="26">E14*E31</f>
        <v>-757.57575757575762</v>
      </c>
      <c r="F32" s="92">
        <f t="shared" si="26"/>
        <v>-401.7447199265381</v>
      </c>
      <c r="G32" s="92">
        <f t="shared" si="26"/>
        <v>-14.71650445407904</v>
      </c>
      <c r="H32" s="92">
        <f t="shared" si="26"/>
        <v>34.747500013864389</v>
      </c>
      <c r="I32" s="92">
        <f t="shared" si="26"/>
        <v>151.37007376896111</v>
      </c>
      <c r="J32" s="92">
        <f t="shared" si="26"/>
        <v>122.27375362778514</v>
      </c>
      <c r="K32" s="92">
        <f t="shared" si="26"/>
        <v>241.60180758301965</v>
      </c>
      <c r="L32" s="92">
        <f t="shared" si="26"/>
        <v>178.26658489034796</v>
      </c>
      <c r="M32" s="92">
        <f t="shared" si="26"/>
        <v>135.05044309874845</v>
      </c>
      <c r="N32" s="92">
        <f t="shared" si="26"/>
        <v>102.31094174147609</v>
      </c>
      <c r="O32" s="92">
        <f t="shared" si="26"/>
        <v>77.508289198087937</v>
      </c>
      <c r="P32" s="92">
        <f t="shared" si="26"/>
        <v>58.718400907642376</v>
      </c>
      <c r="Q32" s="92">
        <f t="shared" si="26"/>
        <v>43.512577072660953</v>
      </c>
      <c r="R32" s="92">
        <f t="shared" si="26"/>
        <v>46.408356955375204</v>
      </c>
      <c r="S32" s="157"/>
    </row>
    <row r="33" spans="3:19" x14ac:dyDescent="0.2">
      <c r="C33" s="158">
        <v>0.32300000000000001</v>
      </c>
      <c r="D33" s="27" t="s">
        <v>158</v>
      </c>
      <c r="E33" s="90">
        <f t="shared" ref="E33:R33" si="27">1/(1+0.323)^E13</f>
        <v>0.75585789871504161</v>
      </c>
      <c r="F33" s="90">
        <f t="shared" si="27"/>
        <v>0.57132116304991809</v>
      </c>
      <c r="G33" s="90">
        <f t="shared" si="27"/>
        <v>0.43183761379434477</v>
      </c>
      <c r="H33" s="90">
        <f t="shared" si="27"/>
        <v>0.32640787134871108</v>
      </c>
      <c r="I33" s="90">
        <f t="shared" si="27"/>
        <v>0.24671796776168639</v>
      </c>
      <c r="J33" s="90">
        <f t="shared" si="27"/>
        <v>0.18648372468759367</v>
      </c>
      <c r="K33" s="90">
        <f t="shared" si="27"/>
        <v>0.14095519628691888</v>
      </c>
      <c r="L33" s="90">
        <f t="shared" si="27"/>
        <v>0.10654209847839673</v>
      </c>
      <c r="M33" s="90">
        <f t="shared" si="27"/>
        <v>8.0530686680571992E-2</v>
      </c>
      <c r="N33" s="90">
        <f t="shared" si="27"/>
        <v>6.0869755616456536E-2</v>
      </c>
      <c r="O33" s="90">
        <f t="shared" si="27"/>
        <v>4.6008885575552931E-2</v>
      </c>
      <c r="P33" s="90">
        <f t="shared" si="27"/>
        <v>3.4776179573358226E-2</v>
      </c>
      <c r="Q33" s="90">
        <f t="shared" si="27"/>
        <v>2.6285850017655502E-2</v>
      </c>
      <c r="R33" s="90">
        <f t="shared" si="27"/>
        <v>1.9868367360283828E-2</v>
      </c>
      <c r="S33" s="156">
        <f t="shared" ref="S33" si="28">SUM(E34:R34)</f>
        <v>-0.55900101188323248</v>
      </c>
    </row>
    <row r="34" spans="3:19" x14ac:dyDescent="0.2">
      <c r="C34" s="159"/>
      <c r="D34" s="31" t="s">
        <v>141</v>
      </c>
      <c r="E34" s="92">
        <f t="shared" ref="E34:R34" si="29">E14*E33</f>
        <v>-755.85789871504164</v>
      </c>
      <c r="F34" s="92">
        <f t="shared" si="29"/>
        <v>-399.92481413494266</v>
      </c>
      <c r="G34" s="92">
        <f t="shared" si="29"/>
        <v>-14.61661901925434</v>
      </c>
      <c r="H34" s="92">
        <f t="shared" si="29"/>
        <v>34.433400333094689</v>
      </c>
      <c r="I34" s="92">
        <f t="shared" si="29"/>
        <v>149.66162543487729</v>
      </c>
      <c r="J34" s="92">
        <f t="shared" si="29"/>
        <v>120.61956745192521</v>
      </c>
      <c r="K34" s="92">
        <f t="shared" si="29"/>
        <v>237.79284797578242</v>
      </c>
      <c r="L34" s="92">
        <f t="shared" si="29"/>
        <v>175.058273435269</v>
      </c>
      <c r="M34" s="92">
        <f t="shared" si="29"/>
        <v>132.31917871146564</v>
      </c>
      <c r="N34" s="92">
        <f t="shared" si="29"/>
        <v>100.01449638054849</v>
      </c>
      <c r="O34" s="92">
        <f t="shared" si="29"/>
        <v>75.596747075244508</v>
      </c>
      <c r="P34" s="92">
        <f t="shared" si="29"/>
        <v>57.140398393986779</v>
      </c>
      <c r="Q34" s="92">
        <f t="shared" si="29"/>
        <v>42.247200593385905</v>
      </c>
      <c r="R34" s="92">
        <f t="shared" si="29"/>
        <v>44.956595071775581</v>
      </c>
      <c r="S34" s="157"/>
    </row>
    <row r="35" spans="3:19" x14ac:dyDescent="0.2">
      <c r="C35" s="158">
        <v>0.32500000000000001</v>
      </c>
      <c r="D35" s="27" t="s">
        <v>155</v>
      </c>
      <c r="E35" s="90">
        <f t="shared" ref="E35:R35" si="30">1/(1+0.325)^E13</f>
        <v>0.75471698113207553</v>
      </c>
      <c r="F35" s="90">
        <f t="shared" si="30"/>
        <v>0.56959772160911359</v>
      </c>
      <c r="G35" s="90">
        <f t="shared" si="30"/>
        <v>0.42988507291253858</v>
      </c>
      <c r="H35" s="90">
        <f t="shared" si="30"/>
        <v>0.32444156446229322</v>
      </c>
      <c r="I35" s="90">
        <f t="shared" si="30"/>
        <v>0.24486155808474963</v>
      </c>
      <c r="J35" s="90">
        <f t="shared" si="30"/>
        <v>0.18480117591301856</v>
      </c>
      <c r="K35" s="90">
        <f t="shared" si="30"/>
        <v>0.13947258559473102</v>
      </c>
      <c r="L35" s="90">
        <f t="shared" si="30"/>
        <v>0.10526232875074039</v>
      </c>
      <c r="M35" s="90">
        <f t="shared" si="30"/>
        <v>7.9443266981690866E-2</v>
      </c>
      <c r="N35" s="90">
        <f t="shared" si="30"/>
        <v>5.9957182627691209E-2</v>
      </c>
      <c r="O35" s="90">
        <f t="shared" si="30"/>
        <v>4.5250703869955639E-2</v>
      </c>
      <c r="P35" s="90">
        <f t="shared" si="30"/>
        <v>3.4151474618834443E-2</v>
      </c>
      <c r="Q35" s="90">
        <f t="shared" si="30"/>
        <v>2.5774697825535427E-2</v>
      </c>
      <c r="R35" s="90">
        <f t="shared" si="30"/>
        <v>1.9452602132479568E-2</v>
      </c>
      <c r="S35" s="156">
        <f t="shared" ref="S35" si="31">SUM(E36:R36)</f>
        <v>-12.492050380654639</v>
      </c>
    </row>
    <row r="36" spans="3:19" x14ac:dyDescent="0.2">
      <c r="C36" s="159"/>
      <c r="D36" s="31" t="s">
        <v>141</v>
      </c>
      <c r="E36" s="92">
        <f t="shared" ref="E36:R36" si="32">E14*E35</f>
        <v>-754.71698113207549</v>
      </c>
      <c r="F36" s="92">
        <f t="shared" si="32"/>
        <v>-398.71840512637954</v>
      </c>
      <c r="G36" s="92">
        <f t="shared" si="32"/>
        <v>-14.550530412617885</v>
      </c>
      <c r="H36" s="92">
        <f t="shared" si="32"/>
        <v>34.225970800473476</v>
      </c>
      <c r="I36" s="92">
        <f t="shared" si="32"/>
        <v>148.53550846721581</v>
      </c>
      <c r="J36" s="92">
        <f t="shared" si="32"/>
        <v>119.53127781299825</v>
      </c>
      <c r="K36" s="92">
        <f t="shared" si="32"/>
        <v>235.29166867752468</v>
      </c>
      <c r="L36" s="92">
        <f t="shared" si="32"/>
        <v>172.9554963910974</v>
      </c>
      <c r="M36" s="92">
        <f t="shared" si="32"/>
        <v>130.53245010648862</v>
      </c>
      <c r="N36" s="92">
        <f t="shared" si="32"/>
        <v>98.515056684142337</v>
      </c>
      <c r="O36" s="92">
        <f t="shared" si="32"/>
        <v>74.350986176711217</v>
      </c>
      <c r="P36" s="92">
        <f t="shared" si="32"/>
        <v>56.113951831480158</v>
      </c>
      <c r="Q36" s="92">
        <f t="shared" si="32"/>
        <v>41.425665464039085</v>
      </c>
      <c r="R36" s="92">
        <f t="shared" si="32"/>
        <v>44.015833878247214</v>
      </c>
      <c r="S36" s="157"/>
    </row>
    <row r="37" spans="3:19" x14ac:dyDescent="0.2">
      <c r="C37" s="152">
        <v>0.33</v>
      </c>
      <c r="D37" s="27" t="s">
        <v>150</v>
      </c>
      <c r="E37" s="90">
        <f t="shared" ref="E37:R37" si="33">1/(1+0.33)^E13</f>
        <v>0.75187969924812026</v>
      </c>
      <c r="F37" s="90">
        <f t="shared" si="33"/>
        <v>0.56532308214144378</v>
      </c>
      <c r="G37" s="90">
        <f t="shared" si="33"/>
        <v>0.42505494897852919</v>
      </c>
      <c r="H37" s="90">
        <f t="shared" si="33"/>
        <v>0.31959018720190158</v>
      </c>
      <c r="I37" s="90">
        <f t="shared" si="33"/>
        <v>0.24029337383601621</v>
      </c>
      <c r="J37" s="90">
        <f t="shared" si="33"/>
        <v>0.18067170965114002</v>
      </c>
      <c r="K37" s="90">
        <f t="shared" si="33"/>
        <v>0.13584339071514287</v>
      </c>
      <c r="L37" s="90">
        <f t="shared" si="33"/>
        <v>0.10213788775574652</v>
      </c>
      <c r="M37" s="90">
        <f t="shared" si="33"/>
        <v>7.6795404327628949E-2</v>
      </c>
      <c r="N37" s="90">
        <f t="shared" si="33"/>
        <v>5.7740905509495448E-2</v>
      </c>
      <c r="O37" s="90">
        <f t="shared" si="33"/>
        <v>4.3414214668793576E-2</v>
      </c>
      <c r="P37" s="90">
        <f t="shared" si="33"/>
        <v>3.2642266668265842E-2</v>
      </c>
      <c r="Q37" s="90">
        <f t="shared" si="33"/>
        <v>2.4543057645312658E-2</v>
      </c>
      <c r="R37" s="90">
        <f t="shared" si="33"/>
        <v>1.8453426800986963E-2</v>
      </c>
      <c r="S37" s="156">
        <f t="shared" ref="S37" si="34">SUM(E38:R38)</f>
        <v>-41.439006883016638</v>
      </c>
    </row>
    <row r="38" spans="3:19" x14ac:dyDescent="0.2">
      <c r="C38" s="153"/>
      <c r="D38" s="31" t="s">
        <v>141</v>
      </c>
      <c r="E38" s="92">
        <f t="shared" ref="E38:R38" si="35">E14*E37</f>
        <v>-751.87969924812023</v>
      </c>
      <c r="F38" s="92">
        <f t="shared" si="35"/>
        <v>-395.72615749901064</v>
      </c>
      <c r="G38" s="92">
        <f t="shared" si="35"/>
        <v>-14.387042844365391</v>
      </c>
      <c r="H38" s="92">
        <f t="shared" si="35"/>
        <v>33.714189590407393</v>
      </c>
      <c r="I38" s="92">
        <f t="shared" si="35"/>
        <v>145.7644014977719</v>
      </c>
      <c r="J38" s="92">
        <f t="shared" si="35"/>
        <v>116.8602970872028</v>
      </c>
      <c r="K38" s="92">
        <f t="shared" si="35"/>
        <v>229.16918004986363</v>
      </c>
      <c r="L38" s="92">
        <f t="shared" si="35"/>
        <v>167.82175814259739</v>
      </c>
      <c r="M38" s="92">
        <f t="shared" si="35"/>
        <v>126.1817730395469</v>
      </c>
      <c r="N38" s="92">
        <f t="shared" si="35"/>
        <v>94.873513563569091</v>
      </c>
      <c r="O38" s="92">
        <f t="shared" si="35"/>
        <v>71.333468844788797</v>
      </c>
      <c r="P38" s="92">
        <f t="shared" si="35"/>
        <v>53.634187101344949</v>
      </c>
      <c r="Q38" s="92">
        <f t="shared" si="35"/>
        <v>39.446146075554566</v>
      </c>
      <c r="R38" s="92">
        <f t="shared" si="35"/>
        <v>41.754977715832347</v>
      </c>
      <c r="S38" s="157"/>
    </row>
    <row r="39" spans="3:19" x14ac:dyDescent="0.2">
      <c r="C39" s="152">
        <v>0.35</v>
      </c>
      <c r="D39" s="27" t="s">
        <v>151</v>
      </c>
      <c r="E39" s="90">
        <f t="shared" ref="E39:R39" si="36">1/(1+0.35)^E13</f>
        <v>0.7407407407407407</v>
      </c>
      <c r="F39" s="90">
        <f t="shared" si="36"/>
        <v>0.5486968449931412</v>
      </c>
      <c r="G39" s="90">
        <f t="shared" si="36"/>
        <v>0.40644210740232684</v>
      </c>
      <c r="H39" s="90">
        <f t="shared" si="36"/>
        <v>0.30106822770542724</v>
      </c>
      <c r="I39" s="90">
        <f t="shared" si="36"/>
        <v>0.22301350200402015</v>
      </c>
      <c r="J39" s="90">
        <f t="shared" si="36"/>
        <v>0.16519518666964456</v>
      </c>
      <c r="K39" s="90">
        <f t="shared" si="36"/>
        <v>0.12236680494047744</v>
      </c>
      <c r="L39" s="90">
        <f t="shared" si="36"/>
        <v>9.0642077733686988E-2</v>
      </c>
      <c r="M39" s="90">
        <f t="shared" si="36"/>
        <v>6.7142279802731103E-2</v>
      </c>
      <c r="N39" s="90">
        <f t="shared" si="36"/>
        <v>4.9735022076097105E-2</v>
      </c>
      <c r="O39" s="90">
        <f t="shared" si="36"/>
        <v>3.6840757093405264E-2</v>
      </c>
      <c r="P39" s="90">
        <f t="shared" si="36"/>
        <v>2.7289449698818708E-2</v>
      </c>
      <c r="Q39" s="90">
        <f t="shared" si="36"/>
        <v>2.0214407184310154E-2</v>
      </c>
      <c r="R39" s="90">
        <f t="shared" si="36"/>
        <v>1.4973634951340853E-2</v>
      </c>
      <c r="S39" s="156">
        <f t="shared" ref="S39" si="37">SUM(E40:R40)</f>
        <v>-145.54410093024819</v>
      </c>
    </row>
    <row r="40" spans="3:19" x14ac:dyDescent="0.2">
      <c r="C40" s="153"/>
      <c r="D40" s="31" t="s">
        <v>141</v>
      </c>
      <c r="E40" s="92">
        <f t="shared" ref="E40:R40" si="38">E14*E39</f>
        <v>-740.74074074074065</v>
      </c>
      <c r="F40" s="92">
        <f t="shared" si="38"/>
        <v>-384.08779149519881</v>
      </c>
      <c r="G40" s="92">
        <f t="shared" si="38"/>
        <v>-13.757044887970029</v>
      </c>
      <c r="H40" s="92">
        <f t="shared" si="38"/>
        <v>31.760272107779922</v>
      </c>
      <c r="I40" s="92">
        <f t="shared" si="38"/>
        <v>135.28225571347735</v>
      </c>
      <c r="J40" s="92">
        <f t="shared" si="38"/>
        <v>106.8499248103992</v>
      </c>
      <c r="K40" s="92">
        <f t="shared" si="38"/>
        <v>206.43404295123216</v>
      </c>
      <c r="L40" s="92">
        <f t="shared" si="38"/>
        <v>148.93310583573805</v>
      </c>
      <c r="M40" s="92">
        <f t="shared" si="38"/>
        <v>110.32081913758374</v>
      </c>
      <c r="N40" s="92">
        <f t="shared" si="38"/>
        <v>81.719125287099061</v>
      </c>
      <c r="O40" s="92">
        <f t="shared" si="38"/>
        <v>60.532685397851154</v>
      </c>
      <c r="P40" s="92">
        <f t="shared" si="38"/>
        <v>44.839026220630473</v>
      </c>
      <c r="Q40" s="92">
        <f t="shared" si="38"/>
        <v>32.489043139876472</v>
      </c>
      <c r="R40" s="92">
        <f t="shared" si="38"/>
        <v>33.881175591993902</v>
      </c>
      <c r="S40" s="157"/>
    </row>
    <row r="41" spans="3:19" x14ac:dyDescent="0.2">
      <c r="C41" s="152">
        <v>0.4</v>
      </c>
      <c r="D41" s="27" t="s">
        <v>156</v>
      </c>
      <c r="E41" s="90">
        <f t="shared" ref="E41:R41" si="39">1/(1+0.4)^E13</f>
        <v>0.7142857142857143</v>
      </c>
      <c r="F41" s="90">
        <f t="shared" si="39"/>
        <v>0.51020408163265318</v>
      </c>
      <c r="G41" s="90">
        <f t="shared" si="39"/>
        <v>0.36443148688046656</v>
      </c>
      <c r="H41" s="90">
        <f t="shared" si="39"/>
        <v>0.26030820491461898</v>
      </c>
      <c r="I41" s="90">
        <f t="shared" si="39"/>
        <v>0.18593443208187072</v>
      </c>
      <c r="J41" s="90">
        <f t="shared" si="39"/>
        <v>0.13281030862990767</v>
      </c>
      <c r="K41" s="90">
        <f t="shared" si="39"/>
        <v>9.4864506164219778E-2</v>
      </c>
      <c r="L41" s="90">
        <f t="shared" si="39"/>
        <v>6.776036154587127E-2</v>
      </c>
      <c r="M41" s="90">
        <f t="shared" si="39"/>
        <v>4.8400258247050909E-2</v>
      </c>
      <c r="N41" s="90">
        <f t="shared" si="39"/>
        <v>3.4571613033607791E-2</v>
      </c>
      <c r="O41" s="90">
        <f t="shared" si="39"/>
        <v>2.4694009309719853E-2</v>
      </c>
      <c r="P41" s="90">
        <f t="shared" si="39"/>
        <v>1.7638578078371329E-2</v>
      </c>
      <c r="Q41" s="90">
        <f t="shared" si="39"/>
        <v>1.2598984341693806E-2</v>
      </c>
      <c r="R41" s="90">
        <f t="shared" si="39"/>
        <v>8.9992745297812916E-3</v>
      </c>
      <c r="S41" s="156">
        <f t="shared" ref="S41" si="40">SUM(E42:R42)</f>
        <v>-339.73795597514453</v>
      </c>
    </row>
    <row r="42" spans="3:19" x14ac:dyDescent="0.2">
      <c r="C42" s="153"/>
      <c r="D42" s="31" t="s">
        <v>141</v>
      </c>
      <c r="E42" s="92">
        <f t="shared" ref="E42:R42" si="41">E14*E41</f>
        <v>-714.28571428571433</v>
      </c>
      <c r="F42" s="92">
        <f t="shared" si="41"/>
        <v>-357.14285714285722</v>
      </c>
      <c r="G42" s="92">
        <f t="shared" si="41"/>
        <v>-12.335090858687781</v>
      </c>
      <c r="H42" s="92">
        <f t="shared" si="41"/>
        <v>27.46041813507178</v>
      </c>
      <c r="I42" s="92">
        <f t="shared" si="41"/>
        <v>112.78971524507241</v>
      </c>
      <c r="J42" s="92">
        <f t="shared" si="41"/>
        <v>85.903056724831146</v>
      </c>
      <c r="K42" s="92">
        <f t="shared" si="41"/>
        <v>160.03738554404364</v>
      </c>
      <c r="L42" s="92">
        <f t="shared" si="41"/>
        <v>111.33638316665079</v>
      </c>
      <c r="M42" s="92">
        <f t="shared" si="41"/>
        <v>79.525987976179138</v>
      </c>
      <c r="N42" s="92">
        <f t="shared" si="41"/>
        <v>56.804277125842241</v>
      </c>
      <c r="O42" s="92">
        <f t="shared" si="41"/>
        <v>40.574483661315895</v>
      </c>
      <c r="P42" s="92">
        <f t="shared" si="41"/>
        <v>28.981774043797074</v>
      </c>
      <c r="Q42" s="92">
        <f t="shared" si="41"/>
        <v>20.249366803772887</v>
      </c>
      <c r="R42" s="92">
        <f t="shared" si="41"/>
        <v>20.362857885537988</v>
      </c>
      <c r="S42" s="157"/>
    </row>
    <row r="43" spans="3:19" x14ac:dyDescent="0.2">
      <c r="C43" s="152">
        <v>0.5</v>
      </c>
      <c r="D43" s="27" t="s">
        <v>157</v>
      </c>
      <c r="E43" s="90">
        <f t="shared" ref="E43:R43" si="42">1/(1+0.5)^E13</f>
        <v>0.66666666666666663</v>
      </c>
      <c r="F43" s="90">
        <f t="shared" si="42"/>
        <v>0.44444444444444442</v>
      </c>
      <c r="G43" s="90">
        <f t="shared" si="42"/>
        <v>0.29629629629629628</v>
      </c>
      <c r="H43" s="90">
        <f t="shared" si="42"/>
        <v>0.19753086419753085</v>
      </c>
      <c r="I43" s="90">
        <f t="shared" si="42"/>
        <v>0.13168724279835392</v>
      </c>
      <c r="J43" s="90">
        <f t="shared" si="42"/>
        <v>8.77914951989026E-2</v>
      </c>
      <c r="K43" s="90">
        <f t="shared" si="42"/>
        <v>5.8527663465935069E-2</v>
      </c>
      <c r="L43" s="90">
        <f t="shared" si="42"/>
        <v>3.9018442310623382E-2</v>
      </c>
      <c r="M43" s="90">
        <f t="shared" si="42"/>
        <v>2.6012294873748919E-2</v>
      </c>
      <c r="N43" s="90">
        <f t="shared" si="42"/>
        <v>1.7341529915832612E-2</v>
      </c>
      <c r="O43" s="90">
        <f t="shared" si="42"/>
        <v>1.1561019943888409E-2</v>
      </c>
      <c r="P43" s="90">
        <f t="shared" si="42"/>
        <v>7.7073466292589396E-3</v>
      </c>
      <c r="Q43" s="90">
        <f t="shared" si="42"/>
        <v>5.1382310861726264E-3</v>
      </c>
      <c r="R43" s="90">
        <f t="shared" si="42"/>
        <v>3.4254873907817508E-3</v>
      </c>
      <c r="S43" s="156">
        <f t="shared" ref="S43" si="43">SUM(E44:R44)</f>
        <v>-548.55080617528972</v>
      </c>
    </row>
    <row r="44" spans="3:19" x14ac:dyDescent="0.2">
      <c r="C44" s="153"/>
      <c r="D44" s="31" t="s">
        <v>141</v>
      </c>
      <c r="E44" s="92">
        <f t="shared" ref="E44:R44" si="44">E14*E43</f>
        <v>-666.66666666666663</v>
      </c>
      <c r="F44" s="92">
        <f t="shared" si="44"/>
        <v>-311.11111111111109</v>
      </c>
      <c r="G44" s="92">
        <f t="shared" si="44"/>
        <v>-10.02888572333015</v>
      </c>
      <c r="H44" s="92">
        <f t="shared" si="44"/>
        <v>20.837914529914411</v>
      </c>
      <c r="I44" s="92">
        <f t="shared" si="44"/>
        <v>79.882819176251274</v>
      </c>
      <c r="J44" s="92">
        <f t="shared" si="44"/>
        <v>56.784430891163375</v>
      </c>
      <c r="K44" s="92">
        <f t="shared" si="44"/>
        <v>98.736762798041241</v>
      </c>
      <c r="L44" s="92">
        <f t="shared" si="44"/>
        <v>64.110818545744905</v>
      </c>
      <c r="M44" s="92">
        <f t="shared" si="44"/>
        <v>42.74054569716327</v>
      </c>
      <c r="N44" s="92">
        <f t="shared" si="44"/>
        <v>28.493697131442179</v>
      </c>
      <c r="O44" s="92">
        <f t="shared" si="44"/>
        <v>18.99579808762812</v>
      </c>
      <c r="P44" s="92">
        <f t="shared" si="44"/>
        <v>12.663865391752081</v>
      </c>
      <c r="Q44" s="92">
        <f t="shared" si="44"/>
        <v>8.2582788552358792</v>
      </c>
      <c r="R44" s="92">
        <f t="shared" si="44"/>
        <v>7.7509262214813566</v>
      </c>
      <c r="S44" s="157"/>
    </row>
    <row r="48" spans="3:19" x14ac:dyDescent="0.2">
      <c r="C48" s="152">
        <v>0.15</v>
      </c>
      <c r="D48" s="154">
        <v>2506.2572748357552</v>
      </c>
    </row>
    <row r="49" spans="3:4" x14ac:dyDescent="0.2">
      <c r="C49" s="153"/>
      <c r="D49" s="155"/>
    </row>
    <row r="50" spans="3:4" x14ac:dyDescent="0.2">
      <c r="C50" s="152">
        <v>0.2</v>
      </c>
      <c r="D50" s="154">
        <v>1340.8706442664859</v>
      </c>
    </row>
    <row r="51" spans="3:4" x14ac:dyDescent="0.2">
      <c r="C51" s="153"/>
      <c r="D51" s="155"/>
    </row>
    <row r="52" spans="3:4" x14ac:dyDescent="0.2">
      <c r="C52" s="152">
        <v>0.25</v>
      </c>
      <c r="D52" s="154">
        <v>614.55096287709466</v>
      </c>
    </row>
    <row r="53" spans="3:4" x14ac:dyDescent="0.2">
      <c r="C53" s="153"/>
      <c r="D53" s="155"/>
    </row>
    <row r="54" spans="3:4" x14ac:dyDescent="0.2">
      <c r="C54" s="152">
        <v>0.28000000000000003</v>
      </c>
      <c r="D54" s="154">
        <v>313.28494627778741</v>
      </c>
    </row>
    <row r="55" spans="3:4" x14ac:dyDescent="0.2">
      <c r="C55" s="153"/>
      <c r="D55" s="155"/>
    </row>
    <row r="56" spans="3:4" x14ac:dyDescent="0.2">
      <c r="C56" s="152">
        <v>0.3</v>
      </c>
      <c r="D56" s="154">
        <v>152.62657044681052</v>
      </c>
    </row>
    <row r="57" spans="3:4" x14ac:dyDescent="0.2">
      <c r="C57" s="153"/>
      <c r="D57" s="155"/>
    </row>
    <row r="58" spans="3:4" x14ac:dyDescent="0.2">
      <c r="C58" s="152">
        <v>0.30499999999999999</v>
      </c>
      <c r="D58" s="154">
        <v>116.67175934749793</v>
      </c>
    </row>
    <row r="59" spans="3:4" x14ac:dyDescent="0.2">
      <c r="C59" s="153"/>
      <c r="D59" s="155"/>
    </row>
    <row r="60" spans="3:4" x14ac:dyDescent="0.2">
      <c r="C60" s="152">
        <v>0.31</v>
      </c>
      <c r="D60" s="154">
        <v>82.249752389368439</v>
      </c>
    </row>
    <row r="61" spans="3:4" x14ac:dyDescent="0.2">
      <c r="C61" s="153"/>
      <c r="D61" s="155"/>
    </row>
    <row r="62" spans="3:4" x14ac:dyDescent="0.2">
      <c r="C62" s="152">
        <v>0.315</v>
      </c>
      <c r="D62" s="154">
        <v>49.291589393334149</v>
      </c>
    </row>
    <row r="63" spans="3:4" x14ac:dyDescent="0.2">
      <c r="C63" s="153"/>
      <c r="D63" s="155"/>
    </row>
    <row r="64" spans="3:4" x14ac:dyDescent="0.2">
      <c r="C64" s="152">
        <v>0.32</v>
      </c>
      <c r="D64" s="154">
        <v>17.731746901594391</v>
      </c>
    </row>
    <row r="65" spans="1:17" x14ac:dyDescent="0.2">
      <c r="C65" s="153"/>
      <c r="D65" s="155"/>
    </row>
    <row r="66" spans="1:17" x14ac:dyDescent="0.2">
      <c r="C66" s="152">
        <v>0.32300000000000001</v>
      </c>
      <c r="D66" s="154">
        <v>-0.55900101188323248</v>
      </c>
    </row>
    <row r="67" spans="1:17" x14ac:dyDescent="0.2">
      <c r="C67" s="153"/>
      <c r="D67" s="155"/>
    </row>
    <row r="68" spans="1:17" x14ac:dyDescent="0.2">
      <c r="A68" s="89"/>
      <c r="C68" s="152">
        <v>0.32500000000000001</v>
      </c>
      <c r="D68" s="154">
        <v>-12.492050380654639</v>
      </c>
    </row>
    <row r="69" spans="1:17" x14ac:dyDescent="0.2">
      <c r="C69" s="153"/>
      <c r="D69" s="155"/>
    </row>
    <row r="70" spans="1:17" x14ac:dyDescent="0.2">
      <c r="C70" s="152">
        <v>0.33</v>
      </c>
      <c r="D70" s="154">
        <v>-41.439006883016638</v>
      </c>
    </row>
    <row r="71" spans="1:17" x14ac:dyDescent="0.2">
      <c r="C71" s="153"/>
      <c r="D71" s="155"/>
    </row>
    <row r="72" spans="1:17" x14ac:dyDescent="0.2">
      <c r="C72" s="152">
        <v>0.35</v>
      </c>
      <c r="D72" s="154">
        <v>-145.54410093024819</v>
      </c>
    </row>
    <row r="73" spans="1:17" x14ac:dyDescent="0.2">
      <c r="C73" s="153"/>
      <c r="D73" s="155"/>
    </row>
    <row r="74" spans="1:17" x14ac:dyDescent="0.2">
      <c r="C74" s="152">
        <v>0.4</v>
      </c>
      <c r="D74" s="154">
        <v>-339.73795597514453</v>
      </c>
    </row>
    <row r="75" spans="1:17" x14ac:dyDescent="0.2">
      <c r="C75" s="153"/>
      <c r="D75" s="155"/>
    </row>
    <row r="76" spans="1:17" x14ac:dyDescent="0.2">
      <c r="C76" s="152">
        <v>0.5</v>
      </c>
      <c r="D76" s="154">
        <v>-548.55080617528972</v>
      </c>
    </row>
    <row r="77" spans="1:17" x14ac:dyDescent="0.2">
      <c r="C77" s="153"/>
      <c r="D77" s="155"/>
    </row>
    <row r="80" spans="1:17" ht="14.25" customHeight="1" x14ac:dyDescent="0.2">
      <c r="B80" s="108" t="s">
        <v>160</v>
      </c>
      <c r="C80" s="109" t="s">
        <v>167</v>
      </c>
      <c r="D80" s="145" t="s">
        <v>161</v>
      </c>
      <c r="E80" s="145"/>
      <c r="F80" s="145" t="s">
        <v>162</v>
      </c>
      <c r="G80" s="145"/>
      <c r="H80" s="147" t="s">
        <v>163</v>
      </c>
      <c r="I80" s="148"/>
      <c r="J80" s="148"/>
      <c r="K80" s="148"/>
      <c r="L80" s="148"/>
      <c r="M80" s="149"/>
      <c r="N80" s="95"/>
      <c r="O80" s="95"/>
      <c r="P80" s="95"/>
      <c r="Q80" s="95"/>
    </row>
    <row r="81" spans="2:17" x14ac:dyDescent="0.2">
      <c r="B81" s="146"/>
      <c r="C81" s="144"/>
      <c r="D81" s="93">
        <v>1</v>
      </c>
      <c r="E81" s="93">
        <v>2</v>
      </c>
      <c r="F81" s="93">
        <v>3</v>
      </c>
      <c r="G81" s="93">
        <v>4</v>
      </c>
      <c r="H81" s="93">
        <v>5</v>
      </c>
      <c r="I81" s="93">
        <v>6</v>
      </c>
      <c r="J81" s="93">
        <v>7</v>
      </c>
      <c r="K81" s="93">
        <v>8</v>
      </c>
      <c r="L81" s="93" t="s">
        <v>170</v>
      </c>
      <c r="M81" s="107">
        <v>14</v>
      </c>
      <c r="N81" s="25"/>
      <c r="O81" s="25"/>
      <c r="P81" s="25"/>
      <c r="Q81" s="25"/>
    </row>
    <row r="82" spans="2:17" x14ac:dyDescent="0.2">
      <c r="B82" s="3">
        <v>1</v>
      </c>
      <c r="C82" s="27" t="s">
        <v>164</v>
      </c>
      <c r="D82" s="97"/>
      <c r="E82" s="93"/>
      <c r="F82" s="97"/>
      <c r="G82" s="93"/>
      <c r="H82" s="97"/>
      <c r="I82" s="98"/>
      <c r="J82" s="97"/>
      <c r="K82" s="93"/>
      <c r="L82" s="99"/>
      <c r="M82" s="100"/>
    </row>
    <row r="83" spans="2:17" ht="14.25" customHeight="1" x14ac:dyDescent="0.2">
      <c r="B83" s="4">
        <v>1.1000000000000001</v>
      </c>
      <c r="C83" s="28" t="s">
        <v>168</v>
      </c>
      <c r="D83" s="96"/>
      <c r="E83" s="100">
        <v>1000</v>
      </c>
      <c r="F83" s="96">
        <v>4000</v>
      </c>
      <c r="G83" s="100">
        <v>3100</v>
      </c>
      <c r="H83" s="96">
        <v>2000</v>
      </c>
      <c r="I83" s="100">
        <v>1000</v>
      </c>
      <c r="J83" s="96"/>
      <c r="K83" s="100"/>
      <c r="L83" s="101"/>
      <c r="M83" s="100"/>
    </row>
    <row r="84" spans="2:17" x14ac:dyDescent="0.2">
      <c r="B84" s="4">
        <v>1.2</v>
      </c>
      <c r="C84" s="28" t="s">
        <v>169</v>
      </c>
      <c r="D84" s="96">
        <v>1000</v>
      </c>
      <c r="E84" s="100">
        <v>3000</v>
      </c>
      <c r="F84" s="96"/>
      <c r="G84" s="100"/>
      <c r="H84" s="96"/>
      <c r="I84" s="102"/>
      <c r="J84" s="96"/>
      <c r="K84" s="100"/>
      <c r="L84" s="101"/>
      <c r="M84" s="100"/>
    </row>
    <row r="85" spans="2:17" x14ac:dyDescent="0.2">
      <c r="B85" s="4">
        <v>1.3</v>
      </c>
      <c r="C85" s="28" t="s">
        <v>165</v>
      </c>
      <c r="D85" s="103"/>
      <c r="E85" s="104"/>
      <c r="F85" s="96">
        <v>240</v>
      </c>
      <c r="G85" s="100">
        <v>186</v>
      </c>
      <c r="H85" s="96">
        <v>120</v>
      </c>
      <c r="I85" s="100">
        <v>60</v>
      </c>
      <c r="J85" s="96"/>
      <c r="K85" s="100"/>
      <c r="L85" s="101"/>
      <c r="M85" s="100"/>
    </row>
    <row r="86" spans="2:17" x14ac:dyDescent="0.2">
      <c r="B86" s="9">
        <v>1.4</v>
      </c>
      <c r="C86" s="29" t="s">
        <v>166</v>
      </c>
      <c r="D86" s="105"/>
      <c r="E86" s="94"/>
      <c r="F86" s="105">
        <v>900</v>
      </c>
      <c r="G86" s="94">
        <v>1100</v>
      </c>
      <c r="H86" s="105">
        <v>1000</v>
      </c>
      <c r="I86" s="94">
        <v>1000</v>
      </c>
      <c r="J86" s="105"/>
      <c r="K86" s="94"/>
      <c r="L86" s="106"/>
      <c r="M86" s="94"/>
    </row>
    <row r="87" spans="2:17" ht="14.25" customHeight="1" x14ac:dyDescent="0.2">
      <c r="B87" s="2"/>
    </row>
    <row r="88" spans="2:17" ht="14.25" customHeight="1" x14ac:dyDescent="0.2">
      <c r="B88" s="2"/>
    </row>
    <row r="89" spans="2:17" x14ac:dyDescent="0.2">
      <c r="B89" s="2"/>
    </row>
    <row r="90" spans="2:17" x14ac:dyDescent="0.2">
      <c r="B90" s="2"/>
    </row>
    <row r="91" spans="2:17" ht="14.25" customHeight="1" x14ac:dyDescent="0.2">
      <c r="B91" s="117"/>
      <c r="C91" s="109" t="s">
        <v>133</v>
      </c>
      <c r="D91" s="108" t="s">
        <v>13</v>
      </c>
      <c r="E91" s="108"/>
      <c r="F91" s="134" t="s">
        <v>18</v>
      </c>
      <c r="G91" s="163"/>
      <c r="H91" s="163"/>
      <c r="I91" s="163"/>
      <c r="J91" s="163"/>
      <c r="K91" s="163"/>
      <c r="L91" s="163"/>
      <c r="M91" s="163"/>
      <c r="N91" s="163"/>
      <c r="O91" s="135"/>
      <c r="P91" s="164">
        <f xml:space="preserve"> 1666.35 / 6850</f>
        <v>0.24326277372262772</v>
      </c>
    </row>
    <row r="92" spans="2:17" x14ac:dyDescent="0.2">
      <c r="B92" s="118"/>
      <c r="C92" s="109"/>
      <c r="D92" s="88">
        <v>3</v>
      </c>
      <c r="E92" s="88">
        <v>4</v>
      </c>
      <c r="F92" s="88">
        <v>5</v>
      </c>
      <c r="G92" s="88">
        <v>6</v>
      </c>
      <c r="H92" s="88">
        <v>7</v>
      </c>
      <c r="I92" s="88">
        <v>8</v>
      </c>
      <c r="J92" s="88">
        <v>9</v>
      </c>
      <c r="K92" s="88">
        <v>10</v>
      </c>
      <c r="L92" s="88">
        <v>11</v>
      </c>
      <c r="M92" s="88">
        <v>12</v>
      </c>
      <c r="N92" s="88">
        <v>13</v>
      </c>
      <c r="O92" s="88">
        <v>14</v>
      </c>
      <c r="P92">
        <f>19996.22 / 12</f>
        <v>1666.3516666666667</v>
      </c>
    </row>
    <row r="93" spans="2:17" x14ac:dyDescent="0.2">
      <c r="B93" s="161"/>
      <c r="C93" s="161" t="s">
        <v>171</v>
      </c>
      <c r="D93" s="36">
        <v>848.42414529914549</v>
      </c>
      <c r="E93" s="36">
        <v>1369.8262820512819</v>
      </c>
      <c r="F93" s="36">
        <v>1655.0773504273502</v>
      </c>
      <c r="G93" s="36">
        <v>1715.0773504273502</v>
      </c>
      <c r="H93" s="36">
        <v>1775.0773504273502</v>
      </c>
      <c r="I93" s="36">
        <v>1799.0773504273502</v>
      </c>
      <c r="J93" s="36">
        <v>1799.0773504273502</v>
      </c>
      <c r="K93" s="36">
        <v>1799.0773504273502</v>
      </c>
      <c r="L93" s="36">
        <v>1799.0773504273502</v>
      </c>
      <c r="M93" s="36">
        <v>1799.0773504273502</v>
      </c>
      <c r="N93" s="36">
        <v>1818.6773504273497</v>
      </c>
      <c r="O93" s="36">
        <v>1818.6773504273497</v>
      </c>
      <c r="P93" s="160">
        <f>SUM(D93:O93)</f>
        <v>19996.223931623928</v>
      </c>
    </row>
    <row r="95" spans="2:17" x14ac:dyDescent="0.2">
      <c r="C95" s="109" t="s">
        <v>133</v>
      </c>
      <c r="D95" s="108" t="s">
        <v>13</v>
      </c>
      <c r="E95" s="108"/>
      <c r="F95" s="108" t="s">
        <v>18</v>
      </c>
      <c r="G95" s="108"/>
      <c r="H95" s="108"/>
      <c r="I95" s="108"/>
      <c r="J95" s="108"/>
      <c r="K95" s="108"/>
      <c r="L95" s="108"/>
      <c r="M95" s="108"/>
      <c r="N95" s="108"/>
      <c r="O95" s="108"/>
      <c r="P95" s="161"/>
      <c r="Q95">
        <f>13397.47 / 12</f>
        <v>1116.4558333333332</v>
      </c>
    </row>
    <row r="96" spans="2:17" x14ac:dyDescent="0.2">
      <c r="C96" s="109"/>
      <c r="D96" s="88">
        <v>3</v>
      </c>
      <c r="E96" s="88">
        <v>4</v>
      </c>
      <c r="F96" s="88">
        <v>5</v>
      </c>
      <c r="G96" s="88">
        <v>6</v>
      </c>
      <c r="H96" s="88">
        <v>7</v>
      </c>
      <c r="I96" s="88">
        <v>8</v>
      </c>
      <c r="J96" s="88">
        <v>9</v>
      </c>
      <c r="K96" s="88">
        <v>10</v>
      </c>
      <c r="L96" s="88">
        <v>11</v>
      </c>
      <c r="M96" s="88">
        <v>12</v>
      </c>
      <c r="N96" s="88">
        <v>13</v>
      </c>
      <c r="O96" s="88">
        <v>14</v>
      </c>
      <c r="P96" s="161" t="s">
        <v>173</v>
      </c>
    </row>
    <row r="97" spans="3:17" ht="15.75" x14ac:dyDescent="0.25">
      <c r="C97" s="161" t="s">
        <v>172</v>
      </c>
      <c r="D97" s="36">
        <v>568.44417735042748</v>
      </c>
      <c r="E97" s="36">
        <v>917.7836089743588</v>
      </c>
      <c r="F97" s="36">
        <v>1108.9018247863246</v>
      </c>
      <c r="G97" s="36">
        <v>1149.1018247863246</v>
      </c>
      <c r="H97" s="36">
        <v>1189.3018247863247</v>
      </c>
      <c r="I97" s="36">
        <v>1205.3818247863246</v>
      </c>
      <c r="J97" s="36">
        <v>1205.3818247863246</v>
      </c>
      <c r="K97" s="36">
        <v>1205.3818247863246</v>
      </c>
      <c r="L97" s="36">
        <v>1205.3818247863246</v>
      </c>
      <c r="M97" s="36">
        <v>1205.3818247863246</v>
      </c>
      <c r="N97" s="36">
        <v>1218.5138247863242</v>
      </c>
      <c r="O97" s="162">
        <v>1218.5138247863242</v>
      </c>
      <c r="P97" s="162">
        <f>SUM(D97:O97)</f>
        <v>13397.470034188031</v>
      </c>
      <c r="Q97" s="165">
        <f>1116.46 / 2110</f>
        <v>0.5291279620853081</v>
      </c>
    </row>
    <row r="99" spans="3:17" x14ac:dyDescent="0.2">
      <c r="C99" s="109" t="s">
        <v>133</v>
      </c>
      <c r="D99" s="108" t="s">
        <v>13</v>
      </c>
      <c r="E99" s="108"/>
      <c r="F99" s="108" t="s">
        <v>18</v>
      </c>
      <c r="G99" s="108"/>
      <c r="H99" s="108"/>
      <c r="I99" s="108"/>
      <c r="J99" s="108"/>
      <c r="K99" s="108"/>
      <c r="L99" s="108"/>
      <c r="M99" s="108"/>
      <c r="N99" s="108"/>
      <c r="O99" s="108"/>
    </row>
    <row r="100" spans="3:17" x14ac:dyDescent="0.2">
      <c r="C100" s="109"/>
      <c r="D100" s="88">
        <v>3</v>
      </c>
      <c r="E100" s="88">
        <v>4</v>
      </c>
      <c r="F100" s="88">
        <v>5</v>
      </c>
      <c r="G100" s="88">
        <v>6</v>
      </c>
      <c r="H100" s="88">
        <v>7</v>
      </c>
      <c r="I100" s="88">
        <v>8</v>
      </c>
      <c r="J100" s="88">
        <v>9</v>
      </c>
      <c r="K100" s="88">
        <v>10</v>
      </c>
      <c r="L100" s="88">
        <v>11</v>
      </c>
      <c r="M100" s="88">
        <v>12</v>
      </c>
      <c r="N100" s="88">
        <v>13</v>
      </c>
      <c r="O100" s="88">
        <v>14</v>
      </c>
    </row>
    <row r="101" spans="3:17" x14ac:dyDescent="0.2">
      <c r="C101" s="161" t="s">
        <v>174</v>
      </c>
      <c r="D101" s="48">
        <v>70</v>
      </c>
      <c r="E101" s="48">
        <v>90</v>
      </c>
      <c r="F101" s="48">
        <v>100</v>
      </c>
      <c r="G101" s="48">
        <v>100</v>
      </c>
      <c r="H101" s="48">
        <v>100</v>
      </c>
      <c r="I101" s="48">
        <v>100</v>
      </c>
      <c r="J101" s="48">
        <v>100</v>
      </c>
      <c r="K101" s="48">
        <v>100</v>
      </c>
      <c r="L101" s="48">
        <v>100</v>
      </c>
      <c r="M101" s="48">
        <v>100</v>
      </c>
      <c r="N101" s="48">
        <v>100</v>
      </c>
      <c r="O101" s="48">
        <v>100</v>
      </c>
    </row>
  </sheetData>
  <mergeCells count="86">
    <mergeCell ref="F99:O99"/>
    <mergeCell ref="D91:E91"/>
    <mergeCell ref="F91:O91"/>
    <mergeCell ref="C95:C96"/>
    <mergeCell ref="D95:E95"/>
    <mergeCell ref="F95:O95"/>
    <mergeCell ref="B91:B92"/>
    <mergeCell ref="C91:C92"/>
    <mergeCell ref="C99:C100"/>
    <mergeCell ref="D99:E99"/>
    <mergeCell ref="S39:S40"/>
    <mergeCell ref="C41:C42"/>
    <mergeCell ref="S41:S42"/>
    <mergeCell ref="C43:C44"/>
    <mergeCell ref="S43:S44"/>
    <mergeCell ref="S21:S22"/>
    <mergeCell ref="C23:C24"/>
    <mergeCell ref="S23:S24"/>
    <mergeCell ref="C37:C38"/>
    <mergeCell ref="S37:S38"/>
    <mergeCell ref="C25:C26"/>
    <mergeCell ref="S25:S26"/>
    <mergeCell ref="C27:C28"/>
    <mergeCell ref="S27:S28"/>
    <mergeCell ref="C29:C30"/>
    <mergeCell ref="S29:S30"/>
    <mergeCell ref="S31:S32"/>
    <mergeCell ref="C35:C36"/>
    <mergeCell ref="S35:S36"/>
    <mergeCell ref="C33:C34"/>
    <mergeCell ref="S33:S34"/>
    <mergeCell ref="S17:S18"/>
    <mergeCell ref="C19:C20"/>
    <mergeCell ref="S19:S20"/>
    <mergeCell ref="C15:C16"/>
    <mergeCell ref="S15:S16"/>
    <mergeCell ref="B4:B5"/>
    <mergeCell ref="C4:D5"/>
    <mergeCell ref="E4:F4"/>
    <mergeCell ref="C8:D8"/>
    <mergeCell ref="C7:D7"/>
    <mergeCell ref="C6:D6"/>
    <mergeCell ref="C56:C57"/>
    <mergeCell ref="G4:H4"/>
    <mergeCell ref="I4:R4"/>
    <mergeCell ref="C9:D9"/>
    <mergeCell ref="C10:D10"/>
    <mergeCell ref="C17:C18"/>
    <mergeCell ref="C21:C22"/>
    <mergeCell ref="C39:C40"/>
    <mergeCell ref="C72:C73"/>
    <mergeCell ref="C74:C75"/>
    <mergeCell ref="C76:C77"/>
    <mergeCell ref="C58:C59"/>
    <mergeCell ref="C60:C61"/>
    <mergeCell ref="C62:C63"/>
    <mergeCell ref="C66:C67"/>
    <mergeCell ref="D72:D73"/>
    <mergeCell ref="D74:D75"/>
    <mergeCell ref="D76:D77"/>
    <mergeCell ref="D58:D59"/>
    <mergeCell ref="D60:D61"/>
    <mergeCell ref="D62:D63"/>
    <mergeCell ref="D66:D67"/>
    <mergeCell ref="D64:D65"/>
    <mergeCell ref="C13:C14"/>
    <mergeCell ref="C31:C32"/>
    <mergeCell ref="C64:C65"/>
    <mergeCell ref="D68:D69"/>
    <mergeCell ref="D70:D71"/>
    <mergeCell ref="D48:D49"/>
    <mergeCell ref="D50:D51"/>
    <mergeCell ref="D52:D53"/>
    <mergeCell ref="D54:D55"/>
    <mergeCell ref="D56:D57"/>
    <mergeCell ref="C68:C69"/>
    <mergeCell ref="C70:C71"/>
    <mergeCell ref="C48:C49"/>
    <mergeCell ref="C50:C51"/>
    <mergeCell ref="C52:C53"/>
    <mergeCell ref="C54:C55"/>
    <mergeCell ref="C80:C81"/>
    <mergeCell ref="F80:G80"/>
    <mergeCell ref="D80:E80"/>
    <mergeCell ref="B80:B81"/>
    <mergeCell ref="H80:M8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B325-DBA4-4317-A675-F2B6E9E3C03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报表（合）</vt:lpstr>
      <vt:lpstr>分析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2018-06-05T15:32:43Z</dcterms:modified>
</cp:coreProperties>
</file>