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4A00BF09-85D6-4E03-98EB-5F78165B88C4}" xr6:coauthVersionLast="33" xr6:coauthVersionMax="33" xr10:uidLastSave="{00000000-0000-0000-0000-000000000000}"/>
  <bookViews>
    <workbookView xWindow="0" yWindow="0" windowWidth="22260" windowHeight="12645" tabRatio="736" xr2:uid="{00000000-000D-0000-FFFF-FFFF00000000}"/>
  </bookViews>
  <sheets>
    <sheet name="投资计划及资金筹措表" sheetId="1" r:id="rId1"/>
    <sheet name="Sheet2" sheetId="7" r:id="rId2"/>
    <sheet name="Sheet3" sheetId="8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6" i="1" l="1"/>
  <c r="I106" i="1"/>
  <c r="H106" i="1"/>
  <c r="G106" i="1"/>
  <c r="O105" i="1"/>
  <c r="N105" i="1"/>
  <c r="M105" i="1"/>
  <c r="M97" i="1" s="1"/>
  <c r="L105" i="1"/>
  <c r="K105" i="1"/>
  <c r="J105" i="1"/>
  <c r="I105" i="1"/>
  <c r="H105" i="1"/>
  <c r="G105" i="1"/>
  <c r="R104" i="1"/>
  <c r="Q104" i="1"/>
  <c r="P104" i="1"/>
  <c r="P97" i="1" s="1"/>
  <c r="O104" i="1"/>
  <c r="N104" i="1"/>
  <c r="M104" i="1"/>
  <c r="L104" i="1"/>
  <c r="K104" i="1"/>
  <c r="J104" i="1"/>
  <c r="I104" i="1"/>
  <c r="H104" i="1"/>
  <c r="O97" i="1"/>
  <c r="G104" i="1"/>
  <c r="R80" i="1"/>
  <c r="R88" i="1"/>
  <c r="F90" i="1"/>
  <c r="G90" i="1"/>
  <c r="K90" i="1"/>
  <c r="L90" i="1"/>
  <c r="M90" i="1"/>
  <c r="N90" i="1"/>
  <c r="O90" i="1"/>
  <c r="P90" i="1"/>
  <c r="Q90" i="1"/>
  <c r="H87" i="1"/>
  <c r="I87" i="1"/>
  <c r="J87" i="1"/>
  <c r="G87" i="1"/>
  <c r="K85" i="1"/>
  <c r="K81" i="1" s="1"/>
  <c r="L85" i="1"/>
  <c r="M85" i="1"/>
  <c r="N85" i="1"/>
  <c r="O85" i="1"/>
  <c r="O81" i="1" s="1"/>
  <c r="P85" i="1"/>
  <c r="Q85" i="1"/>
  <c r="R85" i="1"/>
  <c r="G85" i="1"/>
  <c r="H84" i="1"/>
  <c r="G84" i="1"/>
  <c r="F82" i="1"/>
  <c r="E82" i="1"/>
  <c r="E81" i="1" s="1"/>
  <c r="F81" i="1"/>
  <c r="G81" i="1"/>
  <c r="L81" i="1"/>
  <c r="M81" i="1"/>
  <c r="N81" i="1"/>
  <c r="P81" i="1"/>
  <c r="Q81" i="1"/>
  <c r="R81" i="1"/>
  <c r="R90" i="1" s="1"/>
  <c r="R79" i="1"/>
  <c r="F71" i="1"/>
  <c r="G71" i="1"/>
  <c r="K71" i="1"/>
  <c r="L71" i="1"/>
  <c r="M71" i="1"/>
  <c r="N71" i="1"/>
  <c r="O71" i="1"/>
  <c r="P71" i="1"/>
  <c r="Q71" i="1"/>
  <c r="R71" i="1"/>
  <c r="E71" i="1"/>
  <c r="E90" i="1" s="1"/>
  <c r="E91" i="1" s="1"/>
  <c r="F91" i="1" s="1"/>
  <c r="H73" i="1"/>
  <c r="I73" i="1"/>
  <c r="J73" i="1"/>
  <c r="K73" i="1"/>
  <c r="L73" i="1"/>
  <c r="M73" i="1"/>
  <c r="N73" i="1"/>
  <c r="O73" i="1"/>
  <c r="P73" i="1"/>
  <c r="Q73" i="1"/>
  <c r="R73" i="1"/>
  <c r="G73" i="1"/>
  <c r="K72" i="1"/>
  <c r="L72" i="1"/>
  <c r="M72" i="1"/>
  <c r="N72" i="1"/>
  <c r="O72" i="1"/>
  <c r="P72" i="1"/>
  <c r="Q72" i="1"/>
  <c r="R72" i="1"/>
  <c r="G72" i="1"/>
  <c r="R34" i="1"/>
  <c r="R29" i="1"/>
  <c r="R27" i="1"/>
  <c r="Q27" i="1"/>
  <c r="P27" i="1"/>
  <c r="N47" i="1" s="1"/>
  <c r="O27" i="1"/>
  <c r="N27" i="1"/>
  <c r="L47" i="1" s="1"/>
  <c r="M27" i="1"/>
  <c r="K47" i="1" s="1"/>
  <c r="L27" i="1"/>
  <c r="J47" i="1" s="1"/>
  <c r="K27" i="1"/>
  <c r="I47" i="1" s="1"/>
  <c r="J27" i="1"/>
  <c r="M47" i="1"/>
  <c r="I27" i="1"/>
  <c r="H22" i="1"/>
  <c r="I22" i="1" s="1"/>
  <c r="E50" i="1"/>
  <c r="E58" i="1"/>
  <c r="E49" i="1"/>
  <c r="E48" i="1"/>
  <c r="H86" i="1"/>
  <c r="I86" i="1"/>
  <c r="J86" i="1"/>
  <c r="K86" i="1"/>
  <c r="L86" i="1"/>
  <c r="M86" i="1"/>
  <c r="N86" i="1"/>
  <c r="O86" i="1"/>
  <c r="P86" i="1"/>
  <c r="Q86" i="1"/>
  <c r="R86" i="1"/>
  <c r="G86" i="1"/>
  <c r="F57" i="1"/>
  <c r="G57" i="1"/>
  <c r="H57" i="1"/>
  <c r="I57" i="1"/>
  <c r="J57" i="1"/>
  <c r="K57" i="1"/>
  <c r="L57" i="1"/>
  <c r="M57" i="1"/>
  <c r="N57" i="1"/>
  <c r="O57" i="1"/>
  <c r="P57" i="1"/>
  <c r="E57" i="1"/>
  <c r="O47" i="1"/>
  <c r="P47" i="1"/>
  <c r="E47" i="1"/>
  <c r="F46" i="1"/>
  <c r="E46" i="1"/>
  <c r="N49" i="1"/>
  <c r="M49" i="1"/>
  <c r="L49" i="1"/>
  <c r="K49" i="1"/>
  <c r="N45" i="1"/>
  <c r="J49" i="1"/>
  <c r="I49" i="1"/>
  <c r="I45" i="1" s="1"/>
  <c r="H49" i="1"/>
  <c r="H45" i="1" s="1"/>
  <c r="G49" i="1"/>
  <c r="J45" i="1"/>
  <c r="F49" i="1"/>
  <c r="F45" i="1"/>
  <c r="H115" i="1"/>
  <c r="H107" i="1" s="1"/>
  <c r="G115" i="1"/>
  <c r="F115" i="1"/>
  <c r="F112" i="1"/>
  <c r="F113" i="1" s="1"/>
  <c r="E107" i="1"/>
  <c r="G107" i="1"/>
  <c r="I107" i="1"/>
  <c r="J107" i="1"/>
  <c r="K107" i="1"/>
  <c r="L107" i="1"/>
  <c r="M107" i="1"/>
  <c r="N107" i="1"/>
  <c r="O107" i="1"/>
  <c r="P107" i="1"/>
  <c r="Q107" i="1"/>
  <c r="R107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E113" i="1"/>
  <c r="G97" i="1"/>
  <c r="H97" i="1"/>
  <c r="I97" i="1"/>
  <c r="J97" i="1"/>
  <c r="L97" i="1"/>
  <c r="N97" i="1"/>
  <c r="Q97" i="1"/>
  <c r="R97" i="1"/>
  <c r="F97" i="1"/>
  <c r="H56" i="1"/>
  <c r="I56" i="1"/>
  <c r="J56" i="1"/>
  <c r="K56" i="1"/>
  <c r="L56" i="1"/>
  <c r="M56" i="1"/>
  <c r="N56" i="1"/>
  <c r="O56" i="1"/>
  <c r="P56" i="1"/>
  <c r="G56" i="1"/>
  <c r="F56" i="1"/>
  <c r="E56" i="1"/>
  <c r="F12" i="1"/>
  <c r="F9" i="1" s="1"/>
  <c r="E12" i="1"/>
  <c r="F22" i="1" s="1"/>
  <c r="G45" i="1"/>
  <c r="K45" i="1"/>
  <c r="L45" i="1"/>
  <c r="M45" i="1"/>
  <c r="O49" i="1"/>
  <c r="O45" i="1" s="1"/>
  <c r="P49" i="1"/>
  <c r="P45" i="1" s="1"/>
  <c r="E45" i="1"/>
  <c r="F43" i="1"/>
  <c r="E43" i="1"/>
  <c r="F42" i="1"/>
  <c r="E42" i="1"/>
  <c r="E112" i="1"/>
  <c r="E115" i="1"/>
  <c r="E5" i="1"/>
  <c r="I10" i="1"/>
  <c r="I6" i="1"/>
  <c r="H8" i="1"/>
  <c r="H5" i="1" s="1"/>
  <c r="G8" i="1"/>
  <c r="I8" i="1" s="1"/>
  <c r="K97" i="1" l="1"/>
  <c r="J22" i="1"/>
  <c r="J26" i="1" s="1"/>
  <c r="H47" i="1" s="1"/>
  <c r="H48" i="1" s="1"/>
  <c r="I26" i="1"/>
  <c r="H26" i="1"/>
  <c r="F47" i="1" s="1"/>
  <c r="G91" i="1"/>
  <c r="P48" i="1"/>
  <c r="P50" i="1" s="1"/>
  <c r="L48" i="1"/>
  <c r="L50" i="1" s="1"/>
  <c r="O48" i="1"/>
  <c r="O50" i="1" s="1"/>
  <c r="K48" i="1"/>
  <c r="K50" i="1" s="1"/>
  <c r="G47" i="1"/>
  <c r="G48" i="1" s="1"/>
  <c r="G58" i="1" s="1"/>
  <c r="G59" i="1" s="1"/>
  <c r="I72" i="1" s="1"/>
  <c r="I71" i="1" s="1"/>
  <c r="P58" i="1"/>
  <c r="P59" i="1" s="1"/>
  <c r="P60" i="1" s="1"/>
  <c r="P61" i="1" s="1"/>
  <c r="L58" i="1"/>
  <c r="L59" i="1" s="1"/>
  <c r="E59" i="1"/>
  <c r="E60" i="1" s="1"/>
  <c r="E61" i="1" s="1"/>
  <c r="M48" i="1"/>
  <c r="N48" i="1"/>
  <c r="I48" i="1"/>
  <c r="J48" i="1"/>
  <c r="F48" i="1"/>
  <c r="F107" i="1"/>
  <c r="G13" i="1"/>
  <c r="H13" i="1"/>
  <c r="E24" i="1"/>
  <c r="E74" i="1"/>
  <c r="F74" i="1"/>
  <c r="E103" i="1"/>
  <c r="E97" i="1" s="1"/>
  <c r="F24" i="1"/>
  <c r="G22" i="1" s="1"/>
  <c r="G26" i="1" s="1"/>
  <c r="I12" i="1"/>
  <c r="E9" i="1"/>
  <c r="G5" i="1"/>
  <c r="G50" i="1" l="1"/>
  <c r="O58" i="1"/>
  <c r="O59" i="1" s="1"/>
  <c r="L60" i="1"/>
  <c r="L61" i="1" s="1"/>
  <c r="K58" i="1"/>
  <c r="K59" i="1" s="1"/>
  <c r="K60" i="1" s="1"/>
  <c r="K61" i="1" s="1"/>
  <c r="K62" i="1" s="1"/>
  <c r="K64" i="1" s="1"/>
  <c r="G60" i="1"/>
  <c r="P62" i="1"/>
  <c r="P64" i="1"/>
  <c r="O60" i="1"/>
  <c r="O61" i="1" s="1"/>
  <c r="J50" i="1"/>
  <c r="J58" i="1"/>
  <c r="J59" i="1" s="1"/>
  <c r="I50" i="1"/>
  <c r="I58" i="1"/>
  <c r="I59" i="1" s="1"/>
  <c r="I60" i="1" s="1"/>
  <c r="I61" i="1" s="1"/>
  <c r="M50" i="1"/>
  <c r="M58" i="1"/>
  <c r="M59" i="1" s="1"/>
  <c r="M60" i="1" s="1"/>
  <c r="M61" i="1" s="1"/>
  <c r="H50" i="1"/>
  <c r="H58" i="1"/>
  <c r="H59" i="1" s="1"/>
  <c r="J72" i="1" s="1"/>
  <c r="J71" i="1" s="1"/>
  <c r="N50" i="1"/>
  <c r="N58" i="1"/>
  <c r="N59" i="1" s="1"/>
  <c r="F50" i="1"/>
  <c r="F58" i="1"/>
  <c r="F59" i="1" s="1"/>
  <c r="H72" i="1" s="1"/>
  <c r="H71" i="1" s="1"/>
  <c r="E62" i="1"/>
  <c r="E64" i="1" s="1"/>
  <c r="E65" i="1" s="1"/>
  <c r="H75" i="1"/>
  <c r="H9" i="1"/>
  <c r="H25" i="1"/>
  <c r="H27" i="1" s="1"/>
  <c r="G9" i="1"/>
  <c r="G25" i="1"/>
  <c r="G27" i="1" s="1"/>
  <c r="G75" i="1"/>
  <c r="I13" i="1"/>
  <c r="I9" i="1" s="1"/>
  <c r="I5" i="1"/>
  <c r="F5" i="1"/>
  <c r="G61" i="1" l="1"/>
  <c r="I85" i="1"/>
  <c r="I81" i="1" s="1"/>
  <c r="I90" i="1" s="1"/>
  <c r="L62" i="1"/>
  <c r="L64" i="1" s="1"/>
  <c r="G62" i="1"/>
  <c r="G64" i="1" s="1"/>
  <c r="O62" i="1"/>
  <c r="O64" i="1" s="1"/>
  <c r="I62" i="1"/>
  <c r="I64" i="1" s="1"/>
  <c r="M62" i="1"/>
  <c r="M64" i="1" s="1"/>
  <c r="H60" i="1"/>
  <c r="N60" i="1"/>
  <c r="N61" i="1"/>
  <c r="J60" i="1"/>
  <c r="J61" i="1"/>
  <c r="F60" i="1"/>
  <c r="F61" i="1" l="1"/>
  <c r="H85" i="1"/>
  <c r="H81" i="1" s="1"/>
  <c r="H90" i="1" s="1"/>
  <c r="H91" i="1" s="1"/>
  <c r="I91" i="1" s="1"/>
  <c r="H61" i="1"/>
  <c r="H62" i="1" s="1"/>
  <c r="H64" i="1" s="1"/>
  <c r="J85" i="1"/>
  <c r="J81" i="1" s="1"/>
  <c r="J90" i="1" s="1"/>
  <c r="J62" i="1"/>
  <c r="J64" i="1" s="1"/>
  <c r="N62" i="1"/>
  <c r="N64" i="1" s="1"/>
  <c r="F62" i="1"/>
  <c r="F64" i="1" s="1"/>
  <c r="F65" i="1" s="1"/>
  <c r="G65" i="1" s="1"/>
  <c r="J91" i="1" l="1"/>
  <c r="K91" i="1" s="1"/>
  <c r="L91" i="1" s="1"/>
  <c r="M91" i="1" s="1"/>
  <c r="N91" i="1" s="1"/>
  <c r="O91" i="1" s="1"/>
  <c r="P91" i="1" s="1"/>
  <c r="Q91" i="1" s="1"/>
  <c r="R91" i="1" s="1"/>
  <c r="H65" i="1"/>
  <c r="I65" i="1" s="1"/>
  <c r="J65" i="1" s="1"/>
  <c r="K65" i="1" s="1"/>
  <c r="L65" i="1" s="1"/>
  <c r="M65" i="1" s="1"/>
  <c r="N65" i="1" s="1"/>
  <c r="O65" i="1" s="1"/>
  <c r="P65" i="1" s="1"/>
</calcChain>
</file>

<file path=xl/sharedStrings.xml><?xml version="1.0" encoding="utf-8"?>
<sst xmlns="http://schemas.openxmlformats.org/spreadsheetml/2006/main" count="195" uniqueCount="128">
  <si>
    <t>序号</t>
    <phoneticPr fontId="1" type="noConversion"/>
  </si>
  <si>
    <t>总投资</t>
    <phoneticPr fontId="1" type="noConversion"/>
  </si>
  <si>
    <t>建设期</t>
    <phoneticPr fontId="1" type="noConversion"/>
  </si>
  <si>
    <t xml:space="preserve">                                     年份项目</t>
    <phoneticPr fontId="1" type="noConversion"/>
  </si>
  <si>
    <t>建设期利息</t>
    <phoneticPr fontId="1" type="noConversion"/>
  </si>
  <si>
    <t>流动资金</t>
    <phoneticPr fontId="1" type="noConversion"/>
  </si>
  <si>
    <t>资金筹措</t>
    <phoneticPr fontId="1" type="noConversion"/>
  </si>
  <si>
    <t>自有资金</t>
    <phoneticPr fontId="1" type="noConversion"/>
  </si>
  <si>
    <t>借款</t>
    <phoneticPr fontId="1" type="noConversion"/>
  </si>
  <si>
    <t>长期借款</t>
    <phoneticPr fontId="1" type="noConversion"/>
  </si>
  <si>
    <t>流动资金借款</t>
    <phoneticPr fontId="1" type="noConversion"/>
  </si>
  <si>
    <t>其他</t>
    <phoneticPr fontId="1" type="noConversion"/>
  </si>
  <si>
    <t>2.2.1</t>
    <phoneticPr fontId="1" type="noConversion"/>
  </si>
  <si>
    <t>2.2.2</t>
    <phoneticPr fontId="1" type="noConversion"/>
  </si>
  <si>
    <t>投产期</t>
    <phoneticPr fontId="1" type="noConversion"/>
  </si>
  <si>
    <t>合计</t>
    <phoneticPr fontId="1" type="noConversion"/>
  </si>
  <si>
    <t>序号</t>
    <phoneticPr fontId="1" type="noConversion"/>
  </si>
  <si>
    <t>建设期</t>
    <phoneticPr fontId="1" type="noConversion"/>
  </si>
  <si>
    <t>投产期</t>
    <phoneticPr fontId="1" type="noConversion"/>
  </si>
  <si>
    <t>达到设计生产能力生产期</t>
    <phoneticPr fontId="1" type="noConversion"/>
  </si>
  <si>
    <t>借款及还本付息</t>
    <phoneticPr fontId="1" type="noConversion"/>
  </si>
  <si>
    <t>长</t>
    <phoneticPr fontId="1" type="noConversion"/>
  </si>
  <si>
    <t>流</t>
    <phoneticPr fontId="1" type="noConversion"/>
  </si>
  <si>
    <r>
      <t>年初欠款累计</t>
    </r>
    <r>
      <rPr>
        <sz val="16"/>
        <color theme="1"/>
        <rFont val="宋体"/>
        <family val="3"/>
        <charset val="134"/>
      </rPr>
      <t>｛</t>
    </r>
    <phoneticPr fontId="1" type="noConversion"/>
  </si>
  <si>
    <t>本年借款｛</t>
    <phoneticPr fontId="1" type="noConversion"/>
  </si>
  <si>
    <t>本年付利息</t>
    <phoneticPr fontId="1" type="noConversion"/>
  </si>
  <si>
    <t>本年还本</t>
    <phoneticPr fontId="1" type="noConversion"/>
  </si>
  <si>
    <t>2..5</t>
    <phoneticPr fontId="1" type="noConversion"/>
  </si>
  <si>
    <t>偿还贷款本金的资金来源</t>
    <phoneticPr fontId="1" type="noConversion"/>
  </si>
  <si>
    <t>利润</t>
    <phoneticPr fontId="1" type="noConversion"/>
  </si>
  <si>
    <t>折旧与摊销</t>
    <phoneticPr fontId="1" type="noConversion"/>
  </si>
  <si>
    <t>自有资金</t>
    <phoneticPr fontId="1" type="noConversion"/>
  </si>
  <si>
    <t>资产回收</t>
    <phoneticPr fontId="1" type="noConversion"/>
  </si>
  <si>
    <t>其他</t>
    <phoneticPr fontId="1" type="noConversion"/>
  </si>
  <si>
    <t>合计</t>
    <phoneticPr fontId="1" type="noConversion"/>
  </si>
  <si>
    <t>直接材料费</t>
    <phoneticPr fontId="1" type="noConversion"/>
  </si>
  <si>
    <t>制造费用</t>
    <phoneticPr fontId="1" type="noConversion"/>
  </si>
  <si>
    <t>利息支出</t>
    <phoneticPr fontId="1" type="noConversion"/>
  </si>
  <si>
    <t>总成本费用</t>
    <phoneticPr fontId="1" type="noConversion"/>
  </si>
  <si>
    <t>其中：折旧与摊销</t>
    <phoneticPr fontId="1" type="noConversion"/>
  </si>
  <si>
    <t>经营成本</t>
    <phoneticPr fontId="1" type="noConversion"/>
  </si>
  <si>
    <t>产品销售收入</t>
    <phoneticPr fontId="1" type="noConversion"/>
  </si>
  <si>
    <t>销售税金及附加</t>
    <phoneticPr fontId="1" type="noConversion"/>
  </si>
  <si>
    <t>利润总额</t>
    <phoneticPr fontId="1" type="noConversion"/>
  </si>
  <si>
    <t>所得税</t>
    <phoneticPr fontId="1" type="noConversion"/>
  </si>
  <si>
    <t>税后利润</t>
    <phoneticPr fontId="1" type="noConversion"/>
  </si>
  <si>
    <t>盈余公积金</t>
    <phoneticPr fontId="1" type="noConversion"/>
  </si>
  <si>
    <t>应付利润</t>
    <phoneticPr fontId="1" type="noConversion"/>
  </si>
  <si>
    <t>未分配利润</t>
    <phoneticPr fontId="1" type="noConversion"/>
  </si>
  <si>
    <t>累计未分配利润</t>
    <phoneticPr fontId="1" type="noConversion"/>
  </si>
  <si>
    <t>资金来源</t>
    <phoneticPr fontId="1" type="noConversion"/>
  </si>
  <si>
    <t>折旧与摊销费</t>
    <phoneticPr fontId="1" type="noConversion"/>
  </si>
  <si>
    <t>长期借款</t>
    <phoneticPr fontId="1" type="noConversion"/>
  </si>
  <si>
    <t>流动资金借款</t>
    <phoneticPr fontId="1" type="noConversion"/>
  </si>
  <si>
    <t>其他短期借款</t>
    <phoneticPr fontId="1" type="noConversion"/>
  </si>
  <si>
    <t>回收固资余值</t>
    <phoneticPr fontId="1" type="noConversion"/>
  </si>
  <si>
    <t>回收流动资金</t>
    <phoneticPr fontId="1" type="noConversion"/>
  </si>
  <si>
    <t>资金运用</t>
    <phoneticPr fontId="1" type="noConversion"/>
  </si>
  <si>
    <t>固定资产投资</t>
    <phoneticPr fontId="1" type="noConversion"/>
  </si>
  <si>
    <t>建设期利息</t>
    <phoneticPr fontId="1" type="noConversion"/>
  </si>
  <si>
    <t>流动资金投资</t>
    <phoneticPr fontId="1" type="noConversion"/>
  </si>
  <si>
    <t>长期借款还本</t>
    <phoneticPr fontId="1" type="noConversion"/>
  </si>
  <si>
    <t>流动资金借款还本</t>
    <phoneticPr fontId="1" type="noConversion"/>
  </si>
  <si>
    <t>其他短期借款还本</t>
    <phoneticPr fontId="1" type="noConversion"/>
  </si>
  <si>
    <t>盈余资金</t>
    <phoneticPr fontId="1" type="noConversion"/>
  </si>
  <si>
    <t>累计盈余资金</t>
    <phoneticPr fontId="1" type="noConversion"/>
  </si>
  <si>
    <t>资产</t>
    <phoneticPr fontId="1" type="noConversion"/>
  </si>
  <si>
    <r>
      <t>表6 资产负债表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</si>
  <si>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r>
      <t>表5 资金来源与运用表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</si>
  <si>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r>
      <t>表4 损益表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</si>
  <si>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r>
      <t>表3 成本费用表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</si>
  <si>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r>
      <t>表2 借款还本付息表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</si>
  <si>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r>
      <t>表1 投资计划及资金筹措表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</si>
  <si>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t>流动资产总额</t>
    <phoneticPr fontId="1" type="noConversion"/>
  </si>
  <si>
    <t>1.1.1</t>
    <phoneticPr fontId="1" type="noConversion"/>
  </si>
  <si>
    <t>现金</t>
    <phoneticPr fontId="1" type="noConversion"/>
  </si>
  <si>
    <t>1.1.2</t>
    <phoneticPr fontId="1" type="noConversion"/>
  </si>
  <si>
    <t>1.1.3</t>
    <phoneticPr fontId="1" type="noConversion"/>
  </si>
  <si>
    <t>1.1.4</t>
    <phoneticPr fontId="1" type="noConversion"/>
  </si>
  <si>
    <t>应收账款</t>
    <phoneticPr fontId="1" type="noConversion"/>
  </si>
  <si>
    <t>存货</t>
    <phoneticPr fontId="1" type="noConversion"/>
  </si>
  <si>
    <t>在建工程</t>
    <phoneticPr fontId="1" type="noConversion"/>
  </si>
  <si>
    <t>固定资产净值</t>
    <phoneticPr fontId="1" type="noConversion"/>
  </si>
  <si>
    <t>无形和递延资产净值</t>
    <phoneticPr fontId="1" type="noConversion"/>
  </si>
  <si>
    <t>负债和所有者权益</t>
    <phoneticPr fontId="1" type="noConversion"/>
  </si>
  <si>
    <t>流动负债总额</t>
    <phoneticPr fontId="1" type="noConversion"/>
  </si>
  <si>
    <t>2.1.1</t>
    <phoneticPr fontId="1" type="noConversion"/>
  </si>
  <si>
    <t>应付账款</t>
    <phoneticPr fontId="1" type="noConversion"/>
  </si>
  <si>
    <t>2.1.2</t>
    <phoneticPr fontId="1" type="noConversion"/>
  </si>
  <si>
    <t>2.1.3</t>
    <phoneticPr fontId="1" type="noConversion"/>
  </si>
  <si>
    <t>负债小计</t>
    <phoneticPr fontId="1" type="noConversion"/>
  </si>
  <si>
    <t>所有者权益</t>
    <phoneticPr fontId="1" type="noConversion"/>
  </si>
  <si>
    <t>2.3.1</t>
    <phoneticPr fontId="1" type="noConversion"/>
  </si>
  <si>
    <t>资本金</t>
    <phoneticPr fontId="1" type="noConversion"/>
  </si>
  <si>
    <t>资本公积金</t>
    <phoneticPr fontId="1" type="noConversion"/>
  </si>
  <si>
    <t>2.3.2</t>
    <phoneticPr fontId="1" type="noConversion"/>
  </si>
  <si>
    <t>2.3.3</t>
    <phoneticPr fontId="1" type="noConversion"/>
  </si>
  <si>
    <t>累计盈余公积金</t>
    <phoneticPr fontId="1" type="noConversion"/>
  </si>
  <si>
    <t>2.3.4</t>
    <phoneticPr fontId="1" type="noConversion"/>
  </si>
  <si>
    <t>资产负债率</t>
    <phoneticPr fontId="1" type="noConversion"/>
  </si>
  <si>
    <t>流动比率</t>
    <phoneticPr fontId="1" type="noConversion"/>
  </si>
  <si>
    <t>速动比率</t>
    <phoneticPr fontId="1" type="noConversion"/>
  </si>
  <si>
    <r>
      <t>表7 现金流量表（全部投资）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</si>
  <si>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t>现金流入</t>
    <phoneticPr fontId="1" type="noConversion"/>
  </si>
  <si>
    <t>回收固定资产余值</t>
    <phoneticPr fontId="1" type="noConversion"/>
  </si>
  <si>
    <t>现金流出</t>
    <phoneticPr fontId="1" type="noConversion"/>
  </si>
  <si>
    <t>流动资产投资</t>
    <phoneticPr fontId="1" type="noConversion"/>
  </si>
  <si>
    <t>净现金流量（所得税前）</t>
    <phoneticPr fontId="1" type="noConversion"/>
  </si>
  <si>
    <t>净现金流量（所得税后）</t>
    <phoneticPr fontId="1" type="noConversion"/>
  </si>
  <si>
    <t>累计净现金流量</t>
    <phoneticPr fontId="1" type="noConversion"/>
  </si>
  <si>
    <t>（P/F，0.15，t）</t>
    <phoneticPr fontId="1" type="noConversion"/>
  </si>
  <si>
    <t>累计净现金流量（税后）</t>
    <phoneticPr fontId="1" type="noConversion"/>
  </si>
  <si>
    <t>净现金流现值（税后）</t>
    <phoneticPr fontId="1" type="noConversion"/>
  </si>
  <si>
    <t>累计净现金流现值（税后）</t>
    <phoneticPr fontId="1" type="noConversion"/>
  </si>
  <si>
    <r>
      <t>表8 现金流量表（自有资金）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</si>
  <si>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t>自有资金投入</t>
    <phoneticPr fontId="1" type="noConversion"/>
  </si>
  <si>
    <t>还本</t>
    <phoneticPr fontId="1" type="noConversion"/>
  </si>
  <si>
    <t>付息</t>
    <phoneticPr fontId="1" type="noConversion"/>
  </si>
  <si>
    <t>净现金流量</t>
    <phoneticPr fontId="1" type="noConversion"/>
  </si>
  <si>
    <t>净现金流现值</t>
    <phoneticPr fontId="1" type="noConversion"/>
  </si>
  <si>
    <t>累计净现金流现值</t>
    <phoneticPr fontId="1" type="noConversion"/>
  </si>
  <si>
    <t>建设投资</t>
    <phoneticPr fontId="1" type="noConversion"/>
  </si>
  <si>
    <t>工资及福利费用</t>
    <phoneticPr fontId="1" type="noConversion"/>
  </si>
  <si>
    <t>修理费用</t>
    <phoneticPr fontId="1" type="noConversion"/>
  </si>
  <si>
    <t>建设投资借款在生产经营期按全年计息</t>
    <phoneticPr fontId="1" type="noConversion"/>
  </si>
  <si>
    <t>其他费用</t>
    <phoneticPr fontId="1" type="noConversion"/>
  </si>
  <si>
    <t>建设投资</t>
    <phoneticPr fontId="1" type="noConversion"/>
  </si>
  <si>
    <t>其他资产净值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</si>
</sst>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80" formatCode="#,##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16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9" fontId="0" fillId="0" borderId="8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13" xfId="0" applyBorder="1"/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horizontal="left" vertical="top" wrapText="1"/>
    </xf>
    <xf numFmtId="0" fontId="0" fillId="0" borderId="13" xfId="0" applyBorder="1" applyAlignment="1">
      <alignment horizontal="left" vertical="center" wrapText="1"/>
    </xf>
    <xf numFmtId="176" fontId="0" fillId="0" borderId="9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176" fontId="0" fillId="0" borderId="0" xfId="0" applyNumberFormat="1"/>
    <xf numFmtId="0" fontId="0" fillId="0" borderId="1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80" fontId="0" fillId="0" borderId="9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0" fillId="0" borderId="7" xfId="0" applyBorder="1"/>
    <xf numFmtId="177" fontId="0" fillId="0" borderId="13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446"/>
  <sheetViews>
    <sheetView tabSelected="1" topLeftCell="B92" workbookViewId="0">
      <selection activeCell="K109" sqref="K109"/>
    </sheetView>
  </sheetViews>
  <sheetFormatPr defaultRowHeight="14.25" x14ac:dyDescent="0.2"/>
  <cols>
    <col min="3" max="3" width="16.625" customWidth="1"/>
    <col min="4" max="4" width="6.875" customWidth="1"/>
  </cols>
  <sheetData>
    <row r="1" spans="2:13" ht="23.25" x14ac:dyDescent="0.2">
      <c r="B1" s="45" t="s">
        <v>72</v>
      </c>
      <c r="C1" s="67"/>
      <c r="D1" s="67"/>
      <c r="E1" s="67"/>
      <c r="F1" s="67"/>
      <c r="G1" s="67"/>
      <c r="H1" s="67"/>
      <c r="I1" s="67"/>
    </row>
    <row r="3" spans="2:13" x14ac:dyDescent="0.2">
      <c r="B3" s="15" t="s">
        <v>0</v>
      </c>
      <c r="C3" s="16" t="s">
        <v>3</v>
      </c>
      <c r="D3" s="16"/>
      <c r="E3" s="15" t="s">
        <v>2</v>
      </c>
      <c r="F3" s="15"/>
      <c r="G3" s="15" t="s">
        <v>14</v>
      </c>
      <c r="H3" s="15"/>
      <c r="I3" s="15" t="s">
        <v>15</v>
      </c>
      <c r="J3" s="2"/>
      <c r="K3" s="2"/>
      <c r="L3" s="2"/>
      <c r="M3" s="2"/>
    </row>
    <row r="4" spans="2:13" x14ac:dyDescent="0.2">
      <c r="B4" s="15"/>
      <c r="C4" s="16"/>
      <c r="D4" s="16"/>
      <c r="E4" s="13">
        <v>1</v>
      </c>
      <c r="F4" s="13">
        <v>2</v>
      </c>
      <c r="G4" s="13">
        <v>3</v>
      </c>
      <c r="H4" s="13">
        <v>4</v>
      </c>
      <c r="I4" s="15"/>
      <c r="J4" s="2"/>
      <c r="K4" s="2"/>
      <c r="L4" s="2"/>
      <c r="M4" s="2"/>
    </row>
    <row r="5" spans="2:13" x14ac:dyDescent="0.2">
      <c r="B5" s="1">
        <v>1</v>
      </c>
      <c r="C5" s="23" t="s">
        <v>1</v>
      </c>
      <c r="D5" s="23"/>
      <c r="E5" s="90">
        <f>SUM(E6:E8)</f>
        <v>2000</v>
      </c>
      <c r="F5" s="90">
        <f>SUM(F6:F8)</f>
        <v>3700</v>
      </c>
      <c r="G5" s="78">
        <f>SUM(G6:G8)</f>
        <v>503.125</v>
      </c>
      <c r="H5" s="78">
        <f>SUM(H6:H8)</f>
        <v>646.875</v>
      </c>
      <c r="I5" s="90">
        <f>SUM(I6:I8)</f>
        <v>6850</v>
      </c>
      <c r="J5" s="2"/>
      <c r="K5" s="2"/>
      <c r="L5" s="2"/>
      <c r="M5" s="2"/>
    </row>
    <row r="6" spans="2:13" x14ac:dyDescent="0.2">
      <c r="B6" s="7">
        <v>1.1000000000000001</v>
      </c>
      <c r="C6" s="20" t="s">
        <v>121</v>
      </c>
      <c r="D6" s="24"/>
      <c r="E6" s="85">
        <v>2000</v>
      </c>
      <c r="F6" s="86">
        <v>3700</v>
      </c>
      <c r="G6" s="79"/>
      <c r="H6" s="79"/>
      <c r="I6" s="86">
        <f>SUM(E6:H6)</f>
        <v>5700</v>
      </c>
      <c r="J6" s="2"/>
      <c r="K6" s="2"/>
      <c r="L6" s="2"/>
      <c r="M6" s="2"/>
    </row>
    <row r="7" spans="2:13" x14ac:dyDescent="0.2">
      <c r="B7" s="8">
        <v>1.2</v>
      </c>
      <c r="C7" s="25" t="s">
        <v>4</v>
      </c>
      <c r="D7" s="26"/>
      <c r="E7" s="80"/>
      <c r="F7" s="80"/>
      <c r="G7" s="80"/>
      <c r="H7" s="80"/>
      <c r="I7" s="86"/>
      <c r="J7" s="2"/>
      <c r="K7" s="2"/>
      <c r="L7" s="2"/>
      <c r="M7" s="2"/>
    </row>
    <row r="8" spans="2:13" x14ac:dyDescent="0.2">
      <c r="B8" s="8">
        <v>1.3</v>
      </c>
      <c r="C8" s="25" t="s">
        <v>5</v>
      </c>
      <c r="D8" s="26"/>
      <c r="E8" s="80"/>
      <c r="F8" s="84"/>
      <c r="G8" s="81">
        <f>1150*0.7/1.6</f>
        <v>503.125</v>
      </c>
      <c r="H8" s="81">
        <f>1150*0.9/1.6</f>
        <v>646.875</v>
      </c>
      <c r="I8" s="86">
        <f>SUM(E8:H8)</f>
        <v>1150</v>
      </c>
      <c r="J8" s="2"/>
      <c r="K8" s="2"/>
      <c r="L8" s="2"/>
      <c r="M8" s="2"/>
    </row>
    <row r="9" spans="2:13" x14ac:dyDescent="0.2">
      <c r="B9" s="7">
        <v>2</v>
      </c>
      <c r="C9" s="23" t="s">
        <v>6</v>
      </c>
      <c r="D9" s="23"/>
      <c r="E9" s="90">
        <f>SUM(E10:E14)</f>
        <v>2000</v>
      </c>
      <c r="F9" s="90">
        <f t="shared" ref="F9:I9" si="0">SUM(F10:F14)</f>
        <v>3700</v>
      </c>
      <c r="G9" s="78">
        <f t="shared" si="0"/>
        <v>503.125</v>
      </c>
      <c r="H9" s="78">
        <f t="shared" si="0"/>
        <v>646.875</v>
      </c>
      <c r="I9" s="78">
        <f t="shared" si="0"/>
        <v>6850</v>
      </c>
      <c r="J9" s="2"/>
      <c r="K9" s="2"/>
      <c r="L9" s="2"/>
      <c r="M9" s="2"/>
    </row>
    <row r="10" spans="2:13" x14ac:dyDescent="0.2">
      <c r="B10" s="7">
        <v>2.1</v>
      </c>
      <c r="C10" s="20" t="s">
        <v>7</v>
      </c>
      <c r="D10" s="24"/>
      <c r="E10" s="85">
        <v>1000</v>
      </c>
      <c r="F10" s="88">
        <v>700</v>
      </c>
      <c r="G10" s="86">
        <v>200</v>
      </c>
      <c r="H10" s="87">
        <v>210</v>
      </c>
      <c r="I10" s="86">
        <f t="shared" ref="I10:I13" si="1">SUM(E10:H10)</f>
        <v>2110</v>
      </c>
      <c r="J10" s="2"/>
      <c r="K10" s="2"/>
      <c r="L10" s="2"/>
      <c r="M10" s="2"/>
    </row>
    <row r="11" spans="2:13" x14ac:dyDescent="0.2">
      <c r="B11" s="8">
        <v>2.2000000000000002</v>
      </c>
      <c r="C11" s="25" t="s">
        <v>8</v>
      </c>
      <c r="D11" s="26"/>
      <c r="E11" s="80"/>
      <c r="F11" s="82"/>
      <c r="G11" s="80"/>
      <c r="H11" s="82"/>
      <c r="I11" s="80"/>
      <c r="J11" s="2"/>
      <c r="K11" s="2"/>
      <c r="L11" s="2"/>
      <c r="M11" s="2"/>
    </row>
    <row r="12" spans="2:13" x14ac:dyDescent="0.2">
      <c r="B12" s="8" t="s">
        <v>12</v>
      </c>
      <c r="C12" s="25" t="s">
        <v>9</v>
      </c>
      <c r="D12" s="26"/>
      <c r="E12" s="86">
        <f>E6-E10</f>
        <v>1000</v>
      </c>
      <c r="F12" s="87">
        <f>F6-F10</f>
        <v>3000</v>
      </c>
      <c r="G12" s="80"/>
      <c r="H12" s="82"/>
      <c r="I12" s="86">
        <f t="shared" si="1"/>
        <v>4000</v>
      </c>
      <c r="J12" s="2"/>
      <c r="K12" s="2"/>
    </row>
    <row r="13" spans="2:13" x14ac:dyDescent="0.2">
      <c r="B13" s="8" t="s">
        <v>13</v>
      </c>
      <c r="C13" s="25" t="s">
        <v>10</v>
      </c>
      <c r="D13" s="26"/>
      <c r="E13" s="80"/>
      <c r="F13" s="82"/>
      <c r="G13" s="80">
        <f>G8-G10</f>
        <v>303.125</v>
      </c>
      <c r="H13" s="80">
        <f>H8-H10</f>
        <v>436.875</v>
      </c>
      <c r="I13" s="86">
        <f t="shared" si="1"/>
        <v>740</v>
      </c>
      <c r="J13" s="2"/>
      <c r="K13" s="2"/>
    </row>
    <row r="14" spans="2:13" x14ac:dyDescent="0.2">
      <c r="B14" s="11">
        <v>2.2999999999999998</v>
      </c>
      <c r="C14" s="27" t="s">
        <v>11</v>
      </c>
      <c r="D14" s="28"/>
      <c r="E14" s="81"/>
      <c r="F14" s="83"/>
      <c r="G14" s="81"/>
      <c r="H14" s="83"/>
      <c r="I14" s="81"/>
      <c r="J14" s="2"/>
      <c r="K14" s="2"/>
    </row>
    <row r="15" spans="2:13" x14ac:dyDescent="0.2">
      <c r="B15" s="22" t="s">
        <v>124</v>
      </c>
      <c r="C15" s="2"/>
      <c r="D15" s="2"/>
      <c r="E15" s="2"/>
      <c r="F15" s="2"/>
      <c r="G15" s="2"/>
      <c r="H15" s="2"/>
      <c r="I15" s="2"/>
      <c r="J15" s="2"/>
      <c r="K15" s="2"/>
    </row>
    <row r="16" spans="2:13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8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8" ht="23.25" x14ac:dyDescent="0.2">
      <c r="B18" s="66" t="s">
        <v>71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</row>
    <row r="19" spans="2:18" x14ac:dyDescent="0.2">
      <c r="B19" s="15" t="s">
        <v>16</v>
      </c>
      <c r="C19" s="16" t="s">
        <v>3</v>
      </c>
      <c r="D19" s="16"/>
      <c r="E19" s="15" t="s">
        <v>17</v>
      </c>
      <c r="F19" s="15"/>
      <c r="G19" s="15" t="s">
        <v>18</v>
      </c>
      <c r="H19" s="15"/>
      <c r="I19" s="15" t="s">
        <v>19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2:18" x14ac:dyDescent="0.2">
      <c r="B20" s="15"/>
      <c r="C20" s="16"/>
      <c r="D20" s="16"/>
      <c r="E20" s="13">
        <v>1</v>
      </c>
      <c r="F20" s="13">
        <v>2</v>
      </c>
      <c r="G20" s="13">
        <v>3</v>
      </c>
      <c r="H20" s="13">
        <v>4</v>
      </c>
      <c r="I20" s="13">
        <v>5</v>
      </c>
      <c r="J20" s="13">
        <v>6</v>
      </c>
      <c r="K20" s="13">
        <v>7</v>
      </c>
      <c r="L20" s="13">
        <v>8</v>
      </c>
      <c r="M20" s="13">
        <v>9</v>
      </c>
      <c r="N20" s="13">
        <v>10</v>
      </c>
      <c r="O20" s="13">
        <v>11</v>
      </c>
      <c r="P20" s="13">
        <v>12</v>
      </c>
      <c r="Q20" s="13">
        <v>13</v>
      </c>
      <c r="R20" s="13">
        <v>14</v>
      </c>
    </row>
    <row r="21" spans="2:18" x14ac:dyDescent="0.2">
      <c r="B21" s="7">
        <v>1</v>
      </c>
      <c r="C21" s="20" t="s">
        <v>20</v>
      </c>
      <c r="D21" s="24"/>
      <c r="E21" s="7"/>
      <c r="F21" s="7"/>
      <c r="G21" s="7"/>
      <c r="H21" s="7"/>
      <c r="I21" s="7"/>
      <c r="J21" s="31"/>
      <c r="K21" s="8"/>
      <c r="L21" s="7"/>
      <c r="M21" s="7"/>
      <c r="N21" s="7"/>
      <c r="O21" s="7"/>
      <c r="P21" s="7"/>
      <c r="Q21" s="39"/>
      <c r="R21" s="34"/>
    </row>
    <row r="22" spans="2:18" x14ac:dyDescent="0.2">
      <c r="B22" s="18">
        <v>1.1000000000000001</v>
      </c>
      <c r="C22" s="25" t="s">
        <v>23</v>
      </c>
      <c r="D22" s="29" t="s">
        <v>21</v>
      </c>
      <c r="E22" s="8"/>
      <c r="F22" s="86">
        <f>E12</f>
        <v>1000</v>
      </c>
      <c r="G22" s="86">
        <f>E24+F24</f>
        <v>4000</v>
      </c>
      <c r="H22" s="8">
        <f>G22-G28</f>
        <v>3350</v>
      </c>
      <c r="I22" s="8">
        <f>H22-H28</f>
        <v>2300</v>
      </c>
      <c r="J22" s="86">
        <f>I22-I28</f>
        <v>1200</v>
      </c>
      <c r="K22" s="8"/>
      <c r="L22" s="8"/>
      <c r="M22" s="8"/>
      <c r="N22" s="8"/>
      <c r="O22" s="8"/>
      <c r="P22" s="8"/>
      <c r="Q22" s="40"/>
      <c r="R22" s="36"/>
    </row>
    <row r="23" spans="2:18" x14ac:dyDescent="0.2">
      <c r="B23" s="18"/>
      <c r="C23" s="25"/>
      <c r="D23" s="29" t="s">
        <v>22</v>
      </c>
      <c r="E23" s="8"/>
      <c r="F23" s="8"/>
      <c r="G23" s="8"/>
      <c r="H23" s="8"/>
      <c r="I23" s="8"/>
      <c r="J23" s="32"/>
      <c r="K23" s="8"/>
      <c r="L23" s="8"/>
      <c r="M23" s="8"/>
      <c r="N23" s="8"/>
      <c r="O23" s="8"/>
      <c r="P23" s="8"/>
      <c r="Q23" s="40"/>
      <c r="R23" s="36"/>
    </row>
    <row r="24" spans="2:18" x14ac:dyDescent="0.2">
      <c r="B24" s="18">
        <v>1.2</v>
      </c>
      <c r="C24" s="25" t="s">
        <v>24</v>
      </c>
      <c r="D24" s="29" t="s">
        <v>21</v>
      </c>
      <c r="E24" s="86">
        <f>E12</f>
        <v>1000</v>
      </c>
      <c r="F24" s="86">
        <f>F12</f>
        <v>3000</v>
      </c>
      <c r="G24" s="8"/>
      <c r="H24" s="8"/>
      <c r="I24" s="8"/>
      <c r="J24" s="32"/>
      <c r="K24" s="8"/>
      <c r="L24" s="8"/>
      <c r="M24" s="8"/>
      <c r="N24" s="8"/>
      <c r="O24" s="8"/>
      <c r="P24" s="8"/>
      <c r="Q24" s="40"/>
      <c r="R24" s="36"/>
    </row>
    <row r="25" spans="2:18" x14ac:dyDescent="0.2">
      <c r="B25" s="18"/>
      <c r="C25" s="25"/>
      <c r="D25" s="29" t="s">
        <v>22</v>
      </c>
      <c r="E25" s="8"/>
      <c r="F25" s="8"/>
      <c r="G25" s="80">
        <f>G13</f>
        <v>303.125</v>
      </c>
      <c r="H25" s="80">
        <f>H13</f>
        <v>436.875</v>
      </c>
      <c r="I25" s="8"/>
      <c r="J25" s="32"/>
      <c r="K25" s="8"/>
      <c r="L25" s="8"/>
      <c r="M25" s="8"/>
      <c r="N25" s="8"/>
      <c r="O25" s="8"/>
      <c r="P25" s="8"/>
      <c r="Q25" s="40"/>
      <c r="R25" s="36"/>
    </row>
    <row r="26" spans="2:18" x14ac:dyDescent="0.2">
      <c r="B26" s="18">
        <v>1.3</v>
      </c>
      <c r="C26" s="25" t="s">
        <v>25</v>
      </c>
      <c r="D26" s="29" t="s">
        <v>21</v>
      </c>
      <c r="E26" s="80"/>
      <c r="F26" s="80"/>
      <c r="G26" s="8">
        <f>G22*0.06</f>
        <v>240</v>
      </c>
      <c r="H26" s="8">
        <f>H22*0.06</f>
        <v>201</v>
      </c>
      <c r="I26" s="8">
        <f>I22*0.06</f>
        <v>138</v>
      </c>
      <c r="J26" s="86">
        <f>J22*0.06</f>
        <v>72</v>
      </c>
      <c r="K26" s="8"/>
      <c r="L26" s="8"/>
      <c r="M26" s="8"/>
      <c r="N26" s="8"/>
      <c r="O26" s="8"/>
      <c r="P26" s="8"/>
      <c r="Q26" s="40"/>
      <c r="R26" s="36"/>
    </row>
    <row r="27" spans="2:18" x14ac:dyDescent="0.2">
      <c r="B27" s="18"/>
      <c r="C27" s="25"/>
      <c r="D27" s="29" t="s">
        <v>22</v>
      </c>
      <c r="E27" s="8"/>
      <c r="F27" s="8"/>
      <c r="G27" s="92">
        <f>G25*0.04</f>
        <v>12.125</v>
      </c>
      <c r="H27" s="92">
        <f>H25*0.04</f>
        <v>17.475000000000001</v>
      </c>
      <c r="I27" s="8">
        <f>I13*0.04</f>
        <v>29.6</v>
      </c>
      <c r="J27" s="8">
        <f>0.04*I13</f>
        <v>29.6</v>
      </c>
      <c r="K27" s="8">
        <f>I13*0.04</f>
        <v>29.6</v>
      </c>
      <c r="L27" s="8">
        <f>I13*0.04</f>
        <v>29.6</v>
      </c>
      <c r="M27" s="8">
        <f>I13*0.04</f>
        <v>29.6</v>
      </c>
      <c r="N27" s="8">
        <f>I13*0.04</f>
        <v>29.6</v>
      </c>
      <c r="O27" s="8">
        <f>I13*0.04</f>
        <v>29.6</v>
      </c>
      <c r="P27" s="8">
        <f>I13*0.04</f>
        <v>29.6</v>
      </c>
      <c r="Q27" s="8">
        <f>I13*0.04</f>
        <v>29.6</v>
      </c>
      <c r="R27" s="8">
        <f>I13*0.04</f>
        <v>29.6</v>
      </c>
    </row>
    <row r="28" spans="2:18" x14ac:dyDescent="0.2">
      <c r="B28" s="18">
        <v>1.4</v>
      </c>
      <c r="C28" s="25" t="s">
        <v>26</v>
      </c>
      <c r="D28" s="29" t="s">
        <v>21</v>
      </c>
      <c r="E28" s="8"/>
      <c r="F28" s="8"/>
      <c r="G28" s="8">
        <v>650</v>
      </c>
      <c r="H28" s="8">
        <v>1050</v>
      </c>
      <c r="I28" s="8">
        <v>1100</v>
      </c>
      <c r="J28" s="86">
        <v>1200</v>
      </c>
      <c r="K28" s="8"/>
      <c r="L28" s="8"/>
      <c r="M28" s="8"/>
      <c r="N28" s="8"/>
      <c r="O28" s="8"/>
      <c r="P28" s="8"/>
      <c r="Q28" s="40"/>
      <c r="R28" s="36"/>
    </row>
    <row r="29" spans="2:18" x14ac:dyDescent="0.2">
      <c r="B29" s="19"/>
      <c r="C29" s="27"/>
      <c r="D29" s="30" t="s">
        <v>22</v>
      </c>
      <c r="E29" s="11"/>
      <c r="F29" s="11"/>
      <c r="G29" s="11"/>
      <c r="H29" s="11"/>
      <c r="I29" s="11"/>
      <c r="J29" s="33"/>
      <c r="K29" s="11"/>
      <c r="L29" s="11"/>
      <c r="M29" s="11"/>
      <c r="N29" s="11"/>
      <c r="O29" s="11"/>
      <c r="P29" s="11"/>
      <c r="Q29" s="11"/>
      <c r="R29" s="10">
        <f>I13</f>
        <v>740</v>
      </c>
    </row>
    <row r="30" spans="2:18" ht="28.5" customHeight="1" x14ac:dyDescent="0.2">
      <c r="B30" s="7">
        <v>2</v>
      </c>
      <c r="C30" s="42" t="s">
        <v>28</v>
      </c>
      <c r="D30" s="43"/>
      <c r="E30" s="7"/>
      <c r="F30" s="7"/>
      <c r="G30" s="7"/>
      <c r="H30" s="7"/>
      <c r="I30" s="7"/>
      <c r="J30" s="7"/>
      <c r="K30" s="7"/>
      <c r="L30" s="7"/>
      <c r="M30" s="2"/>
      <c r="N30" s="7"/>
      <c r="O30" s="2"/>
      <c r="P30" s="7"/>
      <c r="Q30" s="2"/>
      <c r="R30" s="7"/>
    </row>
    <row r="31" spans="2:18" x14ac:dyDescent="0.2">
      <c r="B31" s="8">
        <v>2.1</v>
      </c>
      <c r="C31" s="25" t="s">
        <v>29</v>
      </c>
      <c r="D31" s="26"/>
      <c r="E31" s="8"/>
      <c r="F31" s="6"/>
      <c r="G31" s="8">
        <v>250</v>
      </c>
      <c r="H31" s="8">
        <v>700</v>
      </c>
      <c r="I31" s="8">
        <v>900</v>
      </c>
      <c r="J31" s="8">
        <v>950</v>
      </c>
      <c r="K31" s="8"/>
      <c r="L31" s="8"/>
      <c r="M31" s="2"/>
      <c r="N31" s="8"/>
      <c r="O31" s="2"/>
      <c r="P31" s="8"/>
      <c r="Q31" s="2"/>
      <c r="R31" s="8"/>
    </row>
    <row r="32" spans="2:18" x14ac:dyDescent="0.2">
      <c r="B32" s="8">
        <v>2.2000000000000002</v>
      </c>
      <c r="C32" s="25" t="s">
        <v>30</v>
      </c>
      <c r="D32" s="26"/>
      <c r="E32" s="8"/>
      <c r="F32" s="8"/>
      <c r="G32" s="8">
        <v>400</v>
      </c>
      <c r="H32" s="8">
        <v>350</v>
      </c>
      <c r="I32" s="8">
        <v>300</v>
      </c>
      <c r="J32" s="8">
        <v>300</v>
      </c>
      <c r="K32" s="8"/>
      <c r="L32" s="8"/>
      <c r="M32" s="2"/>
      <c r="N32" s="8"/>
      <c r="O32" s="2"/>
      <c r="P32" s="8"/>
      <c r="Q32" s="2"/>
      <c r="R32" s="8"/>
    </row>
    <row r="33" spans="2:18" x14ac:dyDescent="0.2">
      <c r="B33" s="8">
        <v>2.2999999999999998</v>
      </c>
      <c r="C33" s="25" t="s">
        <v>31</v>
      </c>
      <c r="D33" s="26"/>
      <c r="E33" s="8"/>
      <c r="F33" s="8"/>
      <c r="G33" s="8"/>
      <c r="H33" s="8"/>
      <c r="I33" s="8"/>
      <c r="J33" s="8"/>
      <c r="K33" s="8"/>
      <c r="L33" s="8"/>
      <c r="M33" s="2"/>
      <c r="N33" s="8"/>
      <c r="O33" s="2"/>
      <c r="P33" s="8"/>
      <c r="Q33" s="2"/>
      <c r="R33" s="8"/>
    </row>
    <row r="34" spans="2:18" x14ac:dyDescent="0.2">
      <c r="B34" s="8">
        <v>2.4</v>
      </c>
      <c r="C34" s="25" t="s">
        <v>32</v>
      </c>
      <c r="D34" s="26"/>
      <c r="E34" s="8"/>
      <c r="F34" s="8"/>
      <c r="G34" s="8"/>
      <c r="H34" s="8"/>
      <c r="I34" s="8"/>
      <c r="J34" s="8"/>
      <c r="K34" s="8"/>
      <c r="L34" s="8"/>
      <c r="M34" s="2"/>
      <c r="N34" s="8"/>
      <c r="O34" s="2"/>
      <c r="P34" s="8"/>
      <c r="Q34" s="2"/>
      <c r="R34" s="8">
        <f>R29</f>
        <v>740</v>
      </c>
    </row>
    <row r="35" spans="2:18" x14ac:dyDescent="0.2">
      <c r="B35" s="8" t="s">
        <v>27</v>
      </c>
      <c r="C35" s="25" t="s">
        <v>33</v>
      </c>
      <c r="D35" s="26"/>
      <c r="E35" s="8"/>
      <c r="F35" s="8"/>
      <c r="G35" s="8"/>
      <c r="H35" s="8"/>
      <c r="I35" s="8"/>
      <c r="J35" s="8"/>
      <c r="K35" s="8"/>
      <c r="L35" s="8"/>
      <c r="M35" s="2"/>
      <c r="N35" s="8"/>
      <c r="O35" s="2"/>
      <c r="P35" s="8"/>
      <c r="Q35" s="2"/>
      <c r="R35" s="8"/>
    </row>
    <row r="36" spans="2:18" x14ac:dyDescent="0.2">
      <c r="B36" s="11"/>
      <c r="C36" s="27" t="s">
        <v>34</v>
      </c>
      <c r="D36" s="28"/>
      <c r="E36" s="11"/>
      <c r="F36" s="11"/>
      <c r="G36" s="11"/>
      <c r="H36" s="11"/>
      <c r="I36" s="11"/>
      <c r="J36" s="11"/>
      <c r="K36" s="11"/>
      <c r="L36" s="11"/>
      <c r="M36" s="12"/>
      <c r="N36" s="11"/>
      <c r="O36" s="12"/>
      <c r="P36" s="11"/>
      <c r="Q36" s="12"/>
      <c r="R36" s="11"/>
    </row>
    <row r="37" spans="2:18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8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8" ht="23.25" x14ac:dyDescent="0.2">
      <c r="B39" s="65" t="s">
        <v>70</v>
      </c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</row>
    <row r="40" spans="2:18" x14ac:dyDescent="0.2">
      <c r="B40" s="46" t="s">
        <v>16</v>
      </c>
      <c r="C40" s="16" t="s">
        <v>3</v>
      </c>
      <c r="D40" s="16"/>
      <c r="E40" s="48" t="s">
        <v>18</v>
      </c>
      <c r="F40" s="49"/>
      <c r="G40" s="15" t="s">
        <v>19</v>
      </c>
      <c r="H40" s="15"/>
      <c r="I40" s="15"/>
      <c r="J40" s="15"/>
      <c r="K40" s="15"/>
      <c r="L40" s="15"/>
      <c r="M40" s="15"/>
      <c r="N40" s="15"/>
      <c r="O40" s="15"/>
      <c r="P40" s="15"/>
    </row>
    <row r="41" spans="2:18" x14ac:dyDescent="0.2">
      <c r="B41" s="47"/>
      <c r="C41" s="16"/>
      <c r="D41" s="16"/>
      <c r="E41" s="13">
        <v>3</v>
      </c>
      <c r="F41" s="13">
        <v>4</v>
      </c>
      <c r="G41" s="13">
        <v>5</v>
      </c>
      <c r="H41" s="13">
        <v>6</v>
      </c>
      <c r="I41" s="13">
        <v>7</v>
      </c>
      <c r="J41" s="13">
        <v>8</v>
      </c>
      <c r="K41" s="13">
        <v>9</v>
      </c>
      <c r="L41" s="13">
        <v>10</v>
      </c>
      <c r="M41" s="13">
        <v>11</v>
      </c>
      <c r="N41" s="13">
        <v>12</v>
      </c>
      <c r="O41" s="13">
        <v>13</v>
      </c>
      <c r="P41" s="13">
        <v>14</v>
      </c>
    </row>
    <row r="42" spans="2:18" x14ac:dyDescent="0.2">
      <c r="B42" s="7">
        <v>1</v>
      </c>
      <c r="C42" s="20" t="s">
        <v>35</v>
      </c>
      <c r="D42" s="24"/>
      <c r="E42" s="7">
        <f>5000*0.7</f>
        <v>3500</v>
      </c>
      <c r="F42" s="2">
        <f>5000*0.9</f>
        <v>4500</v>
      </c>
      <c r="G42" s="7">
        <v>5000</v>
      </c>
      <c r="H42" s="7">
        <v>5000</v>
      </c>
      <c r="I42" s="7">
        <v>5000</v>
      </c>
      <c r="J42" s="7">
        <v>5000</v>
      </c>
      <c r="K42" s="7">
        <v>5000</v>
      </c>
      <c r="L42" s="7">
        <v>5000</v>
      </c>
      <c r="M42" s="7">
        <v>5000</v>
      </c>
      <c r="N42" s="7">
        <v>5000</v>
      </c>
      <c r="O42" s="7">
        <v>5000</v>
      </c>
      <c r="P42" s="7">
        <v>5000</v>
      </c>
    </row>
    <row r="43" spans="2:18" x14ac:dyDescent="0.2">
      <c r="B43" s="8">
        <v>2</v>
      </c>
      <c r="C43" s="25" t="s">
        <v>122</v>
      </c>
      <c r="D43" s="26"/>
      <c r="E43" s="8">
        <f>150*0.7</f>
        <v>105</v>
      </c>
      <c r="F43" s="2">
        <f>150*0.9</f>
        <v>135</v>
      </c>
      <c r="G43" s="8">
        <v>150</v>
      </c>
      <c r="H43" s="8">
        <v>150</v>
      </c>
      <c r="I43" s="8">
        <v>150</v>
      </c>
      <c r="J43" s="8">
        <v>150</v>
      </c>
      <c r="K43" s="8">
        <v>150</v>
      </c>
      <c r="L43" s="8">
        <v>150</v>
      </c>
      <c r="M43" s="8">
        <v>150</v>
      </c>
      <c r="N43" s="8">
        <v>150</v>
      </c>
      <c r="O43" s="8">
        <v>150</v>
      </c>
      <c r="P43" s="8">
        <v>150</v>
      </c>
    </row>
    <row r="44" spans="2:18" x14ac:dyDescent="0.2">
      <c r="B44" s="8">
        <v>3</v>
      </c>
      <c r="C44" s="25" t="s">
        <v>36</v>
      </c>
      <c r="D44" s="26"/>
      <c r="E44" s="8">
        <v>390</v>
      </c>
      <c r="F44" s="2">
        <v>400</v>
      </c>
      <c r="G44" s="8">
        <v>410</v>
      </c>
      <c r="H44" s="8">
        <v>410</v>
      </c>
      <c r="I44" s="8">
        <v>410</v>
      </c>
      <c r="J44" s="8">
        <v>410</v>
      </c>
      <c r="K44" s="8">
        <v>410</v>
      </c>
      <c r="L44" s="8">
        <v>410</v>
      </c>
      <c r="M44" s="8">
        <v>410</v>
      </c>
      <c r="N44" s="8">
        <v>410</v>
      </c>
      <c r="O44" s="8">
        <v>410</v>
      </c>
      <c r="P44" s="8">
        <v>410</v>
      </c>
    </row>
    <row r="45" spans="2:18" x14ac:dyDescent="0.2">
      <c r="B45" s="8">
        <v>4</v>
      </c>
      <c r="C45" s="25" t="s">
        <v>123</v>
      </c>
      <c r="D45" s="26"/>
      <c r="E45" s="76">
        <f>E49*0.4</f>
        <v>199.08333333333334</v>
      </c>
      <c r="F45" s="76">
        <f t="shared" ref="F45:P45" si="2">F49*0.4</f>
        <v>199.08333333333334</v>
      </c>
      <c r="G45" s="76">
        <f t="shared" si="2"/>
        <v>199.08333333333334</v>
      </c>
      <c r="H45" s="76">
        <f t="shared" si="2"/>
        <v>199.08333333333334</v>
      </c>
      <c r="I45" s="76">
        <f t="shared" si="2"/>
        <v>199.08333333333334</v>
      </c>
      <c r="J45" s="76">
        <f t="shared" si="2"/>
        <v>175.08333333333334</v>
      </c>
      <c r="K45" s="76">
        <f t="shared" si="2"/>
        <v>175.08333333333334</v>
      </c>
      <c r="L45" s="76">
        <f t="shared" si="2"/>
        <v>175.08333333333334</v>
      </c>
      <c r="M45" s="76">
        <f t="shared" si="2"/>
        <v>175.08333333333334</v>
      </c>
      <c r="N45" s="76">
        <f t="shared" si="2"/>
        <v>175.08333333333334</v>
      </c>
      <c r="O45" s="76">
        <f t="shared" si="2"/>
        <v>155.48333333333335</v>
      </c>
      <c r="P45" s="76">
        <f t="shared" si="2"/>
        <v>155.48333333333335</v>
      </c>
    </row>
    <row r="46" spans="2:18" x14ac:dyDescent="0.2">
      <c r="B46" s="8">
        <v>5</v>
      </c>
      <c r="C46" s="25" t="s">
        <v>125</v>
      </c>
      <c r="D46" s="26"/>
      <c r="E46" s="8">
        <f>320*0.7</f>
        <v>224</v>
      </c>
      <c r="F46" s="2">
        <f>320*0.9</f>
        <v>288</v>
      </c>
      <c r="G46" s="8">
        <v>320</v>
      </c>
      <c r="H46" s="8">
        <v>320</v>
      </c>
      <c r="I46" s="8">
        <v>320</v>
      </c>
      <c r="J46" s="8">
        <v>320</v>
      </c>
      <c r="K46" s="8">
        <v>320</v>
      </c>
      <c r="L46" s="8">
        <v>320</v>
      </c>
      <c r="M46" s="8">
        <v>320</v>
      </c>
      <c r="N46" s="8">
        <v>320</v>
      </c>
      <c r="O46" s="8">
        <v>320</v>
      </c>
      <c r="P46" s="8">
        <v>320</v>
      </c>
    </row>
    <row r="47" spans="2:18" x14ac:dyDescent="0.2">
      <c r="B47" s="8">
        <v>6</v>
      </c>
      <c r="C47" s="25" t="s">
        <v>37</v>
      </c>
      <c r="D47" s="26"/>
      <c r="E47" s="80">
        <f>G26+G27</f>
        <v>252.125</v>
      </c>
      <c r="F47" s="84">
        <f>H27+H26</f>
        <v>218.47499999999999</v>
      </c>
      <c r="G47" s="93">
        <f>I27+I26</f>
        <v>167.6</v>
      </c>
      <c r="H47" s="93">
        <f t="shared" ref="H47" si="3">J27+J26</f>
        <v>101.6</v>
      </c>
      <c r="I47" s="93">
        <f t="shared" ref="I47" si="4">K27+K26</f>
        <v>29.6</v>
      </c>
      <c r="J47" s="93">
        <f t="shared" ref="J47" si="5">L27+L26</f>
        <v>29.6</v>
      </c>
      <c r="K47" s="93">
        <f t="shared" ref="K47" si="6">M27+M26</f>
        <v>29.6</v>
      </c>
      <c r="L47" s="93">
        <f t="shared" ref="L47" si="7">N27+N26</f>
        <v>29.6</v>
      </c>
      <c r="M47" s="93">
        <f t="shared" ref="M47" si="8">O27+O26</f>
        <v>29.6</v>
      </c>
      <c r="N47" s="93">
        <f t="shared" ref="N47" si="9">P27+P26</f>
        <v>29.6</v>
      </c>
      <c r="O47" s="93">
        <f t="shared" ref="O47" si="10">Q27+Q26</f>
        <v>29.6</v>
      </c>
      <c r="P47" s="93">
        <f t="shared" ref="P47" si="11">R27+R26</f>
        <v>29.6</v>
      </c>
      <c r="Q47" s="94"/>
    </row>
    <row r="48" spans="2:18" x14ac:dyDescent="0.2">
      <c r="B48" s="18">
        <v>7</v>
      </c>
      <c r="C48" s="25" t="s">
        <v>38</v>
      </c>
      <c r="D48" s="26"/>
      <c r="E48" s="80">
        <f>SUM(E42:E47)</f>
        <v>4670.208333333333</v>
      </c>
      <c r="F48" s="80">
        <f t="shared" ref="F48:P48" si="12">SUM(F42:F47)</f>
        <v>5740.5583333333334</v>
      </c>
      <c r="G48" s="80">
        <f>SUM(G42:G47)</f>
        <v>6246.6833333333334</v>
      </c>
      <c r="H48" s="80">
        <f t="shared" si="12"/>
        <v>6180.6833333333334</v>
      </c>
      <c r="I48" s="80">
        <f t="shared" si="12"/>
        <v>6108.6833333333334</v>
      </c>
      <c r="J48" s="80">
        <f t="shared" si="12"/>
        <v>6084.6833333333334</v>
      </c>
      <c r="K48" s="80">
        <f t="shared" si="12"/>
        <v>6084.6833333333334</v>
      </c>
      <c r="L48" s="80">
        <f t="shared" si="12"/>
        <v>6084.6833333333334</v>
      </c>
      <c r="M48" s="80">
        <f t="shared" si="12"/>
        <v>6084.6833333333334</v>
      </c>
      <c r="N48" s="80">
        <f t="shared" si="12"/>
        <v>6084.6833333333334</v>
      </c>
      <c r="O48" s="80">
        <f t="shared" si="12"/>
        <v>6065.0833333333339</v>
      </c>
      <c r="P48" s="80">
        <f t="shared" si="12"/>
        <v>6065.0833333333339</v>
      </c>
    </row>
    <row r="49" spans="2:17" x14ac:dyDescent="0.2">
      <c r="B49" s="18"/>
      <c r="C49" s="25" t="s">
        <v>39</v>
      </c>
      <c r="D49" s="26"/>
      <c r="E49" s="80">
        <f>4910*0.95/12+F105/10+F106/5</f>
        <v>497.70833333333331</v>
      </c>
      <c r="F49" s="80">
        <f>4910*0.95/12+F105/10+F106/5</f>
        <v>497.70833333333331</v>
      </c>
      <c r="G49" s="80">
        <f>4910*0.95/12+F105/10+F106/5</f>
        <v>497.70833333333331</v>
      </c>
      <c r="H49" s="80">
        <f>4910*0.95/12+F105/10+F106/5</f>
        <v>497.70833333333331</v>
      </c>
      <c r="I49" s="80">
        <f>4910*0.95/12+F105/10+F106/5</f>
        <v>497.70833333333331</v>
      </c>
      <c r="J49" s="80">
        <f>4910*0.95/12+F105/10</f>
        <v>437.70833333333331</v>
      </c>
      <c r="K49" s="80">
        <f>4910*0.95/12+F105/10</f>
        <v>437.70833333333331</v>
      </c>
      <c r="L49" s="80">
        <f>4910*0.95/12+F105/10</f>
        <v>437.70833333333331</v>
      </c>
      <c r="M49" s="80">
        <f>4910*0.95/12+F105/10</f>
        <v>437.70833333333331</v>
      </c>
      <c r="N49" s="80">
        <f>4910*0.95/12+F105/10</f>
        <v>437.70833333333331</v>
      </c>
      <c r="O49" s="80">
        <f t="shared" ref="F49:P49" si="13">4910*0.95/12</f>
        <v>388.70833333333331</v>
      </c>
      <c r="P49" s="80">
        <f t="shared" si="13"/>
        <v>388.70833333333331</v>
      </c>
      <c r="Q49" s="89"/>
    </row>
    <row r="50" spans="2:17" x14ac:dyDescent="0.2">
      <c r="B50" s="11">
        <v>8</v>
      </c>
      <c r="C50" s="27" t="s">
        <v>40</v>
      </c>
      <c r="D50" s="28"/>
      <c r="E50" s="81">
        <f>E48-E49-E47</f>
        <v>3920.375</v>
      </c>
      <c r="F50" s="81">
        <f t="shared" ref="F50:P50" si="14">F48-F49-F47</f>
        <v>5024.375</v>
      </c>
      <c r="G50" s="81">
        <f t="shared" si="14"/>
        <v>5581.375</v>
      </c>
      <c r="H50" s="81">
        <f t="shared" si="14"/>
        <v>5581.375</v>
      </c>
      <c r="I50" s="81">
        <f t="shared" si="14"/>
        <v>5581.375</v>
      </c>
      <c r="J50" s="81">
        <f t="shared" si="14"/>
        <v>5617.375</v>
      </c>
      <c r="K50" s="81">
        <f t="shared" si="14"/>
        <v>5617.375</v>
      </c>
      <c r="L50" s="81">
        <f t="shared" si="14"/>
        <v>5617.375</v>
      </c>
      <c r="M50" s="81">
        <f t="shared" si="14"/>
        <v>5617.375</v>
      </c>
      <c r="N50" s="81">
        <f t="shared" si="14"/>
        <v>5617.375</v>
      </c>
      <c r="O50" s="81">
        <f t="shared" si="14"/>
        <v>5646.7750000000005</v>
      </c>
      <c r="P50" s="81">
        <f t="shared" si="14"/>
        <v>5646.7750000000005</v>
      </c>
    </row>
    <row r="51" spans="2:17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7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7" ht="23.25" x14ac:dyDescent="0.2">
      <c r="B53" s="65" t="s">
        <v>69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</row>
    <row r="54" spans="2:17" x14ac:dyDescent="0.2">
      <c r="B54" s="46" t="s">
        <v>16</v>
      </c>
      <c r="C54" s="16" t="s">
        <v>3</v>
      </c>
      <c r="D54" s="16"/>
      <c r="E54" s="48" t="s">
        <v>18</v>
      </c>
      <c r="F54" s="49"/>
      <c r="G54" s="15" t="s">
        <v>19</v>
      </c>
      <c r="H54" s="15"/>
      <c r="I54" s="15"/>
      <c r="J54" s="15"/>
      <c r="K54" s="15"/>
      <c r="L54" s="15"/>
      <c r="M54" s="15"/>
      <c r="N54" s="15"/>
      <c r="O54" s="15"/>
      <c r="P54" s="15"/>
    </row>
    <row r="55" spans="2:17" x14ac:dyDescent="0.2">
      <c r="B55" s="47"/>
      <c r="C55" s="16"/>
      <c r="D55" s="16"/>
      <c r="E55" s="13">
        <v>3</v>
      </c>
      <c r="F55" s="13">
        <v>4</v>
      </c>
      <c r="G55" s="13">
        <v>5</v>
      </c>
      <c r="H55" s="13">
        <v>6</v>
      </c>
      <c r="I55" s="13">
        <v>7</v>
      </c>
      <c r="J55" s="13">
        <v>8</v>
      </c>
      <c r="K55" s="13">
        <v>9</v>
      </c>
      <c r="L55" s="13">
        <v>10</v>
      </c>
      <c r="M55" s="13">
        <v>11</v>
      </c>
      <c r="N55" s="13">
        <v>12</v>
      </c>
      <c r="O55" s="13">
        <v>13</v>
      </c>
      <c r="P55" s="13">
        <v>14</v>
      </c>
    </row>
    <row r="56" spans="2:17" x14ac:dyDescent="0.2">
      <c r="B56" s="7">
        <v>1</v>
      </c>
      <c r="C56" s="20" t="s">
        <v>41</v>
      </c>
      <c r="D56" s="24"/>
      <c r="E56" s="7">
        <f>100*80*0.7</f>
        <v>5600</v>
      </c>
      <c r="F56" s="2">
        <f>100*80*0.9</f>
        <v>7200</v>
      </c>
      <c r="G56" s="7">
        <f>80*100</f>
        <v>8000</v>
      </c>
      <c r="H56" s="7">
        <f t="shared" ref="H56:P56" si="15">80*100</f>
        <v>8000</v>
      </c>
      <c r="I56" s="7">
        <f t="shared" si="15"/>
        <v>8000</v>
      </c>
      <c r="J56" s="7">
        <f t="shared" si="15"/>
        <v>8000</v>
      </c>
      <c r="K56" s="7">
        <f t="shared" si="15"/>
        <v>8000</v>
      </c>
      <c r="L56" s="7">
        <f t="shared" si="15"/>
        <v>8000</v>
      </c>
      <c r="M56" s="7">
        <f t="shared" si="15"/>
        <v>8000</v>
      </c>
      <c r="N56" s="7">
        <f t="shared" si="15"/>
        <v>8000</v>
      </c>
      <c r="O56" s="7">
        <f t="shared" si="15"/>
        <v>8000</v>
      </c>
      <c r="P56" s="7">
        <f t="shared" si="15"/>
        <v>8000</v>
      </c>
    </row>
    <row r="57" spans="2:17" x14ac:dyDescent="0.2">
      <c r="B57" s="8">
        <v>2</v>
      </c>
      <c r="C57" s="25" t="s">
        <v>42</v>
      </c>
      <c r="D57" s="26"/>
      <c r="E57" s="76">
        <f>E56/1.17*0.17*0.1</f>
        <v>81.367521367521391</v>
      </c>
      <c r="F57" s="76">
        <f t="shared" ref="F57:P57" si="16">F56/1.17*0.17*0.1</f>
        <v>104.61538461538463</v>
      </c>
      <c r="G57" s="76">
        <f t="shared" si="16"/>
        <v>116.23931623931627</v>
      </c>
      <c r="H57" s="76">
        <f t="shared" si="16"/>
        <v>116.23931623931627</v>
      </c>
      <c r="I57" s="76">
        <f t="shared" si="16"/>
        <v>116.23931623931627</v>
      </c>
      <c r="J57" s="76">
        <f t="shared" si="16"/>
        <v>116.23931623931627</v>
      </c>
      <c r="K57" s="76">
        <f t="shared" si="16"/>
        <v>116.23931623931627</v>
      </c>
      <c r="L57" s="76">
        <f t="shared" si="16"/>
        <v>116.23931623931627</v>
      </c>
      <c r="M57" s="76">
        <f t="shared" si="16"/>
        <v>116.23931623931627</v>
      </c>
      <c r="N57" s="76">
        <f t="shared" si="16"/>
        <v>116.23931623931627</v>
      </c>
      <c r="O57" s="76">
        <f t="shared" si="16"/>
        <v>116.23931623931627</v>
      </c>
      <c r="P57" s="76">
        <f t="shared" si="16"/>
        <v>116.23931623931627</v>
      </c>
    </row>
    <row r="58" spans="2:17" x14ac:dyDescent="0.2">
      <c r="B58" s="8">
        <v>3</v>
      </c>
      <c r="C58" s="25" t="s">
        <v>38</v>
      </c>
      <c r="D58" s="26"/>
      <c r="E58" s="80">
        <f>E48</f>
        <v>4670.208333333333</v>
      </c>
      <c r="F58" s="80">
        <f t="shared" ref="F58:P58" si="17">F48</f>
        <v>5740.5583333333334</v>
      </c>
      <c r="G58" s="80">
        <f t="shared" si="17"/>
        <v>6246.6833333333334</v>
      </c>
      <c r="H58" s="80">
        <f t="shared" si="17"/>
        <v>6180.6833333333334</v>
      </c>
      <c r="I58" s="80">
        <f t="shared" si="17"/>
        <v>6108.6833333333334</v>
      </c>
      <c r="J58" s="80">
        <f t="shared" si="17"/>
        <v>6084.6833333333334</v>
      </c>
      <c r="K58" s="80">
        <f t="shared" si="17"/>
        <v>6084.6833333333334</v>
      </c>
      <c r="L58" s="80">
        <f t="shared" si="17"/>
        <v>6084.6833333333334</v>
      </c>
      <c r="M58" s="80">
        <f t="shared" si="17"/>
        <v>6084.6833333333334</v>
      </c>
      <c r="N58" s="80">
        <f t="shared" si="17"/>
        <v>6084.6833333333334</v>
      </c>
      <c r="O58" s="80">
        <f t="shared" si="17"/>
        <v>6065.0833333333339</v>
      </c>
      <c r="P58" s="80">
        <f t="shared" si="17"/>
        <v>6065.0833333333339</v>
      </c>
    </row>
    <row r="59" spans="2:17" x14ac:dyDescent="0.2">
      <c r="B59" s="8">
        <v>4</v>
      </c>
      <c r="C59" s="25" t="s">
        <v>43</v>
      </c>
      <c r="D59" s="26"/>
      <c r="E59" s="80">
        <f>E56-E57-E58</f>
        <v>848.42414529914549</v>
      </c>
      <c r="F59" s="80">
        <f t="shared" ref="F59:P59" si="18">F56-F57-F58</f>
        <v>1354.8262820512819</v>
      </c>
      <c r="G59" s="80">
        <f t="shared" si="18"/>
        <v>1637.0773504273502</v>
      </c>
      <c r="H59" s="80">
        <f t="shared" si="18"/>
        <v>1703.0773504273502</v>
      </c>
      <c r="I59" s="80">
        <f t="shared" si="18"/>
        <v>1775.0773504273502</v>
      </c>
      <c r="J59" s="80">
        <f t="shared" si="18"/>
        <v>1799.0773504273502</v>
      </c>
      <c r="K59" s="80">
        <f t="shared" si="18"/>
        <v>1799.0773504273502</v>
      </c>
      <c r="L59" s="80">
        <f t="shared" si="18"/>
        <v>1799.0773504273502</v>
      </c>
      <c r="M59" s="80">
        <f t="shared" si="18"/>
        <v>1799.0773504273502</v>
      </c>
      <c r="N59" s="80">
        <f t="shared" si="18"/>
        <v>1799.0773504273502</v>
      </c>
      <c r="O59" s="80">
        <f t="shared" si="18"/>
        <v>1818.6773504273497</v>
      </c>
      <c r="P59" s="80">
        <f t="shared" si="18"/>
        <v>1818.6773504273497</v>
      </c>
    </row>
    <row r="60" spans="2:17" x14ac:dyDescent="0.2">
      <c r="B60" s="8">
        <v>5</v>
      </c>
      <c r="C60" s="25" t="s">
        <v>44</v>
      </c>
      <c r="D60" s="26"/>
      <c r="E60" s="80">
        <f>E59*0.33</f>
        <v>279.97996794871801</v>
      </c>
      <c r="F60" s="80">
        <f t="shared" ref="F60:P60" si="19">F59*0.33</f>
        <v>447.09267307692301</v>
      </c>
      <c r="G60" s="80">
        <f t="shared" si="19"/>
        <v>540.23552564102556</v>
      </c>
      <c r="H60" s="80">
        <f t="shared" si="19"/>
        <v>562.01552564102565</v>
      </c>
      <c r="I60" s="80">
        <f t="shared" si="19"/>
        <v>585.77552564102564</v>
      </c>
      <c r="J60" s="80">
        <f t="shared" si="19"/>
        <v>593.6955256410256</v>
      </c>
      <c r="K60" s="80">
        <f t="shared" si="19"/>
        <v>593.6955256410256</v>
      </c>
      <c r="L60" s="80">
        <f t="shared" si="19"/>
        <v>593.6955256410256</v>
      </c>
      <c r="M60" s="80">
        <f t="shared" si="19"/>
        <v>593.6955256410256</v>
      </c>
      <c r="N60" s="80">
        <f t="shared" si="19"/>
        <v>593.6955256410256</v>
      </c>
      <c r="O60" s="80">
        <f t="shared" si="19"/>
        <v>600.16352564102544</v>
      </c>
      <c r="P60" s="80">
        <f t="shared" si="19"/>
        <v>600.16352564102544</v>
      </c>
    </row>
    <row r="61" spans="2:17" x14ac:dyDescent="0.2">
      <c r="B61" s="8">
        <v>6</v>
      </c>
      <c r="C61" s="25" t="s">
        <v>45</v>
      </c>
      <c r="D61" s="26"/>
      <c r="E61" s="80">
        <f>E59-E60</f>
        <v>568.44417735042748</v>
      </c>
      <c r="F61" s="80">
        <f t="shared" ref="F61:P61" si="20">F59-F60</f>
        <v>907.73360897435884</v>
      </c>
      <c r="G61" s="80">
        <f t="shared" si="20"/>
        <v>1096.8418247863247</v>
      </c>
      <c r="H61" s="80">
        <f t="shared" si="20"/>
        <v>1141.0618247863245</v>
      </c>
      <c r="I61" s="80">
        <f t="shared" si="20"/>
        <v>1189.3018247863247</v>
      </c>
      <c r="J61" s="80">
        <f t="shared" si="20"/>
        <v>1205.3818247863246</v>
      </c>
      <c r="K61" s="80">
        <f t="shared" si="20"/>
        <v>1205.3818247863246</v>
      </c>
      <c r="L61" s="80">
        <f t="shared" si="20"/>
        <v>1205.3818247863246</v>
      </c>
      <c r="M61" s="80">
        <f t="shared" si="20"/>
        <v>1205.3818247863246</v>
      </c>
      <c r="N61" s="80">
        <f t="shared" si="20"/>
        <v>1205.3818247863246</v>
      </c>
      <c r="O61" s="80">
        <f t="shared" si="20"/>
        <v>1218.5138247863242</v>
      </c>
      <c r="P61" s="80">
        <f t="shared" si="20"/>
        <v>1218.5138247863242</v>
      </c>
    </row>
    <row r="62" spans="2:17" x14ac:dyDescent="0.2">
      <c r="B62" s="8">
        <v>6.1</v>
      </c>
      <c r="C62" s="25" t="s">
        <v>46</v>
      </c>
      <c r="D62" s="26"/>
      <c r="E62" s="80">
        <f>E61*0.1</f>
        <v>56.844417735042754</v>
      </c>
      <c r="F62" s="80">
        <f t="shared" ref="F62:P62" si="21">F61*0.1</f>
        <v>90.773360897435893</v>
      </c>
      <c r="G62" s="80">
        <f t="shared" si="21"/>
        <v>109.68418247863247</v>
      </c>
      <c r="H62" s="80">
        <f t="shared" si="21"/>
        <v>114.10618247863245</v>
      </c>
      <c r="I62" s="80">
        <f t="shared" si="21"/>
        <v>118.93018247863247</v>
      </c>
      <c r="J62" s="80">
        <f t="shared" si="21"/>
        <v>120.53818247863246</v>
      </c>
      <c r="K62" s="80">
        <f t="shared" si="21"/>
        <v>120.53818247863246</v>
      </c>
      <c r="L62" s="80">
        <f t="shared" si="21"/>
        <v>120.53818247863246</v>
      </c>
      <c r="M62" s="80">
        <f t="shared" si="21"/>
        <v>120.53818247863246</v>
      </c>
      <c r="N62" s="80">
        <f t="shared" si="21"/>
        <v>120.53818247863246</v>
      </c>
      <c r="O62" s="80">
        <f t="shared" si="21"/>
        <v>121.85138247863243</v>
      </c>
      <c r="P62" s="80">
        <f t="shared" si="21"/>
        <v>121.85138247863243</v>
      </c>
    </row>
    <row r="63" spans="2:17" x14ac:dyDescent="0.2">
      <c r="B63" s="8">
        <v>6.2</v>
      </c>
      <c r="C63" s="25" t="s">
        <v>47</v>
      </c>
      <c r="D63" s="26"/>
      <c r="E63" s="8">
        <v>200</v>
      </c>
      <c r="F63" s="2">
        <v>250</v>
      </c>
      <c r="G63" s="8">
        <v>300</v>
      </c>
      <c r="H63" s="8">
        <v>400</v>
      </c>
      <c r="I63" s="8">
        <v>600</v>
      </c>
      <c r="J63" s="8">
        <v>600</v>
      </c>
      <c r="K63" s="8">
        <v>600</v>
      </c>
      <c r="L63" s="8">
        <v>600</v>
      </c>
      <c r="M63" s="8">
        <v>600</v>
      </c>
      <c r="N63" s="8">
        <v>600</v>
      </c>
      <c r="O63" s="8">
        <v>600</v>
      </c>
      <c r="P63" s="8">
        <v>600</v>
      </c>
    </row>
    <row r="64" spans="2:17" x14ac:dyDescent="0.2">
      <c r="B64" s="8">
        <v>6.3</v>
      </c>
      <c r="C64" s="25" t="s">
        <v>48</v>
      </c>
      <c r="D64" s="26"/>
      <c r="E64" s="80">
        <f>E61-E62-E63</f>
        <v>311.59975961538476</v>
      </c>
      <c r="F64" s="80">
        <f t="shared" ref="F64:P64" si="22">F61-F62-F63</f>
        <v>566.96024807692299</v>
      </c>
      <c r="G64" s="80">
        <f t="shared" si="22"/>
        <v>687.15764230769219</v>
      </c>
      <c r="H64" s="80">
        <f t="shared" si="22"/>
        <v>626.95564230769196</v>
      </c>
      <c r="I64" s="80">
        <f t="shared" si="22"/>
        <v>470.37164230769213</v>
      </c>
      <c r="J64" s="80">
        <f t="shared" si="22"/>
        <v>484.84364230769211</v>
      </c>
      <c r="K64" s="80">
        <f t="shared" si="22"/>
        <v>484.84364230769211</v>
      </c>
      <c r="L64" s="80">
        <f t="shared" si="22"/>
        <v>484.84364230769211</v>
      </c>
      <c r="M64" s="80">
        <f t="shared" si="22"/>
        <v>484.84364230769211</v>
      </c>
      <c r="N64" s="80">
        <f t="shared" si="22"/>
        <v>484.84364230769211</v>
      </c>
      <c r="O64" s="80">
        <f t="shared" si="22"/>
        <v>496.66244230769189</v>
      </c>
      <c r="P64" s="80">
        <f t="shared" si="22"/>
        <v>496.66244230769189</v>
      </c>
    </row>
    <row r="65" spans="2:18" x14ac:dyDescent="0.2">
      <c r="B65" s="11">
        <v>7</v>
      </c>
      <c r="C65" s="27" t="s">
        <v>49</v>
      </c>
      <c r="D65" s="28"/>
      <c r="E65" s="81">
        <f>E64</f>
        <v>311.59975961538476</v>
      </c>
      <c r="F65" s="95">
        <f>E65+F64</f>
        <v>878.56000769230775</v>
      </c>
      <c r="G65" s="81">
        <f>F65+G64</f>
        <v>1565.71765</v>
      </c>
      <c r="H65" s="81">
        <f t="shared" ref="H65:P65" si="23">G65+H64</f>
        <v>2192.673292307692</v>
      </c>
      <c r="I65" s="81">
        <f t="shared" si="23"/>
        <v>2663.0449346153841</v>
      </c>
      <c r="J65" s="81">
        <f t="shared" si="23"/>
        <v>3147.8885769230765</v>
      </c>
      <c r="K65" s="81">
        <f t="shared" si="23"/>
        <v>3632.7322192307684</v>
      </c>
      <c r="L65" s="81">
        <f t="shared" si="23"/>
        <v>4117.5758615384602</v>
      </c>
      <c r="M65" s="81">
        <f t="shared" si="23"/>
        <v>4602.4195038461521</v>
      </c>
      <c r="N65" s="81">
        <f t="shared" si="23"/>
        <v>5087.263146153844</v>
      </c>
      <c r="O65" s="81">
        <f t="shared" si="23"/>
        <v>5583.9255884615359</v>
      </c>
      <c r="P65" s="81">
        <f t="shared" si="23"/>
        <v>6080.5880307692278</v>
      </c>
    </row>
    <row r="66" spans="2:18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8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8" ht="23.25" x14ac:dyDescent="0.2">
      <c r="B68" s="65" t="s">
        <v>68</v>
      </c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</row>
    <row r="69" spans="2:18" x14ac:dyDescent="0.2">
      <c r="B69" s="15" t="s">
        <v>16</v>
      </c>
      <c r="C69" s="16" t="s">
        <v>3</v>
      </c>
      <c r="D69" s="16"/>
      <c r="E69" s="15" t="s">
        <v>17</v>
      </c>
      <c r="F69" s="15"/>
      <c r="G69" s="15" t="s">
        <v>18</v>
      </c>
      <c r="H69" s="15"/>
      <c r="I69" s="15" t="s">
        <v>19</v>
      </c>
      <c r="J69" s="15"/>
      <c r="K69" s="15"/>
      <c r="L69" s="15"/>
      <c r="M69" s="15"/>
      <c r="N69" s="15"/>
      <c r="O69" s="15"/>
      <c r="P69" s="15"/>
      <c r="Q69" s="15"/>
      <c r="R69" s="15"/>
    </row>
    <row r="70" spans="2:18" x14ac:dyDescent="0.2">
      <c r="B70" s="15"/>
      <c r="C70" s="16"/>
      <c r="D70" s="16"/>
      <c r="E70" s="13">
        <v>1</v>
      </c>
      <c r="F70" s="13">
        <v>2</v>
      </c>
      <c r="G70" s="13">
        <v>3</v>
      </c>
      <c r="H70" s="13">
        <v>4</v>
      </c>
      <c r="I70" s="13">
        <v>5</v>
      </c>
      <c r="J70" s="13">
        <v>6</v>
      </c>
      <c r="K70" s="13">
        <v>7</v>
      </c>
      <c r="L70" s="13">
        <v>8</v>
      </c>
      <c r="M70" s="13">
        <v>9</v>
      </c>
      <c r="N70" s="13">
        <v>10</v>
      </c>
      <c r="O70" s="13">
        <v>11</v>
      </c>
      <c r="P70" s="13">
        <v>12</v>
      </c>
      <c r="Q70" s="13">
        <v>13</v>
      </c>
      <c r="R70" s="13">
        <v>14</v>
      </c>
    </row>
    <row r="71" spans="2:18" x14ac:dyDescent="0.2">
      <c r="B71" s="13">
        <v>1</v>
      </c>
      <c r="C71" s="58" t="s">
        <v>50</v>
      </c>
      <c r="D71" s="59"/>
      <c r="E71" s="7">
        <f>SUM(E72:E80)</f>
        <v>2000</v>
      </c>
      <c r="F71" s="7">
        <f t="shared" ref="F71:R71" si="24">SUM(F72:F80)</f>
        <v>3700</v>
      </c>
      <c r="G71" s="7">
        <f t="shared" si="24"/>
        <v>1849.2574786324788</v>
      </c>
      <c r="H71" s="7">
        <f t="shared" si="24"/>
        <v>2499.4096153846149</v>
      </c>
      <c r="I71" s="7">
        <f t="shared" si="24"/>
        <v>2134.7856837606837</v>
      </c>
      <c r="J71" s="7">
        <f t="shared" si="24"/>
        <v>2200.7856837606837</v>
      </c>
      <c r="K71" s="7">
        <f t="shared" si="24"/>
        <v>2272.7856837606837</v>
      </c>
      <c r="L71" s="7">
        <f t="shared" si="24"/>
        <v>2236.7856837606837</v>
      </c>
      <c r="M71" s="7">
        <f t="shared" si="24"/>
        <v>2236.7856837606837</v>
      </c>
      <c r="N71" s="7">
        <f t="shared" si="24"/>
        <v>2236.7856837606837</v>
      </c>
      <c r="O71" s="7">
        <f t="shared" si="24"/>
        <v>2236.7856837606837</v>
      </c>
      <c r="P71" s="7">
        <f t="shared" si="24"/>
        <v>2236.7856837606837</v>
      </c>
      <c r="Q71" s="7">
        <f t="shared" si="24"/>
        <v>2207.3856837606832</v>
      </c>
      <c r="R71" s="7">
        <f t="shared" si="24"/>
        <v>3602.8856837606832</v>
      </c>
    </row>
    <row r="72" spans="2:18" x14ac:dyDescent="0.2">
      <c r="B72" s="8">
        <v>1.1000000000000001</v>
      </c>
      <c r="C72" s="21" t="s">
        <v>43</v>
      </c>
      <c r="D72" s="24"/>
      <c r="E72" s="7"/>
      <c r="F72" s="7"/>
      <c r="G72" s="79">
        <f>E59</f>
        <v>848.42414529914549</v>
      </c>
      <c r="H72" s="79">
        <f t="shared" ref="H72:R72" si="25">F59</f>
        <v>1354.8262820512819</v>
      </c>
      <c r="I72" s="79">
        <f t="shared" si="25"/>
        <v>1637.0773504273502</v>
      </c>
      <c r="J72" s="79">
        <f t="shared" si="25"/>
        <v>1703.0773504273502</v>
      </c>
      <c r="K72" s="79">
        <f t="shared" si="25"/>
        <v>1775.0773504273502</v>
      </c>
      <c r="L72" s="79">
        <f t="shared" si="25"/>
        <v>1799.0773504273502</v>
      </c>
      <c r="M72" s="79">
        <f t="shared" si="25"/>
        <v>1799.0773504273502</v>
      </c>
      <c r="N72" s="79">
        <f t="shared" si="25"/>
        <v>1799.0773504273502</v>
      </c>
      <c r="O72" s="79">
        <f t="shared" si="25"/>
        <v>1799.0773504273502</v>
      </c>
      <c r="P72" s="79">
        <f t="shared" si="25"/>
        <v>1799.0773504273502</v>
      </c>
      <c r="Q72" s="79">
        <f t="shared" si="25"/>
        <v>1818.6773504273497</v>
      </c>
      <c r="R72" s="79">
        <f t="shared" si="25"/>
        <v>1818.6773504273497</v>
      </c>
    </row>
    <row r="73" spans="2:18" ht="14.25" customHeight="1" x14ac:dyDescent="0.2">
      <c r="B73" s="8">
        <v>1.2</v>
      </c>
      <c r="C73" s="25" t="s">
        <v>51</v>
      </c>
      <c r="D73" s="26"/>
      <c r="E73" s="8"/>
      <c r="F73" s="8"/>
      <c r="G73" s="80">
        <f>E49</f>
        <v>497.70833333333331</v>
      </c>
      <c r="H73" s="80">
        <f t="shared" ref="H73:R73" si="26">F49</f>
        <v>497.70833333333331</v>
      </c>
      <c r="I73" s="80">
        <f t="shared" si="26"/>
        <v>497.70833333333331</v>
      </c>
      <c r="J73" s="80">
        <f t="shared" si="26"/>
        <v>497.70833333333331</v>
      </c>
      <c r="K73" s="80">
        <f t="shared" si="26"/>
        <v>497.70833333333331</v>
      </c>
      <c r="L73" s="80">
        <f t="shared" si="26"/>
        <v>437.70833333333331</v>
      </c>
      <c r="M73" s="80">
        <f t="shared" si="26"/>
        <v>437.70833333333331</v>
      </c>
      <c r="N73" s="80">
        <f t="shared" si="26"/>
        <v>437.70833333333331</v>
      </c>
      <c r="O73" s="80">
        <f t="shared" si="26"/>
        <v>437.70833333333331</v>
      </c>
      <c r="P73" s="80">
        <f t="shared" si="26"/>
        <v>437.70833333333331</v>
      </c>
      <c r="Q73" s="80">
        <f t="shared" si="26"/>
        <v>388.70833333333331</v>
      </c>
      <c r="R73" s="80">
        <f t="shared" si="26"/>
        <v>388.70833333333331</v>
      </c>
    </row>
    <row r="74" spans="2:18" ht="14.25" customHeight="1" x14ac:dyDescent="0.2">
      <c r="B74" s="8">
        <v>1.3</v>
      </c>
      <c r="C74" s="25" t="s">
        <v>52</v>
      </c>
      <c r="D74" s="26"/>
      <c r="E74" s="86">
        <f>E12</f>
        <v>1000</v>
      </c>
      <c r="F74" s="87">
        <f>F12</f>
        <v>3000</v>
      </c>
      <c r="G74" s="8"/>
      <c r="H74" s="8"/>
      <c r="I74" s="8"/>
      <c r="J74" s="32"/>
      <c r="K74" s="8"/>
      <c r="L74" s="8"/>
      <c r="M74" s="8"/>
      <c r="N74" s="8"/>
      <c r="O74" s="8"/>
      <c r="P74" s="8"/>
      <c r="Q74" s="8"/>
      <c r="R74" s="6"/>
    </row>
    <row r="75" spans="2:18" ht="14.25" customHeight="1" x14ac:dyDescent="0.2">
      <c r="B75" s="8">
        <v>1.4</v>
      </c>
      <c r="C75" s="25" t="s">
        <v>53</v>
      </c>
      <c r="D75" s="26"/>
      <c r="E75" s="8"/>
      <c r="F75" s="8"/>
      <c r="G75" s="80">
        <f>G13</f>
        <v>303.125</v>
      </c>
      <c r="H75" s="80">
        <f>H13</f>
        <v>436.875</v>
      </c>
      <c r="I75" s="8"/>
      <c r="J75" s="32"/>
      <c r="K75" s="8"/>
      <c r="L75" s="8"/>
      <c r="M75" s="8"/>
      <c r="N75" s="8"/>
      <c r="O75" s="8"/>
      <c r="P75" s="8"/>
      <c r="Q75" s="8"/>
      <c r="R75" s="6"/>
    </row>
    <row r="76" spans="2:18" ht="14.25" customHeight="1" x14ac:dyDescent="0.2">
      <c r="B76" s="8">
        <v>1.5</v>
      </c>
      <c r="C76" s="25" t="s">
        <v>54</v>
      </c>
      <c r="D76" s="26"/>
      <c r="E76" s="8"/>
      <c r="F76" s="8"/>
      <c r="G76" s="8"/>
      <c r="H76" s="8"/>
      <c r="I76" s="8"/>
      <c r="J76" s="32"/>
      <c r="K76" s="8"/>
      <c r="L76" s="8"/>
      <c r="M76" s="8"/>
      <c r="N76" s="8"/>
      <c r="O76" s="8"/>
      <c r="P76" s="8"/>
      <c r="Q76" s="8"/>
      <c r="R76" s="6"/>
    </row>
    <row r="77" spans="2:18" ht="14.25" customHeight="1" x14ac:dyDescent="0.2">
      <c r="B77" s="8">
        <v>1.6</v>
      </c>
      <c r="C77" s="25" t="s">
        <v>31</v>
      </c>
      <c r="D77" s="26"/>
      <c r="E77" s="8">
        <v>1000</v>
      </c>
      <c r="F77" s="8">
        <v>700</v>
      </c>
      <c r="G77" s="8">
        <v>200</v>
      </c>
      <c r="H77" s="8">
        <v>210</v>
      </c>
      <c r="I77" s="8"/>
      <c r="J77" s="32"/>
      <c r="K77" s="8"/>
      <c r="L77" s="8"/>
      <c r="M77" s="8"/>
      <c r="N77" s="8"/>
      <c r="O77" s="8"/>
      <c r="P77" s="8"/>
      <c r="Q77" s="8"/>
      <c r="R77" s="6"/>
    </row>
    <row r="78" spans="2:18" ht="14.25" customHeight="1" x14ac:dyDescent="0.2">
      <c r="B78" s="8">
        <v>1.7</v>
      </c>
      <c r="C78" s="25" t="s">
        <v>33</v>
      </c>
      <c r="D78" s="26"/>
      <c r="E78" s="8"/>
      <c r="F78" s="8"/>
      <c r="G78" s="8"/>
      <c r="H78" s="8"/>
      <c r="I78" s="8"/>
      <c r="J78" s="32"/>
      <c r="K78" s="8"/>
      <c r="L78" s="8"/>
      <c r="M78" s="8"/>
      <c r="N78" s="8"/>
      <c r="O78" s="8"/>
      <c r="P78" s="8"/>
      <c r="Q78" s="8"/>
      <c r="R78" s="6"/>
    </row>
    <row r="79" spans="2:18" ht="14.25" customHeight="1" x14ac:dyDescent="0.2">
      <c r="B79" s="8">
        <v>1.8</v>
      </c>
      <c r="C79" s="25" t="s">
        <v>55</v>
      </c>
      <c r="D79" s="26"/>
      <c r="E79" s="8"/>
      <c r="F79" s="8"/>
      <c r="G79" s="8"/>
      <c r="H79" s="8"/>
      <c r="I79" s="8"/>
      <c r="J79" s="32"/>
      <c r="K79" s="8"/>
      <c r="L79" s="8"/>
      <c r="M79" s="8"/>
      <c r="N79" s="8"/>
      <c r="O79" s="8"/>
      <c r="P79" s="8"/>
      <c r="Q79" s="8"/>
      <c r="R79" s="6">
        <f>4910*0.05</f>
        <v>245.5</v>
      </c>
    </row>
    <row r="80" spans="2:18" ht="14.25" customHeight="1" x14ac:dyDescent="0.2">
      <c r="B80" s="11">
        <v>1.9</v>
      </c>
      <c r="C80" s="25" t="s">
        <v>56</v>
      </c>
      <c r="D80" s="26"/>
      <c r="E80" s="11"/>
      <c r="F80" s="11"/>
      <c r="G80" s="11"/>
      <c r="H80" s="11"/>
      <c r="I80" s="11"/>
      <c r="J80" s="33"/>
      <c r="K80" s="11"/>
      <c r="L80" s="11"/>
      <c r="M80" s="11"/>
      <c r="N80" s="11"/>
      <c r="O80" s="11"/>
      <c r="P80" s="11"/>
      <c r="Q80" s="11"/>
      <c r="R80" s="10">
        <f>I8</f>
        <v>1150</v>
      </c>
    </row>
    <row r="81" spans="2:18" ht="14.25" customHeight="1" x14ac:dyDescent="0.2">
      <c r="B81" s="8">
        <v>2</v>
      </c>
      <c r="C81" s="20" t="s">
        <v>57</v>
      </c>
      <c r="D81" s="24"/>
      <c r="E81" s="8">
        <f>SUM(E82:E89)</f>
        <v>2000</v>
      </c>
      <c r="F81" s="8">
        <f t="shared" ref="F81:R81" si="27">SUM(F82:F89)</f>
        <v>3700</v>
      </c>
      <c r="G81" s="76">
        <f t="shared" si="27"/>
        <v>1633.104967948718</v>
      </c>
      <c r="H81" s="76">
        <f t="shared" si="27"/>
        <v>2393.9676730769229</v>
      </c>
      <c r="I81" s="76">
        <f t="shared" si="27"/>
        <v>1940.2355256410256</v>
      </c>
      <c r="J81" s="76">
        <f t="shared" si="27"/>
        <v>2162.0155256410258</v>
      </c>
      <c r="K81" s="76">
        <f t="shared" si="27"/>
        <v>1185.7755256410255</v>
      </c>
      <c r="L81" s="77">
        <f t="shared" si="27"/>
        <v>1193.6955256410256</v>
      </c>
      <c r="M81" s="77">
        <f t="shared" si="27"/>
        <v>1193.6955256410256</v>
      </c>
      <c r="N81" s="77">
        <f t="shared" si="27"/>
        <v>1193.6955256410256</v>
      </c>
      <c r="O81" s="77">
        <f t="shared" si="27"/>
        <v>1193.6955256410256</v>
      </c>
      <c r="P81" s="77">
        <f t="shared" si="27"/>
        <v>1193.6955256410256</v>
      </c>
      <c r="Q81" s="77">
        <f t="shared" si="27"/>
        <v>1200.1635256410254</v>
      </c>
      <c r="R81" s="77">
        <f t="shared" si="27"/>
        <v>1940.1635256410254</v>
      </c>
    </row>
    <row r="82" spans="2:18" ht="14.25" customHeight="1" x14ac:dyDescent="0.2">
      <c r="B82" s="3">
        <v>2.1</v>
      </c>
      <c r="C82" s="42" t="s">
        <v>126</v>
      </c>
      <c r="D82" s="60"/>
      <c r="E82" s="5">
        <f>E6</f>
        <v>2000</v>
      </c>
      <c r="F82" s="7">
        <f>F6</f>
        <v>3700</v>
      </c>
      <c r="G82" s="7"/>
      <c r="H82" s="7"/>
      <c r="I82" s="7"/>
      <c r="J82" s="7"/>
      <c r="K82" s="7"/>
      <c r="L82" s="8"/>
      <c r="M82" s="2"/>
      <c r="N82" s="8"/>
      <c r="O82" s="2"/>
      <c r="P82" s="8"/>
      <c r="R82" s="40"/>
    </row>
    <row r="83" spans="2:18" x14ac:dyDescent="0.2">
      <c r="B83" s="4">
        <v>2.2000000000000002</v>
      </c>
      <c r="C83" s="61" t="s">
        <v>59</v>
      </c>
      <c r="D83" s="62"/>
      <c r="E83" s="6"/>
      <c r="F83" s="6"/>
      <c r="G83" s="8"/>
      <c r="H83" s="8"/>
      <c r="I83" s="8"/>
      <c r="J83" s="8"/>
      <c r="K83" s="8"/>
      <c r="L83" s="8"/>
      <c r="M83" s="2"/>
      <c r="N83" s="8"/>
      <c r="O83" s="2"/>
      <c r="P83" s="8"/>
      <c r="R83" s="40"/>
    </row>
    <row r="84" spans="2:18" x14ac:dyDescent="0.2">
      <c r="B84" s="4">
        <v>2.2999999999999998</v>
      </c>
      <c r="C84" s="61" t="s">
        <v>60</v>
      </c>
      <c r="D84" s="62"/>
      <c r="E84" s="6"/>
      <c r="F84" s="8"/>
      <c r="G84" s="80">
        <f>G8</f>
        <v>503.125</v>
      </c>
      <c r="H84" s="80">
        <f>H8</f>
        <v>646.875</v>
      </c>
      <c r="I84" s="8"/>
      <c r="J84" s="8"/>
      <c r="K84" s="8"/>
      <c r="L84" s="8"/>
      <c r="M84" s="2"/>
      <c r="N84" s="8"/>
      <c r="O84" s="2"/>
      <c r="P84" s="8"/>
      <c r="R84" s="40"/>
    </row>
    <row r="85" spans="2:18" x14ac:dyDescent="0.2">
      <c r="B85" s="4">
        <v>2.4</v>
      </c>
      <c r="C85" s="61" t="s">
        <v>44</v>
      </c>
      <c r="D85" s="62"/>
      <c r="E85" s="6"/>
      <c r="F85" s="8"/>
      <c r="G85" s="80">
        <f>E60</f>
        <v>279.97996794871801</v>
      </c>
      <c r="H85" s="80">
        <f t="shared" ref="H85:R85" si="28">F60</f>
        <v>447.09267307692301</v>
      </c>
      <c r="I85" s="80">
        <f t="shared" si="28"/>
        <v>540.23552564102556</v>
      </c>
      <c r="J85" s="80">
        <f t="shared" si="28"/>
        <v>562.01552564102565</v>
      </c>
      <c r="K85" s="80">
        <f t="shared" si="28"/>
        <v>585.77552564102564</v>
      </c>
      <c r="L85" s="80">
        <f t="shared" si="28"/>
        <v>593.6955256410256</v>
      </c>
      <c r="M85" s="80">
        <f t="shared" si="28"/>
        <v>593.6955256410256</v>
      </c>
      <c r="N85" s="80">
        <f t="shared" si="28"/>
        <v>593.6955256410256</v>
      </c>
      <c r="O85" s="80">
        <f t="shared" si="28"/>
        <v>593.6955256410256</v>
      </c>
      <c r="P85" s="80">
        <f t="shared" si="28"/>
        <v>593.6955256410256</v>
      </c>
      <c r="Q85" s="80">
        <f t="shared" si="28"/>
        <v>600.16352564102544</v>
      </c>
      <c r="R85" s="80">
        <f t="shared" si="28"/>
        <v>600.16352564102544</v>
      </c>
    </row>
    <row r="86" spans="2:18" x14ac:dyDescent="0.2">
      <c r="B86" s="4">
        <v>2.5</v>
      </c>
      <c r="C86" s="61" t="s">
        <v>47</v>
      </c>
      <c r="D86" s="62"/>
      <c r="E86" s="6"/>
      <c r="F86" s="8"/>
      <c r="G86" s="8">
        <f>E63</f>
        <v>200</v>
      </c>
      <c r="H86" s="8">
        <f t="shared" ref="H86:R86" si="29">F63</f>
        <v>250</v>
      </c>
      <c r="I86" s="8">
        <f t="shared" si="29"/>
        <v>300</v>
      </c>
      <c r="J86" s="8">
        <f t="shared" si="29"/>
        <v>400</v>
      </c>
      <c r="K86" s="8">
        <f t="shared" si="29"/>
        <v>600</v>
      </c>
      <c r="L86" s="8">
        <f t="shared" si="29"/>
        <v>600</v>
      </c>
      <c r="M86" s="8">
        <f t="shared" si="29"/>
        <v>600</v>
      </c>
      <c r="N86" s="8">
        <f t="shared" si="29"/>
        <v>600</v>
      </c>
      <c r="O86" s="8">
        <f t="shared" si="29"/>
        <v>600</v>
      </c>
      <c r="P86" s="8">
        <f t="shared" si="29"/>
        <v>600</v>
      </c>
      <c r="Q86" s="8">
        <f t="shared" si="29"/>
        <v>600</v>
      </c>
      <c r="R86" s="8">
        <f t="shared" si="29"/>
        <v>600</v>
      </c>
    </row>
    <row r="87" spans="2:18" x14ac:dyDescent="0.2">
      <c r="B87" s="4">
        <v>2.6</v>
      </c>
      <c r="C87" s="61" t="s">
        <v>61</v>
      </c>
      <c r="D87" s="62"/>
      <c r="E87" s="6"/>
      <c r="F87" s="8"/>
      <c r="G87" s="8">
        <f>G28</f>
        <v>650</v>
      </c>
      <c r="H87" s="8">
        <f t="shared" ref="H87:J87" si="30">H28</f>
        <v>1050</v>
      </c>
      <c r="I87" s="8">
        <f t="shared" si="30"/>
        <v>1100</v>
      </c>
      <c r="J87" s="8">
        <f t="shared" si="30"/>
        <v>1200</v>
      </c>
      <c r="K87" s="8"/>
      <c r="L87" s="8"/>
      <c r="M87" s="2"/>
      <c r="N87" s="8"/>
      <c r="O87" s="2"/>
      <c r="P87" s="8"/>
      <c r="R87" s="40"/>
    </row>
    <row r="88" spans="2:18" x14ac:dyDescent="0.2">
      <c r="B88" s="4">
        <v>2.7</v>
      </c>
      <c r="C88" s="61" t="s">
        <v>62</v>
      </c>
      <c r="D88" s="62"/>
      <c r="E88" s="6"/>
      <c r="F88" s="8"/>
      <c r="G88" s="8"/>
      <c r="H88" s="8"/>
      <c r="I88" s="8"/>
      <c r="J88" s="8"/>
      <c r="K88" s="8"/>
      <c r="L88" s="8"/>
      <c r="M88" s="2"/>
      <c r="N88" s="8"/>
      <c r="O88" s="2"/>
      <c r="P88" s="8"/>
      <c r="Q88" s="2"/>
      <c r="R88" s="8">
        <f>R29</f>
        <v>740</v>
      </c>
    </row>
    <row r="89" spans="2:18" x14ac:dyDescent="0.2">
      <c r="B89" s="9">
        <v>2.8</v>
      </c>
      <c r="C89" s="63" t="s">
        <v>63</v>
      </c>
      <c r="D89" s="64"/>
      <c r="E89" s="10"/>
      <c r="F89" s="11"/>
      <c r="G89" s="11"/>
      <c r="H89" s="11"/>
      <c r="I89" s="11"/>
      <c r="J89" s="11"/>
      <c r="K89" s="11"/>
      <c r="L89" s="11"/>
      <c r="M89" s="12"/>
      <c r="N89" s="11"/>
      <c r="O89" s="12"/>
      <c r="P89" s="11"/>
      <c r="Q89" s="12"/>
      <c r="R89" s="11"/>
    </row>
    <row r="90" spans="2:18" x14ac:dyDescent="0.2">
      <c r="B90" s="13">
        <v>3</v>
      </c>
      <c r="C90" s="23" t="s">
        <v>64</v>
      </c>
      <c r="D90" s="23"/>
      <c r="E90" s="13">
        <f>E71-E81</f>
        <v>0</v>
      </c>
      <c r="F90" s="13">
        <f t="shared" ref="F90:R90" si="31">F71-F81</f>
        <v>0</v>
      </c>
      <c r="G90" s="77">
        <f t="shared" si="31"/>
        <v>216.15251068376074</v>
      </c>
      <c r="H90" s="77">
        <f t="shared" si="31"/>
        <v>105.44194230769199</v>
      </c>
      <c r="I90" s="77">
        <f t="shared" si="31"/>
        <v>194.55015811965814</v>
      </c>
      <c r="J90" s="77">
        <f t="shared" si="31"/>
        <v>38.770158119657935</v>
      </c>
      <c r="K90" s="77">
        <f t="shared" si="31"/>
        <v>1087.0101581196582</v>
      </c>
      <c r="L90" s="77">
        <f t="shared" si="31"/>
        <v>1043.0901581196581</v>
      </c>
      <c r="M90" s="77">
        <f t="shared" si="31"/>
        <v>1043.0901581196581</v>
      </c>
      <c r="N90" s="77">
        <f t="shared" si="31"/>
        <v>1043.0901581196581</v>
      </c>
      <c r="O90" s="77">
        <f t="shared" si="31"/>
        <v>1043.0901581196581</v>
      </c>
      <c r="P90" s="77">
        <f t="shared" si="31"/>
        <v>1043.0901581196581</v>
      </c>
      <c r="Q90" s="77">
        <f t="shared" si="31"/>
        <v>1007.2221581196577</v>
      </c>
      <c r="R90" s="77">
        <f t="shared" si="31"/>
        <v>1662.7221581196577</v>
      </c>
    </row>
    <row r="91" spans="2:18" x14ac:dyDescent="0.2">
      <c r="B91" s="13">
        <v>4</v>
      </c>
      <c r="C91" s="23" t="s">
        <v>65</v>
      </c>
      <c r="D91" s="23"/>
      <c r="E91" s="13">
        <f>E90</f>
        <v>0</v>
      </c>
      <c r="F91" s="13">
        <f>E91+F90</f>
        <v>0</v>
      </c>
      <c r="G91" s="77">
        <f t="shared" ref="G91:R91" si="32">F91+G90</f>
        <v>216.15251068376074</v>
      </c>
      <c r="H91" s="77">
        <f t="shared" si="32"/>
        <v>321.59445299145273</v>
      </c>
      <c r="I91" s="77">
        <f t="shared" si="32"/>
        <v>516.14461111111086</v>
      </c>
      <c r="J91" s="77">
        <f t="shared" si="32"/>
        <v>554.9147692307688</v>
      </c>
      <c r="K91" s="77">
        <f t="shared" si="32"/>
        <v>1641.924927350427</v>
      </c>
      <c r="L91" s="77">
        <f t="shared" si="32"/>
        <v>2685.0150854700851</v>
      </c>
      <c r="M91" s="77">
        <f t="shared" si="32"/>
        <v>3728.1052435897432</v>
      </c>
      <c r="N91" s="77">
        <f t="shared" si="32"/>
        <v>4771.1954017094013</v>
      </c>
      <c r="O91" s="77">
        <f t="shared" si="32"/>
        <v>5814.2855598290589</v>
      </c>
      <c r="P91" s="77">
        <f t="shared" si="32"/>
        <v>6857.3757179487166</v>
      </c>
      <c r="Q91" s="77">
        <f t="shared" si="32"/>
        <v>7864.5978760683738</v>
      </c>
      <c r="R91" s="77">
        <f t="shared" si="32"/>
        <v>9527.3200341880311</v>
      </c>
    </row>
    <row r="92" spans="2:18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8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8" ht="23.25" x14ac:dyDescent="0.2">
      <c r="B94" s="65" t="s">
        <v>67</v>
      </c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</row>
    <row r="95" spans="2:18" x14ac:dyDescent="0.2">
      <c r="B95" s="15" t="s">
        <v>16</v>
      </c>
      <c r="C95" s="16" t="s">
        <v>3</v>
      </c>
      <c r="D95" s="16"/>
      <c r="E95" s="15" t="s">
        <v>17</v>
      </c>
      <c r="F95" s="15"/>
      <c r="G95" s="15" t="s">
        <v>18</v>
      </c>
      <c r="H95" s="15"/>
      <c r="I95" s="15" t="s">
        <v>19</v>
      </c>
      <c r="J95" s="15"/>
      <c r="K95" s="15"/>
      <c r="L95" s="15"/>
      <c r="M95" s="15"/>
      <c r="N95" s="15"/>
      <c r="O95" s="15"/>
      <c r="P95" s="15"/>
      <c r="Q95" s="15"/>
      <c r="R95" s="15"/>
    </row>
    <row r="96" spans="2:18" x14ac:dyDescent="0.2">
      <c r="B96" s="15"/>
      <c r="C96" s="16"/>
      <c r="D96" s="16"/>
      <c r="E96" s="13">
        <v>1</v>
      </c>
      <c r="F96" s="13">
        <v>2</v>
      </c>
      <c r="G96" s="13">
        <v>3</v>
      </c>
      <c r="H96" s="13">
        <v>4</v>
      </c>
      <c r="I96" s="13">
        <v>5</v>
      </c>
      <c r="J96" s="13">
        <v>6</v>
      </c>
      <c r="K96" s="13">
        <v>7</v>
      </c>
      <c r="L96" s="13">
        <v>8</v>
      </c>
      <c r="M96" s="13">
        <v>9</v>
      </c>
      <c r="N96" s="13">
        <v>10</v>
      </c>
      <c r="O96" s="13">
        <v>11</v>
      </c>
      <c r="P96" s="13">
        <v>12</v>
      </c>
      <c r="Q96" s="13">
        <v>13</v>
      </c>
      <c r="R96" s="13">
        <v>14</v>
      </c>
    </row>
    <row r="97" spans="2:19" x14ac:dyDescent="0.2">
      <c r="B97" s="13">
        <v>1</v>
      </c>
      <c r="C97" s="58" t="s">
        <v>66</v>
      </c>
      <c r="D97" s="59"/>
      <c r="E97" s="7">
        <f>SUM(E98:E105)</f>
        <v>2000</v>
      </c>
      <c r="F97" s="85">
        <f>SUM(F98:F106)</f>
        <v>5700</v>
      </c>
      <c r="G97" s="85">
        <f t="shared" ref="G97:R97" si="33">SUM(G98:G106)</f>
        <v>5202.291666666667</v>
      </c>
      <c r="H97" s="85">
        <f t="shared" si="33"/>
        <v>4704.583333333333</v>
      </c>
      <c r="I97" s="85">
        <f t="shared" si="33"/>
        <v>4206.875</v>
      </c>
      <c r="J97" s="85">
        <f t="shared" si="33"/>
        <v>3709.166666666667</v>
      </c>
      <c r="K97" s="90">
        <f t="shared" si="33"/>
        <v>3211.4583333333335</v>
      </c>
      <c r="L97" s="85">
        <f t="shared" si="33"/>
        <v>2773.75</v>
      </c>
      <c r="M97" s="85">
        <f t="shared" si="33"/>
        <v>2336.041666666667</v>
      </c>
      <c r="N97" s="85">
        <f t="shared" si="33"/>
        <v>1898.3333333333335</v>
      </c>
      <c r="O97" s="85">
        <f t="shared" si="33"/>
        <v>1460.625</v>
      </c>
      <c r="P97" s="85">
        <f t="shared" si="33"/>
        <v>1022.916666666667</v>
      </c>
      <c r="Q97" s="85">
        <f t="shared" si="33"/>
        <v>634.20833333333394</v>
      </c>
      <c r="R97" s="85">
        <f t="shared" si="33"/>
        <v>245.5</v>
      </c>
      <c r="S97" s="91"/>
    </row>
    <row r="98" spans="2:19" x14ac:dyDescent="0.2">
      <c r="B98" s="8">
        <v>1.1000000000000001</v>
      </c>
      <c r="C98" s="21" t="s">
        <v>73</v>
      </c>
      <c r="D98" s="24"/>
      <c r="E98" s="7"/>
      <c r="F98" s="7"/>
      <c r="G98" s="7"/>
      <c r="H98" s="7"/>
      <c r="I98" s="7"/>
      <c r="J98" s="31"/>
      <c r="K98" s="8"/>
      <c r="L98" s="7"/>
      <c r="M98" s="7"/>
      <c r="N98" s="7"/>
      <c r="O98" s="7"/>
      <c r="P98" s="7"/>
      <c r="Q98" s="39"/>
      <c r="R98" s="34"/>
    </row>
    <row r="99" spans="2:19" x14ac:dyDescent="0.2">
      <c r="B99" s="8" t="s">
        <v>74</v>
      </c>
      <c r="C99" s="25" t="s">
        <v>75</v>
      </c>
      <c r="D99" s="26"/>
      <c r="E99" s="8"/>
      <c r="F99" s="8"/>
      <c r="G99" s="8"/>
      <c r="H99" s="8"/>
      <c r="I99" s="8"/>
      <c r="J99" s="32"/>
      <c r="K99" s="8"/>
      <c r="L99" s="8"/>
      <c r="M99" s="8"/>
      <c r="N99" s="8"/>
      <c r="O99" s="8"/>
      <c r="P99" s="8"/>
      <c r="Q99" s="40"/>
      <c r="R99" s="36"/>
    </row>
    <row r="100" spans="2:19" x14ac:dyDescent="0.2">
      <c r="B100" s="8" t="s">
        <v>76</v>
      </c>
      <c r="C100" s="25" t="s">
        <v>65</v>
      </c>
      <c r="D100" s="26"/>
      <c r="E100" s="8"/>
      <c r="F100" s="8"/>
      <c r="G100" s="8"/>
      <c r="H100" s="8"/>
      <c r="I100" s="8"/>
      <c r="J100" s="32"/>
      <c r="K100" s="8"/>
      <c r="L100" s="8"/>
      <c r="M100" s="8"/>
      <c r="N100" s="8"/>
      <c r="O100" s="8"/>
      <c r="P100" s="8"/>
      <c r="Q100" s="40"/>
      <c r="R100" s="36"/>
    </row>
    <row r="101" spans="2:19" x14ac:dyDescent="0.2">
      <c r="B101" s="8" t="s">
        <v>77</v>
      </c>
      <c r="C101" s="25" t="s">
        <v>79</v>
      </c>
      <c r="D101" s="26"/>
      <c r="E101" s="8"/>
      <c r="F101" s="8"/>
      <c r="G101" s="8"/>
      <c r="H101" s="8"/>
      <c r="I101" s="8"/>
      <c r="J101" s="32"/>
      <c r="K101" s="8"/>
      <c r="L101" s="8"/>
      <c r="M101" s="8"/>
      <c r="N101" s="8"/>
      <c r="O101" s="8"/>
      <c r="P101" s="8"/>
      <c r="Q101" s="40"/>
      <c r="R101" s="36"/>
    </row>
    <row r="102" spans="2:19" x14ac:dyDescent="0.2">
      <c r="B102" s="8" t="s">
        <v>78</v>
      </c>
      <c r="C102" s="25" t="s">
        <v>80</v>
      </c>
      <c r="D102" s="26"/>
      <c r="E102" s="8"/>
      <c r="F102" s="8"/>
      <c r="G102" s="8"/>
      <c r="H102" s="8"/>
      <c r="I102" s="8"/>
      <c r="J102" s="32"/>
      <c r="K102" s="8"/>
      <c r="L102" s="8"/>
      <c r="M102" s="8"/>
      <c r="N102" s="8"/>
      <c r="O102" s="8"/>
      <c r="P102" s="8"/>
      <c r="Q102" s="40"/>
      <c r="R102" s="36"/>
    </row>
    <row r="103" spans="2:19" x14ac:dyDescent="0.2">
      <c r="B103" s="8">
        <v>1.2</v>
      </c>
      <c r="C103" s="25" t="s">
        <v>81</v>
      </c>
      <c r="D103" s="26"/>
      <c r="E103" s="86">
        <f>E5</f>
        <v>2000</v>
      </c>
      <c r="F103" s="8"/>
      <c r="G103" s="8"/>
      <c r="H103" s="8"/>
      <c r="I103" s="8"/>
      <c r="J103" s="32"/>
      <c r="K103" s="8"/>
      <c r="L103" s="8"/>
      <c r="M103" s="8"/>
      <c r="N103" s="8"/>
      <c r="O103" s="8"/>
      <c r="P103" s="8"/>
      <c r="Q103" s="40"/>
      <c r="R103" s="36"/>
    </row>
    <row r="104" spans="2:19" x14ac:dyDescent="0.2">
      <c r="B104" s="8">
        <v>1.3</v>
      </c>
      <c r="C104" s="25" t="s">
        <v>82</v>
      </c>
      <c r="D104" s="26"/>
      <c r="E104" s="8"/>
      <c r="F104" s="86">
        <v>4910</v>
      </c>
      <c r="G104" s="76">
        <f>4910-4910*0.95/12</f>
        <v>4521.291666666667</v>
      </c>
      <c r="H104" s="76">
        <f>4910-4910*0.95/12*2</f>
        <v>4132.583333333333</v>
      </c>
      <c r="I104" s="76">
        <f>4910-4910*0.95/12*3</f>
        <v>3743.875</v>
      </c>
      <c r="J104" s="76">
        <f>4910-4910*0.95/12*4</f>
        <v>3355.166666666667</v>
      </c>
      <c r="K104" s="76">
        <f>4910-4910*0.95/12*5</f>
        <v>2966.4583333333335</v>
      </c>
      <c r="L104" s="76">
        <f>4910-4910*0.95/12*6</f>
        <v>2577.75</v>
      </c>
      <c r="M104" s="76">
        <f>4910-4910*0.95/12*7</f>
        <v>2189.041666666667</v>
      </c>
      <c r="N104" s="76">
        <f>4910-4910*0.95/12*8</f>
        <v>1800.3333333333335</v>
      </c>
      <c r="O104" s="76">
        <f>4910-4910*0.95/12*9</f>
        <v>1411.625</v>
      </c>
      <c r="P104" s="76">
        <f>4910-4910*0.95/12*10</f>
        <v>1022.916666666667</v>
      </c>
      <c r="Q104" s="76">
        <f>4910-4910*0.95/12*11</f>
        <v>634.20833333333394</v>
      </c>
      <c r="R104" s="76">
        <f>4910*0.05</f>
        <v>245.5</v>
      </c>
    </row>
    <row r="105" spans="2:19" x14ac:dyDescent="0.2">
      <c r="B105" s="8">
        <v>1.4</v>
      </c>
      <c r="C105" s="25" t="s">
        <v>83</v>
      </c>
      <c r="D105" s="26"/>
      <c r="E105" s="8"/>
      <c r="F105" s="8">
        <v>490</v>
      </c>
      <c r="G105" s="8">
        <f>490-490*0.1</f>
        <v>441</v>
      </c>
      <c r="H105" s="8">
        <f>490-490*0.2</f>
        <v>392</v>
      </c>
      <c r="I105" s="8">
        <f>490-490*0.3</f>
        <v>343</v>
      </c>
      <c r="J105" s="8">
        <f>490-490*0.4</f>
        <v>294</v>
      </c>
      <c r="K105" s="8">
        <f>490-490*0.5</f>
        <v>245</v>
      </c>
      <c r="L105" s="8">
        <f>490-490*0.6</f>
        <v>196</v>
      </c>
      <c r="M105" s="8">
        <f>490-490*0.7</f>
        <v>147</v>
      </c>
      <c r="N105" s="8">
        <f>490-490*0.8</f>
        <v>98</v>
      </c>
      <c r="O105" s="8">
        <f>490-490*0.9</f>
        <v>49</v>
      </c>
      <c r="P105" s="8"/>
      <c r="Q105" s="40"/>
      <c r="R105" s="36"/>
    </row>
    <row r="106" spans="2:19" x14ac:dyDescent="0.2">
      <c r="B106" s="11">
        <v>1.5</v>
      </c>
      <c r="C106" s="56" t="s">
        <v>127</v>
      </c>
      <c r="D106" s="28"/>
      <c r="E106" s="11"/>
      <c r="F106" s="11">
        <v>300</v>
      </c>
      <c r="G106" s="11">
        <f>300-300/5</f>
        <v>240</v>
      </c>
      <c r="H106" s="11">
        <f>300-300/5*2</f>
        <v>180</v>
      </c>
      <c r="I106" s="11">
        <f>300-300/5*3</f>
        <v>120</v>
      </c>
      <c r="J106" s="11">
        <f>300-300/5*4</f>
        <v>60</v>
      </c>
      <c r="K106" s="11"/>
      <c r="L106" s="8"/>
      <c r="M106" s="8"/>
      <c r="N106" s="8"/>
      <c r="O106" s="8"/>
      <c r="P106" s="8"/>
      <c r="Q106" s="40"/>
      <c r="R106" s="36"/>
    </row>
    <row r="107" spans="2:19" x14ac:dyDescent="0.2">
      <c r="B107" s="8">
        <v>2</v>
      </c>
      <c r="C107" s="25" t="s">
        <v>84</v>
      </c>
      <c r="D107" s="26"/>
      <c r="E107" s="8">
        <f>E113+SUM(E115:E118)</f>
        <v>2000</v>
      </c>
      <c r="F107" s="8">
        <f>F113+SUM(F115:F118)</f>
        <v>5700</v>
      </c>
      <c r="G107" s="8">
        <f t="shared" ref="G107:R107" si="34">G113+SUM(G115:G118)</f>
        <v>1900</v>
      </c>
      <c r="H107" s="8">
        <f t="shared" si="34"/>
        <v>2110</v>
      </c>
      <c r="I107" s="8">
        <f t="shared" si="34"/>
        <v>0</v>
      </c>
      <c r="J107" s="8">
        <f t="shared" si="34"/>
        <v>0</v>
      </c>
      <c r="K107" s="8">
        <f t="shared" si="34"/>
        <v>0</v>
      </c>
      <c r="L107" s="13">
        <f t="shared" si="34"/>
        <v>0</v>
      </c>
      <c r="M107" s="13">
        <f t="shared" si="34"/>
        <v>0</v>
      </c>
      <c r="N107" s="13">
        <f t="shared" si="34"/>
        <v>0</v>
      </c>
      <c r="O107" s="13">
        <f t="shared" si="34"/>
        <v>0</v>
      </c>
      <c r="P107" s="13">
        <f t="shared" si="34"/>
        <v>0</v>
      </c>
      <c r="Q107" s="13">
        <f t="shared" si="34"/>
        <v>0</v>
      </c>
      <c r="R107" s="13">
        <f t="shared" si="34"/>
        <v>0</v>
      </c>
    </row>
    <row r="108" spans="2:19" x14ac:dyDescent="0.2">
      <c r="B108" s="3">
        <v>2.1</v>
      </c>
      <c r="C108" s="42" t="s">
        <v>85</v>
      </c>
      <c r="D108" s="60"/>
      <c r="E108" s="5"/>
      <c r="F108" s="7"/>
      <c r="G108" s="7"/>
      <c r="H108" s="7"/>
      <c r="I108" s="7"/>
      <c r="J108" s="7"/>
      <c r="K108" s="7"/>
      <c r="L108" s="8"/>
      <c r="M108" s="2"/>
      <c r="N108" s="8"/>
      <c r="O108" s="2"/>
      <c r="P108" s="8"/>
      <c r="R108" s="40"/>
    </row>
    <row r="109" spans="2:19" x14ac:dyDescent="0.2">
      <c r="B109" s="4" t="s">
        <v>86</v>
      </c>
      <c r="C109" s="61" t="s">
        <v>87</v>
      </c>
      <c r="D109" s="62"/>
      <c r="E109" s="6"/>
      <c r="F109" s="6"/>
      <c r="G109" s="8"/>
      <c r="H109" s="8"/>
      <c r="I109" s="8"/>
      <c r="J109" s="8"/>
      <c r="K109" s="8"/>
      <c r="L109" s="8"/>
      <c r="M109" s="2"/>
      <c r="N109" s="8"/>
      <c r="O109" s="2"/>
      <c r="P109" s="8"/>
      <c r="R109" s="40"/>
    </row>
    <row r="110" spans="2:19" x14ac:dyDescent="0.2">
      <c r="B110" s="4" t="s">
        <v>88</v>
      </c>
      <c r="C110" s="61" t="s">
        <v>53</v>
      </c>
      <c r="D110" s="62"/>
      <c r="E110" s="6"/>
      <c r="F110" s="8"/>
      <c r="G110" s="8"/>
      <c r="H110" s="8"/>
      <c r="I110" s="8"/>
      <c r="J110" s="8"/>
      <c r="K110" s="8"/>
      <c r="L110" s="8"/>
      <c r="M110" s="2"/>
      <c r="N110" s="8"/>
      <c r="O110" s="2"/>
      <c r="P110" s="8"/>
      <c r="R110" s="40"/>
    </row>
    <row r="111" spans="2:19" x14ac:dyDescent="0.2">
      <c r="B111" s="4" t="s">
        <v>89</v>
      </c>
      <c r="C111" s="61" t="s">
        <v>54</v>
      </c>
      <c r="D111" s="62"/>
      <c r="E111" s="6"/>
      <c r="F111" s="8"/>
      <c r="G111" s="8"/>
      <c r="H111" s="8"/>
      <c r="I111" s="8"/>
      <c r="J111" s="8"/>
      <c r="K111" s="8"/>
      <c r="L111" s="8"/>
      <c r="M111" s="2"/>
      <c r="N111" s="8"/>
      <c r="O111" s="2"/>
      <c r="P111" s="8"/>
      <c r="R111" s="40"/>
    </row>
    <row r="112" spans="2:19" x14ac:dyDescent="0.2">
      <c r="B112" s="4">
        <v>2.2000000000000002</v>
      </c>
      <c r="C112" s="61" t="s">
        <v>52</v>
      </c>
      <c r="D112" s="62"/>
      <c r="E112" s="87">
        <f>E12</f>
        <v>1000</v>
      </c>
      <c r="F112" s="86">
        <f>F12+E12</f>
        <v>4000</v>
      </c>
      <c r="G112" s="8"/>
      <c r="H112" s="8"/>
      <c r="I112" s="8"/>
      <c r="J112" s="8"/>
      <c r="K112" s="8"/>
      <c r="L112" s="8"/>
      <c r="M112" s="2"/>
      <c r="N112" s="8"/>
      <c r="O112" s="2"/>
      <c r="P112" s="8"/>
      <c r="R112" s="40"/>
    </row>
    <row r="113" spans="2:19" x14ac:dyDescent="0.2">
      <c r="B113" s="4"/>
      <c r="C113" s="61" t="s">
        <v>90</v>
      </c>
      <c r="D113" s="62"/>
      <c r="E113" s="6">
        <f>E112+E108</f>
        <v>1000</v>
      </c>
      <c r="F113" s="6">
        <f t="shared" ref="F113:R113" si="35">F112+F108</f>
        <v>4000</v>
      </c>
      <c r="G113" s="6">
        <f t="shared" si="35"/>
        <v>0</v>
      </c>
      <c r="H113" s="6">
        <f t="shared" si="35"/>
        <v>0</v>
      </c>
      <c r="I113" s="6">
        <f t="shared" si="35"/>
        <v>0</v>
      </c>
      <c r="J113" s="6">
        <f t="shared" si="35"/>
        <v>0</v>
      </c>
      <c r="K113" s="6">
        <f t="shared" si="35"/>
        <v>0</v>
      </c>
      <c r="L113" s="6">
        <f t="shared" si="35"/>
        <v>0</v>
      </c>
      <c r="M113" s="6">
        <f t="shared" si="35"/>
        <v>0</v>
      </c>
      <c r="N113" s="6">
        <f t="shared" si="35"/>
        <v>0</v>
      </c>
      <c r="O113" s="6">
        <f t="shared" si="35"/>
        <v>0</v>
      </c>
      <c r="P113" s="6">
        <f t="shared" si="35"/>
        <v>0</v>
      </c>
      <c r="Q113" s="6">
        <f t="shared" si="35"/>
        <v>0</v>
      </c>
      <c r="R113" s="6">
        <f t="shared" si="35"/>
        <v>0</v>
      </c>
    </row>
    <row r="114" spans="2:19" x14ac:dyDescent="0.2">
      <c r="B114" s="4">
        <v>2.2999999999999998</v>
      </c>
      <c r="C114" s="61" t="s">
        <v>91</v>
      </c>
      <c r="D114" s="62"/>
      <c r="E114" s="6"/>
      <c r="F114" s="8"/>
      <c r="G114" s="8"/>
      <c r="H114" s="8"/>
      <c r="I114" s="8"/>
      <c r="J114" s="8"/>
      <c r="K114" s="8"/>
      <c r="L114" s="8"/>
      <c r="M114" s="2"/>
      <c r="N114" s="8"/>
      <c r="O114" s="2"/>
      <c r="P114" s="8"/>
      <c r="R114" s="40"/>
    </row>
    <row r="115" spans="2:19" x14ac:dyDescent="0.2">
      <c r="B115" s="4" t="s">
        <v>92</v>
      </c>
      <c r="C115" s="61" t="s">
        <v>93</v>
      </c>
      <c r="D115" s="62"/>
      <c r="E115" s="87">
        <f>E10</f>
        <v>1000</v>
      </c>
      <c r="F115" s="86">
        <f>F10+E10</f>
        <v>1700</v>
      </c>
      <c r="G115" s="8">
        <f>F115+G10</f>
        <v>1900</v>
      </c>
      <c r="H115" s="8">
        <f>G115+H10</f>
        <v>2110</v>
      </c>
      <c r="I115" s="8"/>
      <c r="J115" s="8"/>
      <c r="K115" s="8"/>
      <c r="L115" s="8"/>
      <c r="M115" s="2"/>
      <c r="N115" s="8"/>
      <c r="O115" s="2"/>
      <c r="P115" s="8"/>
      <c r="R115" s="40"/>
    </row>
    <row r="116" spans="2:19" x14ac:dyDescent="0.2">
      <c r="B116" s="4" t="s">
        <v>95</v>
      </c>
      <c r="C116" s="61" t="s">
        <v>94</v>
      </c>
      <c r="D116" s="62"/>
      <c r="E116" s="6"/>
      <c r="F116" s="8"/>
      <c r="G116" s="8"/>
      <c r="H116" s="8"/>
      <c r="I116" s="8"/>
      <c r="J116" s="8"/>
      <c r="K116" s="8"/>
      <c r="L116" s="8"/>
      <c r="M116" s="2"/>
      <c r="N116" s="8"/>
      <c r="O116" s="2"/>
      <c r="P116" s="8"/>
      <c r="R116" s="40"/>
    </row>
    <row r="117" spans="2:19" x14ac:dyDescent="0.2">
      <c r="B117" s="4" t="s">
        <v>96</v>
      </c>
      <c r="C117" s="61" t="s">
        <v>97</v>
      </c>
      <c r="D117" s="62"/>
      <c r="E117" s="6"/>
      <c r="F117" s="8"/>
      <c r="G117" s="8"/>
      <c r="H117" s="8"/>
      <c r="I117" s="8"/>
      <c r="J117" s="8"/>
      <c r="K117" s="8"/>
      <c r="L117" s="8"/>
      <c r="M117" s="2"/>
      <c r="N117" s="8"/>
      <c r="O117" s="2"/>
      <c r="P117" s="8"/>
      <c r="R117" s="40"/>
    </row>
    <row r="118" spans="2:19" x14ac:dyDescent="0.2">
      <c r="B118" s="9" t="s">
        <v>98</v>
      </c>
      <c r="C118" s="63" t="s">
        <v>49</v>
      </c>
      <c r="D118" s="64"/>
      <c r="E118" s="10"/>
      <c r="F118" s="11"/>
      <c r="G118" s="11"/>
      <c r="H118" s="11"/>
      <c r="I118" s="11"/>
      <c r="J118" s="11"/>
      <c r="K118" s="11"/>
      <c r="L118" s="11"/>
      <c r="M118" s="12"/>
      <c r="N118" s="11"/>
      <c r="O118" s="12"/>
      <c r="P118" s="11"/>
      <c r="Q118" s="37"/>
      <c r="R118" s="41"/>
    </row>
    <row r="119" spans="2:19" x14ac:dyDescent="0.2">
      <c r="B119" s="68"/>
      <c r="C119" s="20" t="s">
        <v>99</v>
      </c>
      <c r="D119" s="24"/>
      <c r="E119" s="70"/>
      <c r="F119" s="68"/>
      <c r="G119" s="71"/>
      <c r="H119" s="68"/>
      <c r="I119" s="71"/>
      <c r="J119" s="68"/>
      <c r="K119" s="71"/>
      <c r="L119" s="68"/>
      <c r="M119" s="71"/>
      <c r="N119" s="68"/>
      <c r="O119" s="71"/>
      <c r="P119" s="68"/>
      <c r="Q119" s="71"/>
      <c r="R119" s="68"/>
    </row>
    <row r="120" spans="2:19" x14ac:dyDescent="0.2">
      <c r="B120" s="54"/>
      <c r="C120" s="25" t="s">
        <v>100</v>
      </c>
      <c r="D120" s="26"/>
      <c r="E120" s="72"/>
      <c r="F120" s="54"/>
      <c r="G120" s="53"/>
      <c r="H120" s="54"/>
      <c r="I120" s="53"/>
      <c r="J120" s="54"/>
      <c r="K120" s="53"/>
      <c r="L120" s="54"/>
      <c r="M120" s="53"/>
      <c r="N120" s="54"/>
      <c r="O120" s="53"/>
      <c r="P120" s="54"/>
      <c r="Q120" s="53"/>
      <c r="R120" s="54"/>
    </row>
    <row r="121" spans="2:19" x14ac:dyDescent="0.2">
      <c r="B121" s="55"/>
      <c r="C121" s="27" t="s">
        <v>101</v>
      </c>
      <c r="D121" s="28"/>
      <c r="E121" s="69"/>
      <c r="F121" s="55"/>
      <c r="G121" s="57"/>
      <c r="H121" s="55"/>
      <c r="I121" s="57"/>
      <c r="J121" s="55"/>
      <c r="K121" s="57"/>
      <c r="L121" s="55"/>
      <c r="M121" s="57"/>
      <c r="N121" s="55"/>
      <c r="O121" s="57"/>
      <c r="P121" s="55"/>
      <c r="Q121" s="57"/>
      <c r="R121" s="55"/>
    </row>
    <row r="122" spans="2:19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2:19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2:19" ht="23.25" x14ac:dyDescent="0.2">
      <c r="B124" s="65" t="s">
        <v>102</v>
      </c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</row>
    <row r="125" spans="2:19" x14ac:dyDescent="0.2">
      <c r="B125" s="15" t="s">
        <v>16</v>
      </c>
      <c r="C125" s="16" t="s">
        <v>3</v>
      </c>
      <c r="D125" s="16"/>
      <c r="E125" s="15" t="s">
        <v>17</v>
      </c>
      <c r="F125" s="15"/>
      <c r="G125" s="15" t="s">
        <v>18</v>
      </c>
      <c r="H125" s="15"/>
      <c r="I125" s="15" t="s">
        <v>19</v>
      </c>
      <c r="J125" s="15"/>
      <c r="K125" s="15"/>
      <c r="L125" s="15"/>
      <c r="M125" s="15"/>
      <c r="N125" s="15"/>
      <c r="O125" s="15"/>
      <c r="P125" s="15"/>
      <c r="Q125" s="15"/>
      <c r="R125" s="15"/>
    </row>
    <row r="126" spans="2:19" x14ac:dyDescent="0.2">
      <c r="B126" s="15"/>
      <c r="C126" s="16"/>
      <c r="D126" s="16"/>
      <c r="E126" s="13">
        <v>1</v>
      </c>
      <c r="F126" s="13">
        <v>2</v>
      </c>
      <c r="G126" s="13">
        <v>3</v>
      </c>
      <c r="H126" s="13">
        <v>4</v>
      </c>
      <c r="I126" s="13">
        <v>5</v>
      </c>
      <c r="J126" s="13">
        <v>6</v>
      </c>
      <c r="K126" s="13">
        <v>7</v>
      </c>
      <c r="L126" s="13">
        <v>8</v>
      </c>
      <c r="M126" s="13">
        <v>9</v>
      </c>
      <c r="N126" s="13">
        <v>10</v>
      </c>
      <c r="O126" s="13">
        <v>11</v>
      </c>
      <c r="P126" s="13">
        <v>12</v>
      </c>
      <c r="Q126" s="13">
        <v>13</v>
      </c>
      <c r="R126" s="13">
        <v>14</v>
      </c>
    </row>
    <row r="127" spans="2:19" x14ac:dyDescent="0.2">
      <c r="B127" s="4">
        <v>1</v>
      </c>
      <c r="C127" s="74" t="s">
        <v>103</v>
      </c>
      <c r="D127" s="50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2:19" x14ac:dyDescent="0.2">
      <c r="B128" s="8">
        <v>1.1000000000000001</v>
      </c>
      <c r="C128" s="51" t="s">
        <v>41</v>
      </c>
      <c r="D128" s="26"/>
      <c r="E128" s="8"/>
      <c r="F128" s="8"/>
      <c r="G128" s="8"/>
      <c r="H128" s="8"/>
      <c r="I128" s="8"/>
      <c r="J128" s="32"/>
      <c r="K128" s="8"/>
      <c r="L128" s="8"/>
      <c r="M128" s="8"/>
      <c r="N128" s="8"/>
      <c r="O128" s="8"/>
      <c r="P128" s="8"/>
      <c r="Q128" s="40"/>
      <c r="R128" s="36"/>
    </row>
    <row r="129" spans="2:18" x14ac:dyDescent="0.2">
      <c r="B129" s="8">
        <v>1.2</v>
      </c>
      <c r="C129" s="25" t="s">
        <v>104</v>
      </c>
      <c r="D129" s="26"/>
      <c r="E129" s="8"/>
      <c r="F129" s="8"/>
      <c r="G129" s="8"/>
      <c r="H129" s="8"/>
      <c r="I129" s="8"/>
      <c r="J129" s="32"/>
      <c r="K129" s="8"/>
      <c r="L129" s="8"/>
      <c r="M129" s="8"/>
      <c r="N129" s="8"/>
      <c r="O129" s="8"/>
      <c r="P129" s="8"/>
      <c r="Q129" s="40"/>
      <c r="R129" s="36"/>
    </row>
    <row r="130" spans="2:18" x14ac:dyDescent="0.2">
      <c r="B130" s="11">
        <v>1.3</v>
      </c>
      <c r="C130" s="27" t="s">
        <v>56</v>
      </c>
      <c r="D130" s="28"/>
      <c r="E130" s="11"/>
      <c r="F130" s="11"/>
      <c r="G130" s="11"/>
      <c r="H130" s="11"/>
      <c r="I130" s="11"/>
      <c r="J130" s="33"/>
      <c r="K130" s="11"/>
      <c r="L130" s="11"/>
      <c r="M130" s="11"/>
      <c r="N130" s="11"/>
      <c r="O130" s="11"/>
      <c r="P130" s="11"/>
      <c r="Q130" s="41"/>
      <c r="R130" s="38"/>
    </row>
    <row r="131" spans="2:18" x14ac:dyDescent="0.2">
      <c r="B131" s="8">
        <v>2</v>
      </c>
      <c r="C131" s="25" t="s">
        <v>105</v>
      </c>
      <c r="D131" s="26"/>
      <c r="E131" s="8"/>
      <c r="F131" s="8"/>
      <c r="G131" s="8"/>
      <c r="H131" s="8"/>
      <c r="I131" s="8"/>
      <c r="J131" s="32"/>
      <c r="K131" s="8"/>
      <c r="L131" s="8"/>
      <c r="M131" s="8"/>
      <c r="N131" s="8"/>
      <c r="O131" s="8"/>
      <c r="P131" s="8"/>
      <c r="Q131" s="40"/>
      <c r="R131" s="36"/>
    </row>
    <row r="132" spans="2:18" x14ac:dyDescent="0.2">
      <c r="B132" s="8">
        <v>2.1</v>
      </c>
      <c r="C132" s="25" t="s">
        <v>58</v>
      </c>
      <c r="D132" s="26"/>
      <c r="E132" s="8"/>
      <c r="F132" s="8"/>
      <c r="G132" s="8"/>
      <c r="H132" s="8"/>
      <c r="I132" s="8"/>
      <c r="J132" s="32"/>
      <c r="K132" s="8"/>
      <c r="L132" s="8"/>
      <c r="M132" s="8"/>
      <c r="N132" s="8"/>
      <c r="O132" s="8"/>
      <c r="P132" s="8"/>
      <c r="Q132" s="40"/>
      <c r="R132" s="36"/>
    </row>
    <row r="133" spans="2:18" x14ac:dyDescent="0.2">
      <c r="B133" s="8">
        <v>2.2000000000000002</v>
      </c>
      <c r="C133" s="25" t="s">
        <v>106</v>
      </c>
      <c r="D133" s="26"/>
      <c r="E133" s="8"/>
      <c r="F133" s="8"/>
      <c r="G133" s="8"/>
      <c r="H133" s="8"/>
      <c r="I133" s="8"/>
      <c r="J133" s="32"/>
      <c r="K133" s="8"/>
      <c r="L133" s="8"/>
      <c r="M133" s="8"/>
      <c r="N133" s="8"/>
      <c r="O133" s="8"/>
      <c r="P133" s="8"/>
      <c r="Q133" s="40"/>
      <c r="R133" s="36"/>
    </row>
    <row r="134" spans="2:18" x14ac:dyDescent="0.2">
      <c r="B134" s="8">
        <v>2.2999999999999998</v>
      </c>
      <c r="C134" s="25" t="s">
        <v>40</v>
      </c>
      <c r="D134" s="26"/>
      <c r="E134" s="8"/>
      <c r="F134" s="8"/>
      <c r="G134" s="8"/>
      <c r="H134" s="8"/>
      <c r="I134" s="8"/>
      <c r="J134" s="32"/>
      <c r="K134" s="8"/>
      <c r="L134" s="8"/>
      <c r="M134" s="8"/>
      <c r="N134" s="8"/>
      <c r="O134" s="8"/>
      <c r="P134" s="8"/>
      <c r="Q134" s="40"/>
      <c r="R134" s="36"/>
    </row>
    <row r="135" spans="2:18" x14ac:dyDescent="0.2">
      <c r="B135" s="8">
        <v>2.4</v>
      </c>
      <c r="C135" s="25" t="s">
        <v>42</v>
      </c>
      <c r="D135" s="26"/>
      <c r="E135" s="8"/>
      <c r="F135" s="8"/>
      <c r="G135" s="8"/>
      <c r="H135" s="8"/>
      <c r="I135" s="8"/>
      <c r="J135" s="32"/>
      <c r="K135" s="8"/>
      <c r="L135" s="8"/>
      <c r="M135" s="8"/>
      <c r="N135" s="8"/>
      <c r="O135" s="8"/>
      <c r="P135" s="8"/>
      <c r="Q135" s="40"/>
      <c r="R135" s="36"/>
    </row>
    <row r="136" spans="2:18" x14ac:dyDescent="0.2">
      <c r="B136" s="8">
        <v>2.5</v>
      </c>
      <c r="C136" s="25" t="s">
        <v>44</v>
      </c>
      <c r="D136" s="26"/>
      <c r="E136" s="8"/>
      <c r="F136" s="8"/>
      <c r="G136" s="8"/>
      <c r="H136" s="8"/>
      <c r="I136" s="8"/>
      <c r="J136" s="32"/>
      <c r="K136" s="11"/>
      <c r="L136" s="11"/>
      <c r="M136" s="11"/>
      <c r="N136" s="11"/>
      <c r="O136" s="11"/>
      <c r="P136" s="11"/>
      <c r="Q136" s="41"/>
      <c r="R136" s="38"/>
    </row>
    <row r="137" spans="2:18" x14ac:dyDescent="0.2">
      <c r="B137" s="3">
        <v>3</v>
      </c>
      <c r="C137" s="42" t="s">
        <v>107</v>
      </c>
      <c r="D137" s="60"/>
      <c r="E137" s="5"/>
      <c r="F137" s="7"/>
      <c r="G137" s="7"/>
      <c r="H137" s="7"/>
      <c r="I137" s="7"/>
      <c r="J137" s="7"/>
      <c r="K137" s="8"/>
      <c r="L137" s="8"/>
      <c r="M137" s="2"/>
      <c r="N137" s="8"/>
      <c r="O137" s="2"/>
      <c r="P137" s="8"/>
      <c r="R137" s="40"/>
    </row>
    <row r="138" spans="2:18" x14ac:dyDescent="0.2">
      <c r="B138" s="4">
        <v>4</v>
      </c>
      <c r="C138" s="61" t="s">
        <v>108</v>
      </c>
      <c r="D138" s="62"/>
      <c r="E138" s="6"/>
      <c r="F138" s="6"/>
      <c r="G138" s="8"/>
      <c r="H138" s="8"/>
      <c r="I138" s="8"/>
      <c r="J138" s="8"/>
      <c r="K138" s="8"/>
      <c r="L138" s="8"/>
      <c r="M138" s="2"/>
      <c r="N138" s="8"/>
      <c r="O138" s="2"/>
      <c r="P138" s="8"/>
      <c r="R138" s="40"/>
    </row>
    <row r="139" spans="2:18" x14ac:dyDescent="0.2">
      <c r="B139" s="8">
        <v>5</v>
      </c>
      <c r="C139" s="52" t="s">
        <v>111</v>
      </c>
      <c r="D139" s="62"/>
      <c r="E139" s="6"/>
      <c r="F139" s="8"/>
      <c r="G139" s="8"/>
      <c r="H139" s="8"/>
      <c r="I139" s="8"/>
      <c r="J139" s="8"/>
      <c r="K139" s="8"/>
      <c r="L139" s="8"/>
      <c r="M139" s="2"/>
      <c r="N139" s="8"/>
      <c r="O139" s="2"/>
      <c r="P139" s="8"/>
      <c r="R139" s="40"/>
    </row>
    <row r="140" spans="2:18" x14ac:dyDescent="0.2">
      <c r="B140" s="4">
        <v>6</v>
      </c>
      <c r="C140" s="61" t="s">
        <v>110</v>
      </c>
      <c r="D140" s="62"/>
      <c r="E140" s="6"/>
      <c r="F140" s="8"/>
      <c r="G140" s="8"/>
      <c r="H140" s="8"/>
      <c r="I140" s="8"/>
      <c r="J140" s="8"/>
      <c r="K140" s="8"/>
      <c r="L140" s="8"/>
      <c r="M140" s="2"/>
      <c r="N140" s="8"/>
      <c r="O140" s="2"/>
      <c r="P140" s="8"/>
      <c r="R140" s="40"/>
    </row>
    <row r="141" spans="2:18" x14ac:dyDescent="0.2">
      <c r="B141" s="4">
        <v>7</v>
      </c>
      <c r="C141" s="61" t="s">
        <v>112</v>
      </c>
      <c r="D141" s="62"/>
      <c r="E141" s="6"/>
      <c r="F141" s="8"/>
      <c r="G141" s="8"/>
      <c r="H141" s="8"/>
      <c r="I141" s="8"/>
      <c r="J141" s="8"/>
      <c r="K141" s="8"/>
      <c r="L141" s="8"/>
      <c r="M141" s="2"/>
      <c r="N141" s="8"/>
      <c r="O141" s="2"/>
      <c r="P141" s="8"/>
      <c r="R141" s="40"/>
    </row>
    <row r="142" spans="2:18" x14ac:dyDescent="0.2">
      <c r="B142" s="9">
        <v>8</v>
      </c>
      <c r="C142" s="63" t="s">
        <v>113</v>
      </c>
      <c r="D142" s="64"/>
      <c r="E142" s="10"/>
      <c r="F142" s="11"/>
      <c r="G142" s="11"/>
      <c r="H142" s="11"/>
      <c r="I142" s="11"/>
      <c r="J142" s="11"/>
      <c r="K142" s="11"/>
      <c r="L142" s="11"/>
      <c r="M142" s="12"/>
      <c r="N142" s="11"/>
      <c r="O142" s="12"/>
      <c r="P142" s="11"/>
      <c r="Q142" s="37"/>
      <c r="R142" s="41"/>
    </row>
    <row r="143" spans="2:18" x14ac:dyDescent="0.2">
      <c r="B143" s="14"/>
      <c r="C143" s="52"/>
      <c r="D143" s="5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35"/>
      <c r="R143" s="35"/>
    </row>
    <row r="144" spans="2:18" x14ac:dyDescent="0.2">
      <c r="B144" s="14"/>
      <c r="C144" s="52"/>
      <c r="D144" s="5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35"/>
      <c r="R144" s="35"/>
    </row>
    <row r="145" spans="2:18" ht="23.25" x14ac:dyDescent="0.2">
      <c r="B145" s="65" t="s">
        <v>114</v>
      </c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</row>
    <row r="146" spans="2:18" x14ac:dyDescent="0.2">
      <c r="B146" s="15" t="s">
        <v>16</v>
      </c>
      <c r="C146" s="16" t="s">
        <v>3</v>
      </c>
      <c r="D146" s="16"/>
      <c r="E146" s="15" t="s">
        <v>17</v>
      </c>
      <c r="F146" s="15"/>
      <c r="G146" s="15" t="s">
        <v>18</v>
      </c>
      <c r="H146" s="15"/>
      <c r="I146" s="15" t="s">
        <v>19</v>
      </c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2:18" x14ac:dyDescent="0.2">
      <c r="B147" s="15"/>
      <c r="C147" s="16"/>
      <c r="D147" s="16"/>
      <c r="E147" s="13">
        <v>1</v>
      </c>
      <c r="F147" s="13">
        <v>2</v>
      </c>
      <c r="G147" s="13">
        <v>3</v>
      </c>
      <c r="H147" s="13">
        <v>4</v>
      </c>
      <c r="I147" s="13">
        <v>5</v>
      </c>
      <c r="J147" s="13">
        <v>6</v>
      </c>
      <c r="K147" s="13">
        <v>7</v>
      </c>
      <c r="L147" s="13">
        <v>8</v>
      </c>
      <c r="M147" s="13">
        <v>9</v>
      </c>
      <c r="N147" s="13">
        <v>10</v>
      </c>
      <c r="O147" s="13">
        <v>11</v>
      </c>
      <c r="P147" s="13">
        <v>12</v>
      </c>
      <c r="Q147" s="13">
        <v>13</v>
      </c>
      <c r="R147" s="13">
        <v>14</v>
      </c>
    </row>
    <row r="148" spans="2:18" x14ac:dyDescent="0.2">
      <c r="B148" s="4">
        <v>1</v>
      </c>
      <c r="C148" s="74" t="s">
        <v>103</v>
      </c>
      <c r="D148" s="50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2:18" x14ac:dyDescent="0.2">
      <c r="B149" s="8">
        <v>1.1000000000000001</v>
      </c>
      <c r="C149" s="51" t="s">
        <v>41</v>
      </c>
      <c r="D149" s="26"/>
      <c r="E149" s="8"/>
      <c r="F149" s="8"/>
      <c r="G149" s="8"/>
      <c r="H149" s="8"/>
      <c r="I149" s="8"/>
      <c r="J149" s="32"/>
      <c r="K149" s="8"/>
      <c r="L149" s="8"/>
      <c r="M149" s="8"/>
      <c r="N149" s="8"/>
      <c r="O149" s="8"/>
      <c r="P149" s="8"/>
      <c r="Q149" s="40"/>
      <c r="R149" s="36"/>
    </row>
    <row r="150" spans="2:18" x14ac:dyDescent="0.2">
      <c r="B150" s="8">
        <v>1.2</v>
      </c>
      <c r="C150" s="25" t="s">
        <v>104</v>
      </c>
      <c r="D150" s="26"/>
      <c r="E150" s="8"/>
      <c r="F150" s="8"/>
      <c r="G150" s="8"/>
      <c r="H150" s="8"/>
      <c r="I150" s="8"/>
      <c r="J150" s="32"/>
      <c r="K150" s="8"/>
      <c r="L150" s="8"/>
      <c r="M150" s="8"/>
      <c r="N150" s="8"/>
      <c r="O150" s="8"/>
      <c r="P150" s="8"/>
      <c r="Q150" s="40"/>
      <c r="R150" s="36"/>
    </row>
    <row r="151" spans="2:18" x14ac:dyDescent="0.2">
      <c r="B151" s="11">
        <v>1.3</v>
      </c>
      <c r="C151" s="27" t="s">
        <v>56</v>
      </c>
      <c r="D151" s="28"/>
      <c r="E151" s="11"/>
      <c r="F151" s="11"/>
      <c r="G151" s="11"/>
      <c r="H151" s="11"/>
      <c r="I151" s="11"/>
      <c r="J151" s="33"/>
      <c r="K151" s="11"/>
      <c r="L151" s="11"/>
      <c r="M151" s="11"/>
      <c r="N151" s="11"/>
      <c r="O151" s="11"/>
      <c r="P151" s="11"/>
      <c r="Q151" s="41"/>
      <c r="R151" s="38"/>
    </row>
    <row r="152" spans="2:18" x14ac:dyDescent="0.2">
      <c r="B152" s="8">
        <v>2</v>
      </c>
      <c r="C152" s="25" t="s">
        <v>105</v>
      </c>
      <c r="D152" s="26"/>
      <c r="E152" s="8"/>
      <c r="F152" s="8"/>
      <c r="G152" s="8"/>
      <c r="H152" s="8"/>
      <c r="I152" s="8"/>
      <c r="J152" s="32"/>
      <c r="K152" s="8"/>
      <c r="L152" s="8"/>
      <c r="M152" s="8"/>
      <c r="N152" s="8"/>
      <c r="O152" s="8"/>
      <c r="P152" s="8"/>
      <c r="Q152" s="40"/>
      <c r="R152" s="36"/>
    </row>
    <row r="153" spans="2:18" x14ac:dyDescent="0.2">
      <c r="B153" s="8">
        <v>2.1</v>
      </c>
      <c r="C153" s="25" t="s">
        <v>115</v>
      </c>
      <c r="D153" s="26"/>
      <c r="E153" s="8"/>
      <c r="F153" s="8"/>
      <c r="G153" s="8"/>
      <c r="H153" s="8"/>
      <c r="I153" s="8"/>
      <c r="J153" s="32"/>
      <c r="K153" s="8"/>
      <c r="L153" s="8"/>
      <c r="M153" s="8"/>
      <c r="N153" s="8"/>
      <c r="O153" s="8"/>
      <c r="P153" s="8"/>
      <c r="Q153" s="40"/>
      <c r="R153" s="36"/>
    </row>
    <row r="154" spans="2:18" x14ac:dyDescent="0.2">
      <c r="B154" s="18">
        <v>2.2000000000000002</v>
      </c>
      <c r="C154" s="25" t="s">
        <v>52</v>
      </c>
      <c r="D154" s="29" t="s">
        <v>116</v>
      </c>
      <c r="E154" s="8"/>
      <c r="F154" s="8"/>
      <c r="G154" s="8"/>
      <c r="H154" s="8"/>
      <c r="I154" s="8"/>
      <c r="J154" s="32"/>
      <c r="K154" s="8"/>
      <c r="L154" s="8"/>
      <c r="M154" s="8"/>
      <c r="N154" s="8"/>
      <c r="O154" s="8"/>
      <c r="P154" s="8"/>
      <c r="Q154" s="40"/>
      <c r="R154" s="36"/>
    </row>
    <row r="155" spans="2:18" x14ac:dyDescent="0.2">
      <c r="B155" s="18"/>
      <c r="C155" s="25"/>
      <c r="D155" s="73" t="s">
        <v>117</v>
      </c>
      <c r="E155" s="8"/>
      <c r="F155" s="8"/>
      <c r="G155" s="8"/>
      <c r="H155" s="8"/>
      <c r="I155" s="8"/>
      <c r="J155" s="32"/>
      <c r="K155" s="8"/>
      <c r="L155" s="8"/>
      <c r="M155" s="8"/>
      <c r="N155" s="8"/>
      <c r="O155" s="8"/>
      <c r="P155" s="8"/>
      <c r="Q155" s="40"/>
      <c r="R155" s="36"/>
    </row>
    <row r="156" spans="2:18" x14ac:dyDescent="0.2">
      <c r="B156" s="18">
        <v>2.2999999999999998</v>
      </c>
      <c r="C156" s="25" t="s">
        <v>53</v>
      </c>
      <c r="D156" s="29" t="s">
        <v>116</v>
      </c>
      <c r="E156" s="8"/>
      <c r="F156" s="8"/>
      <c r="G156" s="8"/>
      <c r="H156" s="8"/>
      <c r="I156" s="8"/>
      <c r="J156" s="32"/>
      <c r="K156" s="8"/>
      <c r="L156" s="8"/>
      <c r="M156" s="8"/>
      <c r="N156" s="8"/>
      <c r="O156" s="8"/>
      <c r="P156" s="8"/>
      <c r="Q156" s="40"/>
      <c r="R156" s="36"/>
    </row>
    <row r="157" spans="2:18" x14ac:dyDescent="0.2">
      <c r="B157" s="18"/>
      <c r="C157" s="25"/>
      <c r="D157" s="73" t="s">
        <v>117</v>
      </c>
      <c r="E157" s="8"/>
      <c r="F157" s="8"/>
      <c r="G157" s="8"/>
      <c r="H157" s="8"/>
      <c r="I157" s="8"/>
      <c r="J157" s="32"/>
      <c r="K157" s="8"/>
      <c r="L157" s="8"/>
      <c r="M157" s="8"/>
      <c r="N157" s="8"/>
      <c r="O157" s="8"/>
      <c r="P157" s="8"/>
      <c r="Q157" s="40"/>
      <c r="R157" s="36"/>
    </row>
    <row r="158" spans="2:18" x14ac:dyDescent="0.2">
      <c r="B158" s="18">
        <v>2.4</v>
      </c>
      <c r="C158" s="25" t="s">
        <v>54</v>
      </c>
      <c r="D158" s="29" t="s">
        <v>116</v>
      </c>
      <c r="E158" s="8"/>
      <c r="F158" s="8"/>
      <c r="G158" s="8"/>
      <c r="H158" s="8"/>
      <c r="I158" s="8"/>
      <c r="J158" s="32"/>
      <c r="K158" s="8"/>
      <c r="L158" s="8"/>
      <c r="M158" s="8"/>
      <c r="N158" s="8"/>
      <c r="O158" s="8"/>
      <c r="P158" s="8"/>
      <c r="Q158" s="40"/>
      <c r="R158" s="36"/>
    </row>
    <row r="159" spans="2:18" x14ac:dyDescent="0.2">
      <c r="B159" s="18"/>
      <c r="C159" s="25"/>
      <c r="D159" s="73" t="s">
        <v>117</v>
      </c>
      <c r="E159" s="8"/>
      <c r="F159" s="8"/>
      <c r="G159" s="8"/>
      <c r="H159" s="8"/>
      <c r="I159" s="8"/>
      <c r="J159" s="32"/>
      <c r="K159" s="8"/>
      <c r="L159" s="8"/>
      <c r="M159" s="8"/>
      <c r="N159" s="8"/>
      <c r="O159" s="8"/>
      <c r="P159" s="8"/>
      <c r="Q159" s="40"/>
      <c r="R159" s="36"/>
    </row>
    <row r="160" spans="2:18" x14ac:dyDescent="0.2">
      <c r="B160" s="8">
        <v>2.5</v>
      </c>
      <c r="C160" s="25" t="s">
        <v>40</v>
      </c>
      <c r="D160" s="26"/>
      <c r="E160" s="8"/>
      <c r="F160" s="8"/>
      <c r="G160" s="8"/>
      <c r="H160" s="8"/>
      <c r="I160" s="8"/>
      <c r="J160" s="32"/>
      <c r="K160" s="8"/>
      <c r="L160" s="8"/>
      <c r="M160" s="8"/>
      <c r="N160" s="8"/>
      <c r="O160" s="8"/>
      <c r="P160" s="8"/>
      <c r="Q160" s="40"/>
      <c r="R160" s="36"/>
    </row>
    <row r="161" spans="2:18" x14ac:dyDescent="0.2">
      <c r="B161" s="8">
        <v>2.6</v>
      </c>
      <c r="C161" s="25" t="s">
        <v>42</v>
      </c>
      <c r="D161" s="26"/>
      <c r="E161" s="8"/>
      <c r="F161" s="8"/>
      <c r="G161" s="8"/>
      <c r="H161" s="8"/>
      <c r="I161" s="8"/>
      <c r="J161" s="32"/>
      <c r="K161" s="8"/>
      <c r="L161" s="8"/>
      <c r="M161" s="8"/>
      <c r="N161" s="8"/>
      <c r="O161" s="8"/>
      <c r="P161" s="8"/>
      <c r="Q161" s="40"/>
      <c r="R161" s="36"/>
    </row>
    <row r="162" spans="2:18" x14ac:dyDescent="0.2">
      <c r="B162" s="8">
        <v>2.7</v>
      </c>
      <c r="C162" s="27" t="s">
        <v>44</v>
      </c>
      <c r="D162" s="28"/>
      <c r="E162" s="8"/>
      <c r="F162" s="8"/>
      <c r="G162" s="8"/>
      <c r="H162" s="8"/>
      <c r="I162" s="8"/>
      <c r="J162" s="32"/>
      <c r="K162" s="11"/>
      <c r="L162" s="11"/>
      <c r="M162" s="11"/>
      <c r="N162" s="11"/>
      <c r="O162" s="11"/>
      <c r="P162" s="11"/>
      <c r="Q162" s="41"/>
      <c r="R162" s="38"/>
    </row>
    <row r="163" spans="2:18" ht="14.25" customHeight="1" x14ac:dyDescent="0.2">
      <c r="B163" s="7">
        <v>3</v>
      </c>
      <c r="C163" s="43" t="s">
        <v>118</v>
      </c>
      <c r="D163" s="60"/>
      <c r="E163" s="5"/>
      <c r="F163" s="7"/>
      <c r="G163" s="7"/>
      <c r="H163" s="7"/>
      <c r="I163" s="7"/>
      <c r="J163" s="7"/>
      <c r="K163" s="8"/>
      <c r="L163" s="8"/>
      <c r="M163" s="2"/>
      <c r="N163" s="8"/>
      <c r="O163" s="2"/>
      <c r="P163" s="8"/>
      <c r="R163" s="40"/>
    </row>
    <row r="164" spans="2:18" x14ac:dyDescent="0.2">
      <c r="B164" s="8">
        <v>4</v>
      </c>
      <c r="C164" s="52" t="s">
        <v>109</v>
      </c>
      <c r="D164" s="62"/>
      <c r="E164" s="6"/>
      <c r="F164" s="8"/>
      <c r="G164" s="8"/>
      <c r="H164" s="8"/>
      <c r="I164" s="8"/>
      <c r="J164" s="8"/>
      <c r="K164" s="8"/>
      <c r="L164" s="8"/>
      <c r="M164" s="2"/>
      <c r="N164" s="8"/>
      <c r="O164" s="2"/>
      <c r="P164" s="8"/>
      <c r="R164" s="40"/>
    </row>
    <row r="165" spans="2:18" x14ac:dyDescent="0.2">
      <c r="B165" s="8">
        <v>5</v>
      </c>
      <c r="C165" s="52" t="s">
        <v>110</v>
      </c>
      <c r="D165" s="62"/>
      <c r="E165" s="6"/>
      <c r="F165" s="8"/>
      <c r="G165" s="8"/>
      <c r="H165" s="8"/>
      <c r="I165" s="8"/>
      <c r="J165" s="8"/>
      <c r="K165" s="8"/>
      <c r="L165" s="8"/>
      <c r="M165" s="2"/>
      <c r="N165" s="8"/>
      <c r="O165" s="2"/>
      <c r="P165" s="8"/>
      <c r="R165" s="40"/>
    </row>
    <row r="166" spans="2:18" x14ac:dyDescent="0.2">
      <c r="B166" s="8">
        <v>6</v>
      </c>
      <c r="C166" s="52" t="s">
        <v>119</v>
      </c>
      <c r="D166" s="62"/>
      <c r="E166" s="6"/>
      <c r="F166" s="8"/>
      <c r="G166" s="8"/>
      <c r="H166" s="8"/>
      <c r="I166" s="8"/>
      <c r="J166" s="8"/>
      <c r="K166" s="8"/>
      <c r="L166" s="8"/>
      <c r="M166" s="2"/>
      <c r="N166" s="8"/>
      <c r="O166" s="2"/>
      <c r="P166" s="8"/>
      <c r="R166" s="40"/>
    </row>
    <row r="167" spans="2:18" x14ac:dyDescent="0.2">
      <c r="B167" s="11">
        <v>7</v>
      </c>
      <c r="C167" s="75" t="s">
        <v>120</v>
      </c>
      <c r="D167" s="64"/>
      <c r="E167" s="10"/>
      <c r="F167" s="11"/>
      <c r="G167" s="11"/>
      <c r="H167" s="11"/>
      <c r="I167" s="11"/>
      <c r="J167" s="11"/>
      <c r="K167" s="11"/>
      <c r="L167" s="11"/>
      <c r="M167" s="12"/>
      <c r="N167" s="11"/>
      <c r="O167" s="12"/>
      <c r="P167" s="11"/>
      <c r="Q167" s="37"/>
      <c r="R167" s="41"/>
    </row>
    <row r="168" spans="2:18" x14ac:dyDescent="0.2">
      <c r="B168" s="14"/>
      <c r="C168" s="52"/>
      <c r="D168" s="5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35"/>
      <c r="R168" s="35"/>
    </row>
    <row r="169" spans="2:18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2:18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2:18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2:18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2:18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2:18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2:18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2:18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2:16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2:16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2:16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2:16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2:16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2:16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2:16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2:16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2:16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2:16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2:16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2:16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2:16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2:16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2:16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2:16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2:16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2:16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2:16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2:16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2:16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2:16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2:16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2:16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2:16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2:16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2:16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2:16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2:16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2:16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2:16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2:16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2:16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2:16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2:16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2:16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2:16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2:16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2:16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2:16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2:16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2:16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2:16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2:16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2:16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2:16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2:16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2:16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2:16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2:16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2:16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2:16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2:16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2:16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2:16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2:16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2:16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2:16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2:16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2:16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2:16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2:16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2:16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2:16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2:16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2:16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2:16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2:16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2:16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2:16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2:16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2:16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2:16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2:16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2:16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2:16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2:16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2:16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2:16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2:16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2:16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2:16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2:16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2:16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2:16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2:16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2:16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2:16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2:16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2:16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2:16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2:16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2:16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2:16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2:16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2:16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2:16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2:16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2:16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2:16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2:16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2:16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2:16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2:16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2:16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2:16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2:16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2:16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2:16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2:16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2:16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2:16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2:16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2:16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2:16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2:16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2:16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2:16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2:16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2:16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2:16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2:16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2:16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2:16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2:16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2:16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2:16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2:16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2:16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2:16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2:16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2:16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2:16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2:16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2:16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2:16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2:16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2:16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2:16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2:16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2:16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2:16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2:16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2:16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2:16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2:16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2:16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2:16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2:16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2:16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2:16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2:16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2:16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2:16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2:16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2:16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2:16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2:16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2:16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2:16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2:16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2:16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2:16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2:16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2:16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2:16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2:16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2:16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2:16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2:16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2:16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2:16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2:16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2:16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2:16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2:16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2:16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2:16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2:16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2:16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2:16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2:16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2:16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2:16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2:16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2:16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2:16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2:16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2:16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2:16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2:16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2:16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2:16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2:16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2:16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2:16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2:16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2:16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2:16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2:16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2:16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2:16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2:16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2:16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2:16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2:16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2:16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2:16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2:16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2:16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2:16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2:16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2:16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2:16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2:16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2:16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2:16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2:16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2:16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2:16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2:16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2:16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2:16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2:16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2:16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2:16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2:16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2:16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2:16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2:16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2:16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2:16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2:16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2:16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2:16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2:16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2:16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2:16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2:16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2:16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2:16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2:16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2:16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2:16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2:16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2:16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2:16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2:16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2:16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2:16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2:16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2:16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2:16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2:16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2:16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2:16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2:16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2:16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2:16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2:16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2:16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2:16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2:16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2:16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2:16" x14ac:dyDescent="0.2"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</row>
    <row r="442" spans="2:16" x14ac:dyDescent="0.2"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</row>
    <row r="443" spans="2:16" x14ac:dyDescent="0.2"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</row>
    <row r="444" spans="2:16" x14ac:dyDescent="0.2"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</row>
    <row r="445" spans="2:16" x14ac:dyDescent="0.2"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</row>
    <row r="446" spans="2:16" x14ac:dyDescent="0.2"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</row>
  </sheetData>
  <mergeCells count="177">
    <mergeCell ref="C106:D106"/>
    <mergeCell ref="C165:D165"/>
    <mergeCell ref="C166:D166"/>
    <mergeCell ref="C167:D167"/>
    <mergeCell ref="C168:D168"/>
    <mergeCell ref="B154:B155"/>
    <mergeCell ref="C154:C155"/>
    <mergeCell ref="C156:C157"/>
    <mergeCell ref="C158:C159"/>
    <mergeCell ref="B156:B157"/>
    <mergeCell ref="B158:B159"/>
    <mergeCell ref="C161:D161"/>
    <mergeCell ref="C162:D162"/>
    <mergeCell ref="C163:D163"/>
    <mergeCell ref="C164:D164"/>
    <mergeCell ref="C151:D151"/>
    <mergeCell ref="C152:D152"/>
    <mergeCell ref="C153:D153"/>
    <mergeCell ref="C160:D160"/>
    <mergeCell ref="C148:D148"/>
    <mergeCell ref="C149:D149"/>
    <mergeCell ref="C150:D150"/>
    <mergeCell ref="B124:R124"/>
    <mergeCell ref="B145:R145"/>
    <mergeCell ref="B146:B147"/>
    <mergeCell ref="C146:D147"/>
    <mergeCell ref="E146:F146"/>
    <mergeCell ref="G146:H146"/>
    <mergeCell ref="I146:R146"/>
    <mergeCell ref="C142:D142"/>
    <mergeCell ref="C143:D143"/>
    <mergeCell ref="C144:D144"/>
    <mergeCell ref="C137:D137"/>
    <mergeCell ref="C138:D138"/>
    <mergeCell ref="C139:D139"/>
    <mergeCell ref="C140:D140"/>
    <mergeCell ref="C141:D141"/>
    <mergeCell ref="C132:D132"/>
    <mergeCell ref="C133:D133"/>
    <mergeCell ref="C134:D134"/>
    <mergeCell ref="C135:D135"/>
    <mergeCell ref="C136:D136"/>
    <mergeCell ref="C127:D127"/>
    <mergeCell ref="C128:D128"/>
    <mergeCell ref="C129:D129"/>
    <mergeCell ref="C130:D130"/>
    <mergeCell ref="C131:D131"/>
    <mergeCell ref="C121:D121"/>
    <mergeCell ref="B125:B126"/>
    <mergeCell ref="C125:D126"/>
    <mergeCell ref="E125:F125"/>
    <mergeCell ref="G125:H125"/>
    <mergeCell ref="I125:R125"/>
    <mergeCell ref="C120:D120"/>
    <mergeCell ref="C115:D115"/>
    <mergeCell ref="C116:D116"/>
    <mergeCell ref="C117:D117"/>
    <mergeCell ref="C112:D112"/>
    <mergeCell ref="C113:D113"/>
    <mergeCell ref="C114:D114"/>
    <mergeCell ref="C118:D118"/>
    <mergeCell ref="C119:D119"/>
    <mergeCell ref="C107:D107"/>
    <mergeCell ref="C108:D108"/>
    <mergeCell ref="C109:D109"/>
    <mergeCell ref="C110:D110"/>
    <mergeCell ref="C111:D111"/>
    <mergeCell ref="C102:D102"/>
    <mergeCell ref="C103:D103"/>
    <mergeCell ref="C104:D104"/>
    <mergeCell ref="C105:D105"/>
    <mergeCell ref="C97:D97"/>
    <mergeCell ref="C98:D98"/>
    <mergeCell ref="C99:D99"/>
    <mergeCell ref="C100:D100"/>
    <mergeCell ref="C101:D101"/>
    <mergeCell ref="B94:R94"/>
    <mergeCell ref="B95:B96"/>
    <mergeCell ref="C95:D96"/>
    <mergeCell ref="E95:F95"/>
    <mergeCell ref="G95:H95"/>
    <mergeCell ref="I95:R95"/>
    <mergeCell ref="C88:D88"/>
    <mergeCell ref="C89:D89"/>
    <mergeCell ref="C90:D90"/>
    <mergeCell ref="C91:D91"/>
    <mergeCell ref="B1:I1"/>
    <mergeCell ref="B18:R18"/>
    <mergeCell ref="B39:P39"/>
    <mergeCell ref="B53:P53"/>
    <mergeCell ref="B68:R68"/>
    <mergeCell ref="C31:D31"/>
    <mergeCell ref="C32:D32"/>
    <mergeCell ref="C33:D33"/>
    <mergeCell ref="C34:D34"/>
    <mergeCell ref="C35:D35"/>
    <mergeCell ref="C36:D36"/>
    <mergeCell ref="C83:D83"/>
    <mergeCell ref="C84:D84"/>
    <mergeCell ref="C85:D85"/>
    <mergeCell ref="C86:D86"/>
    <mergeCell ref="C87:D87"/>
    <mergeCell ref="C71:D71"/>
    <mergeCell ref="C73:D73"/>
    <mergeCell ref="C74:D74"/>
    <mergeCell ref="C75:D75"/>
    <mergeCell ref="C76:D76"/>
    <mergeCell ref="C82:D82"/>
    <mergeCell ref="C77:D77"/>
    <mergeCell ref="C78:D78"/>
    <mergeCell ref="C79:D79"/>
    <mergeCell ref="C80:D80"/>
    <mergeCell ref="C81:D81"/>
    <mergeCell ref="C72:D72"/>
    <mergeCell ref="B69:B70"/>
    <mergeCell ref="C69:D70"/>
    <mergeCell ref="E69:F69"/>
    <mergeCell ref="G69:H69"/>
    <mergeCell ref="I69:R69"/>
    <mergeCell ref="C61:D61"/>
    <mergeCell ref="C62:D62"/>
    <mergeCell ref="C64:D64"/>
    <mergeCell ref="C65:D65"/>
    <mergeCell ref="C63:D63"/>
    <mergeCell ref="C56:D56"/>
    <mergeCell ref="C57:D57"/>
    <mergeCell ref="C58:D58"/>
    <mergeCell ref="C59:D59"/>
    <mergeCell ref="C60:D60"/>
    <mergeCell ref="C50:D50"/>
    <mergeCell ref="E40:F40"/>
    <mergeCell ref="G40:P40"/>
    <mergeCell ref="B54:B55"/>
    <mergeCell ref="C54:D55"/>
    <mergeCell ref="E54:F54"/>
    <mergeCell ref="G54:P54"/>
    <mergeCell ref="B48:B49"/>
    <mergeCell ref="C42:D42"/>
    <mergeCell ref="C43:D43"/>
    <mergeCell ref="C44:D44"/>
    <mergeCell ref="C45:D45"/>
    <mergeCell ref="C46:D46"/>
    <mergeCell ref="C47:D47"/>
    <mergeCell ref="C48:D48"/>
    <mergeCell ref="C49:D49"/>
    <mergeCell ref="C30:D30"/>
    <mergeCell ref="C40:D41"/>
    <mergeCell ref="B40:B41"/>
    <mergeCell ref="B22:B23"/>
    <mergeCell ref="B24:B25"/>
    <mergeCell ref="B26:B27"/>
    <mergeCell ref="B28:B29"/>
    <mergeCell ref="C21:D21"/>
    <mergeCell ref="C22:C23"/>
    <mergeCell ref="C24:C25"/>
    <mergeCell ref="C26:C27"/>
    <mergeCell ref="C28:C29"/>
    <mergeCell ref="B19:B20"/>
    <mergeCell ref="C19:D20"/>
    <mergeCell ref="E19:F19"/>
    <mergeCell ref="G19:H19"/>
    <mergeCell ref="I19:R19"/>
    <mergeCell ref="B3:B4"/>
    <mergeCell ref="C3:D4"/>
    <mergeCell ref="C5:D5"/>
    <mergeCell ref="E3:F3"/>
    <mergeCell ref="I3:I4"/>
    <mergeCell ref="C6:D6"/>
    <mergeCell ref="C7:D7"/>
    <mergeCell ref="C8:D8"/>
    <mergeCell ref="C11:D11"/>
    <mergeCell ref="C12:D12"/>
    <mergeCell ref="C13:D13"/>
    <mergeCell ref="C14:D14"/>
    <mergeCell ref="G3:H3"/>
    <mergeCell ref="C9:D9"/>
    <mergeCell ref="C10:D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963C-3434-4917-8163-EC57F49B1E82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B325-DBA4-4317-A675-F2B6E9E3C036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投资计划及资金筹措表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2018-06-03T12:32:53Z</dcterms:modified>
</cp:coreProperties>
</file>