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2128012-DE4C-4062-B6F6-E7B1303B1635}" xr6:coauthVersionLast="33" xr6:coauthVersionMax="33" xr10:uidLastSave="{00000000-0000-0000-0000-000000000000}"/>
  <bookViews>
    <workbookView xWindow="0" yWindow="0" windowWidth="22260" windowHeight="12645" tabRatio="736" xr2:uid="{00000000-000D-0000-FFFF-FFFF00000000}"/>
  </bookViews>
  <sheets>
    <sheet name="报表（合）" sheetId="1" r:id="rId1"/>
    <sheet name="分析" sheetId="7" r:id="rId2"/>
    <sheet name="蒙特卡洛1" sheetId="10" r:id="rId3"/>
    <sheet name="蒙特卡洛2" sheetId="11" r:id="rId4"/>
  </sheets>
  <definedNames>
    <definedName name="_xlchart.v1.0" hidden="1">蒙特卡洛2!$A$2:$A$41</definedName>
    <definedName name="_xlchart.v1.1" hidden="1">蒙特卡洛2!$E$2:$E$41</definedName>
    <definedName name="_xlchart.v1.2" hidden="1">蒙特卡洛2!$A$2:$A$41</definedName>
    <definedName name="_xlchart.v1.3" hidden="1">蒙特卡洛2!$A$2:$A$41</definedName>
    <definedName name="_xlchart.v1.4" hidden="1">蒙特卡洛2!$A$2:$A$41</definedName>
    <definedName name="_xlchart.v1.5" hidden="1">蒙特卡洛2!$A$2:$A$41</definedName>
    <definedName name="_xlchart.v1.6" hidden="1">蒙特卡洛2!$A$2:$A$41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8" i="1" l="1"/>
  <c r="Q98" i="1"/>
  <c r="D57" i="1"/>
  <c r="D4" i="1"/>
  <c r="E72" i="1"/>
  <c r="E41" i="1"/>
  <c r="D41" i="1"/>
  <c r="D72" i="1"/>
  <c r="G43" i="1"/>
  <c r="H43" i="1"/>
  <c r="I43" i="1"/>
  <c r="J43" i="1"/>
  <c r="K43" i="1"/>
  <c r="L43" i="1"/>
  <c r="M43" i="1"/>
  <c r="N43" i="1"/>
  <c r="O43" i="1"/>
  <c r="F43" i="1"/>
  <c r="E43" i="1"/>
  <c r="D43" i="1"/>
  <c r="G57" i="1"/>
  <c r="H57" i="1"/>
  <c r="I57" i="1"/>
  <c r="J57" i="1"/>
  <c r="K57" i="1"/>
  <c r="L57" i="1"/>
  <c r="M57" i="1"/>
  <c r="N57" i="1"/>
  <c r="O57" i="1"/>
  <c r="F58" i="1"/>
  <c r="F57" i="1"/>
  <c r="E57" i="1"/>
  <c r="F48" i="1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C32" i="11" l="1"/>
  <c r="C33" i="11"/>
  <c r="C34" i="11"/>
  <c r="C35" i="11"/>
  <c r="C36" i="11"/>
  <c r="C37" i="11"/>
  <c r="C38" i="11"/>
  <c r="C39" i="11"/>
  <c r="C40" i="11"/>
  <c r="C41" i="11"/>
  <c r="G41" i="1"/>
  <c r="H41" i="1"/>
  <c r="I41" i="1"/>
  <c r="J41" i="1"/>
  <c r="K41" i="1"/>
  <c r="L41" i="1"/>
  <c r="M41" i="1"/>
  <c r="N41" i="1"/>
  <c r="O41" i="1"/>
  <c r="F41" i="1"/>
  <c r="L192" i="7"/>
  <c r="L191" i="7"/>
  <c r="L190" i="7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2" i="11"/>
  <c r="D2" i="11" s="1"/>
  <c r="E2" i="11" s="1"/>
  <c r="B44" i="10"/>
  <c r="B17" i="10"/>
  <c r="B33" i="10"/>
  <c r="F3" i="10"/>
  <c r="F4" i="10"/>
  <c r="F2" i="10"/>
  <c r="G3" i="10"/>
  <c r="G4" i="10"/>
  <c r="G2" i="10"/>
  <c r="G129" i="1"/>
  <c r="H129" i="1"/>
  <c r="I129" i="1"/>
  <c r="J129" i="1"/>
  <c r="K129" i="1"/>
  <c r="L129" i="1"/>
  <c r="M129" i="1"/>
  <c r="N129" i="1"/>
  <c r="O129" i="1"/>
  <c r="P129" i="1"/>
  <c r="Q129" i="1"/>
  <c r="E133" i="1"/>
  <c r="D133" i="1"/>
  <c r="G154" i="7"/>
  <c r="G152" i="7"/>
  <c r="G153" i="7"/>
  <c r="G155" i="7"/>
  <c r="G156" i="7"/>
  <c r="G157" i="7"/>
  <c r="G159" i="7"/>
  <c r="G163" i="7"/>
  <c r="G167" i="7"/>
  <c r="G171" i="7"/>
  <c r="G175" i="7"/>
  <c r="G151" i="7"/>
  <c r="E177" i="7"/>
  <c r="G177" i="7" s="1"/>
  <c r="E176" i="7"/>
  <c r="G176" i="7" s="1"/>
  <c r="E175" i="7"/>
  <c r="E174" i="7"/>
  <c r="G174" i="7" s="1"/>
  <c r="E173" i="7"/>
  <c r="G173" i="7" s="1"/>
  <c r="E172" i="7"/>
  <c r="G172" i="7" s="1"/>
  <c r="E171" i="7"/>
  <c r="E170" i="7"/>
  <c r="G170" i="7" s="1"/>
  <c r="E169" i="7"/>
  <c r="G169" i="7" s="1"/>
  <c r="E168" i="7"/>
  <c r="G168" i="7" s="1"/>
  <c r="E167" i="7"/>
  <c r="E166" i="7"/>
  <c r="G166" i="7" s="1"/>
  <c r="E165" i="7"/>
  <c r="E164" i="7"/>
  <c r="G164" i="7" s="1"/>
  <c r="E163" i="7"/>
  <c r="E162" i="7"/>
  <c r="G162" i="7" s="1"/>
  <c r="E161" i="7"/>
  <c r="G161" i="7" s="1"/>
  <c r="E160" i="7"/>
  <c r="G160" i="7" s="1"/>
  <c r="E159" i="7"/>
  <c r="E158" i="7"/>
  <c r="G158" i="7" s="1"/>
  <c r="E157" i="7"/>
  <c r="E156" i="7"/>
  <c r="E155" i="7"/>
  <c r="E154" i="7"/>
  <c r="E153" i="7"/>
  <c r="E152" i="7"/>
  <c r="E151" i="7"/>
  <c r="Q100" i="7"/>
  <c r="Q98" i="7"/>
  <c r="P94" i="7"/>
  <c r="P95" i="7"/>
  <c r="D3" i="11" l="1"/>
  <c r="E3" i="11" s="1"/>
  <c r="B29" i="10"/>
  <c r="B41" i="10"/>
  <c r="B25" i="10"/>
  <c r="B8" i="10"/>
  <c r="B12" i="10"/>
  <c r="B37" i="10"/>
  <c r="B21" i="10"/>
  <c r="B16" i="10"/>
  <c r="A12" i="10"/>
  <c r="C28" i="10"/>
  <c r="A43" i="10"/>
  <c r="A19" i="10"/>
  <c r="C36" i="10"/>
  <c r="A8" i="10"/>
  <c r="C26" i="10"/>
  <c r="A20" i="10"/>
  <c r="C40" i="10"/>
  <c r="C32" i="10"/>
  <c r="C24" i="10"/>
  <c r="C44" i="10"/>
  <c r="C43" i="10"/>
  <c r="C23" i="10"/>
  <c r="C25" i="10"/>
  <c r="C27" i="10"/>
  <c r="C29" i="10"/>
  <c r="C31" i="10"/>
  <c r="C33" i="10"/>
  <c r="C35" i="10"/>
  <c r="C37" i="10"/>
  <c r="C39" i="10"/>
  <c r="C41" i="10"/>
  <c r="C45" i="10"/>
  <c r="C42" i="10"/>
  <c r="C46" i="10"/>
  <c r="C34" i="10"/>
  <c r="A16" i="10"/>
  <c r="C38" i="10"/>
  <c r="C30" i="10"/>
  <c r="A15" i="10"/>
  <c r="A11" i="10"/>
  <c r="A7" i="10"/>
  <c r="A40" i="10"/>
  <c r="A38" i="10"/>
  <c r="A36" i="10"/>
  <c r="A34" i="10"/>
  <c r="A32" i="10"/>
  <c r="A30" i="10"/>
  <c r="A28" i="10"/>
  <c r="A26" i="10"/>
  <c r="A24" i="10"/>
  <c r="B40" i="10"/>
  <c r="B36" i="10"/>
  <c r="B32" i="10"/>
  <c r="B28" i="10"/>
  <c r="B24" i="10"/>
  <c r="B20" i="10"/>
  <c r="B15" i="10"/>
  <c r="B11" i="10"/>
  <c r="B45" i="10"/>
  <c r="A44" i="10"/>
  <c r="B7" i="10"/>
  <c r="A22" i="10"/>
  <c r="A18" i="10"/>
  <c r="A14" i="10"/>
  <c r="A10" i="10"/>
  <c r="B39" i="10"/>
  <c r="B35" i="10"/>
  <c r="B31" i="10"/>
  <c r="B27" i="10"/>
  <c r="B23" i="10"/>
  <c r="B19" i="10"/>
  <c r="B14" i="10"/>
  <c r="B10" i="10"/>
  <c r="B46" i="10"/>
  <c r="A45" i="10"/>
  <c r="B42" i="10"/>
  <c r="A21" i="10"/>
  <c r="A17" i="10"/>
  <c r="A13" i="10"/>
  <c r="A9" i="10"/>
  <c r="A41" i="10"/>
  <c r="A39" i="10"/>
  <c r="A37" i="10"/>
  <c r="A35" i="10"/>
  <c r="A33" i="10"/>
  <c r="A31" i="10"/>
  <c r="A29" i="10"/>
  <c r="A27" i="10"/>
  <c r="A25" i="10"/>
  <c r="A23" i="10"/>
  <c r="B38" i="10"/>
  <c r="B34" i="10"/>
  <c r="B30" i="10"/>
  <c r="B26" i="10"/>
  <c r="B22" i="10"/>
  <c r="B18" i="10"/>
  <c r="B13" i="10"/>
  <c r="B9" i="10"/>
  <c r="A46" i="10"/>
  <c r="B43" i="10"/>
  <c r="A42" i="10"/>
  <c r="C8" i="10"/>
  <c r="C7" i="10"/>
  <c r="C19" i="10"/>
  <c r="C15" i="10"/>
  <c r="C11" i="10"/>
  <c r="C22" i="10"/>
  <c r="C18" i="10"/>
  <c r="C14" i="10"/>
  <c r="C10" i="10"/>
  <c r="C21" i="10"/>
  <c r="C17" i="10"/>
  <c r="C13" i="10"/>
  <c r="C9" i="10"/>
  <c r="C20" i="10"/>
  <c r="C16" i="10"/>
  <c r="C12" i="10"/>
  <c r="G165" i="7"/>
  <c r="I113" i="7"/>
  <c r="P113" i="7"/>
  <c r="F113" i="7"/>
  <c r="G113" i="7"/>
  <c r="K113" i="7"/>
  <c r="N113" i="7"/>
  <c r="J113" i="7"/>
  <c r="O113" i="7"/>
  <c r="E46" i="7"/>
  <c r="E46" i="1"/>
  <c r="F46" i="1"/>
  <c r="G46" i="1"/>
  <c r="H46" i="1"/>
  <c r="I46" i="1"/>
  <c r="J46" i="1"/>
  <c r="K46" i="1"/>
  <c r="L46" i="1"/>
  <c r="M46" i="1"/>
  <c r="N46" i="1"/>
  <c r="O46" i="1"/>
  <c r="D46" i="1"/>
  <c r="E45" i="1"/>
  <c r="F45" i="1"/>
  <c r="G45" i="1"/>
  <c r="H45" i="1"/>
  <c r="I45" i="1"/>
  <c r="J45" i="1"/>
  <c r="K45" i="1"/>
  <c r="L45" i="1"/>
  <c r="M45" i="1"/>
  <c r="D45" i="1"/>
  <c r="O44" i="1"/>
  <c r="N44" i="1"/>
  <c r="M44" i="1"/>
  <c r="L44" i="1"/>
  <c r="K44" i="1"/>
  <c r="J44" i="1"/>
  <c r="I44" i="1"/>
  <c r="H44" i="1"/>
  <c r="G44" i="1"/>
  <c r="F44" i="1"/>
  <c r="E44" i="1"/>
  <c r="D44" i="1"/>
  <c r="D4" i="11" l="1"/>
  <c r="E4" i="11" s="1"/>
  <c r="L113" i="7"/>
  <c r="Q113" i="7"/>
  <c r="M113" i="7"/>
  <c r="H113" i="7"/>
  <c r="G150" i="1"/>
  <c r="H150" i="1"/>
  <c r="I150" i="1"/>
  <c r="J150" i="1"/>
  <c r="K150" i="1"/>
  <c r="L150" i="1"/>
  <c r="M150" i="1"/>
  <c r="N150" i="1"/>
  <c r="O150" i="1"/>
  <c r="P150" i="1"/>
  <c r="Q150" i="1"/>
  <c r="D5" i="11" l="1"/>
  <c r="E5" i="11" s="1"/>
  <c r="D6" i="11" l="1"/>
  <c r="E6" i="11" s="1"/>
  <c r="D7" i="11" l="1"/>
  <c r="E7" i="11" s="1"/>
  <c r="D8" i="11" l="1"/>
  <c r="E8" i="11" s="1"/>
  <c r="D9" i="11" l="1"/>
  <c r="E9" i="11" s="1"/>
  <c r="D10" i="11" l="1"/>
  <c r="E10" i="11" s="1"/>
  <c r="D11" i="11" l="1"/>
  <c r="E11" i="11" s="1"/>
  <c r="D12" i="11" l="1"/>
  <c r="E12" i="11" s="1"/>
  <c r="D13" i="11" l="1"/>
  <c r="E13" i="11" s="1"/>
  <c r="D14" i="11" l="1"/>
  <c r="E14" i="11" s="1"/>
  <c r="D15" i="11" l="1"/>
  <c r="E15" i="11" s="1"/>
  <c r="D16" i="11" l="1"/>
  <c r="E16" i="11" s="1"/>
  <c r="D17" i="11" l="1"/>
  <c r="E17" i="11" s="1"/>
  <c r="D18" i="11" l="1"/>
  <c r="E18" i="11" s="1"/>
  <c r="D19" i="11" l="1"/>
  <c r="E19" i="11" s="1"/>
  <c r="D20" i="11" l="1"/>
  <c r="E20" i="11" s="1"/>
  <c r="D21" i="11" l="1"/>
  <c r="E21" i="11" s="1"/>
  <c r="D22" i="11" l="1"/>
  <c r="E22" i="11" s="1"/>
  <c r="D23" i="11" l="1"/>
  <c r="E23" i="11" s="1"/>
  <c r="H5" i="1"/>
  <c r="D164" i="1"/>
  <c r="Q119" i="7"/>
  <c r="G119" i="7"/>
  <c r="F119" i="7"/>
  <c r="P119" i="7"/>
  <c r="O119" i="7"/>
  <c r="N119" i="7"/>
  <c r="M119" i="7"/>
  <c r="L119" i="7"/>
  <c r="K119" i="7"/>
  <c r="J119" i="7"/>
  <c r="I119" i="7"/>
  <c r="H119" i="7"/>
  <c r="H109" i="7"/>
  <c r="H112" i="7" s="1"/>
  <c r="I109" i="7"/>
  <c r="I112" i="7" s="1"/>
  <c r="J109" i="7"/>
  <c r="J112" i="7" s="1"/>
  <c r="K109" i="7"/>
  <c r="K112" i="7" s="1"/>
  <c r="L109" i="7"/>
  <c r="L112" i="7" s="1"/>
  <c r="M109" i="7"/>
  <c r="M112" i="7" s="1"/>
  <c r="M120" i="7" s="1"/>
  <c r="N109" i="7"/>
  <c r="N112" i="7" s="1"/>
  <c r="O109" i="7"/>
  <c r="O112" i="7" s="1"/>
  <c r="P109" i="7"/>
  <c r="P112" i="7" s="1"/>
  <c r="Q109" i="7"/>
  <c r="Q112" i="7" s="1"/>
  <c r="Q120" i="7" s="1"/>
  <c r="K120" i="7"/>
  <c r="O120" i="7"/>
  <c r="G111" i="7"/>
  <c r="F111" i="7"/>
  <c r="G110" i="7"/>
  <c r="F110" i="7"/>
  <c r="D24" i="11" l="1"/>
  <c r="E24" i="11" s="1"/>
  <c r="I120" i="7"/>
  <c r="J120" i="7"/>
  <c r="L120" i="7"/>
  <c r="N120" i="7"/>
  <c r="H120" i="7"/>
  <c r="P120" i="7"/>
  <c r="Q121" i="7"/>
  <c r="Q122" i="7" s="1"/>
  <c r="M121" i="7"/>
  <c r="M122" i="7" s="1"/>
  <c r="P121" i="7"/>
  <c r="P122" i="7" s="1"/>
  <c r="L121" i="7"/>
  <c r="L122" i="7" s="1"/>
  <c r="H121" i="7"/>
  <c r="H122" i="7" s="1"/>
  <c r="I121" i="7"/>
  <c r="I122" i="7" s="1"/>
  <c r="O121" i="7"/>
  <c r="O122" i="7" s="1"/>
  <c r="K121" i="7"/>
  <c r="K122" i="7" s="1"/>
  <c r="N121" i="7"/>
  <c r="N122" i="7" s="1"/>
  <c r="J121" i="7"/>
  <c r="J122" i="7" s="1"/>
  <c r="F109" i="7"/>
  <c r="F112" i="7" s="1"/>
  <c r="G109" i="7"/>
  <c r="G112" i="7" s="1"/>
  <c r="P100" i="7"/>
  <c r="P96" i="7"/>
  <c r="D25" i="11" l="1"/>
  <c r="E25" i="11" s="1"/>
  <c r="F120" i="7"/>
  <c r="F121" i="7"/>
  <c r="F122" i="7" s="1"/>
  <c r="G120" i="7"/>
  <c r="G121" i="7"/>
  <c r="G122" i="7" s="1"/>
  <c r="D26" i="11" l="1"/>
  <c r="E26" i="11" s="1"/>
  <c r="F33" i="7"/>
  <c r="G33" i="7"/>
  <c r="G34" i="7" s="1"/>
  <c r="H33" i="7"/>
  <c r="I33" i="7"/>
  <c r="I34" i="7" s="1"/>
  <c r="J33" i="7"/>
  <c r="J34" i="7" s="1"/>
  <c r="K33" i="7"/>
  <c r="K34" i="7" s="1"/>
  <c r="L33" i="7"/>
  <c r="L34" i="7" s="1"/>
  <c r="M33" i="7"/>
  <c r="M34" i="7" s="1"/>
  <c r="N33" i="7"/>
  <c r="N34" i="7" s="1"/>
  <c r="O33" i="7"/>
  <c r="O34" i="7" s="1"/>
  <c r="P33" i="7"/>
  <c r="P34" i="7" s="1"/>
  <c r="Q33" i="7"/>
  <c r="Q34" i="7" s="1"/>
  <c r="R33" i="7"/>
  <c r="R34" i="7" s="1"/>
  <c r="F34" i="7"/>
  <c r="H34" i="7"/>
  <c r="E33" i="7"/>
  <c r="E21" i="7"/>
  <c r="F21" i="7"/>
  <c r="F22" i="7" s="1"/>
  <c r="G21" i="7"/>
  <c r="G22" i="7" s="1"/>
  <c r="H21" i="7"/>
  <c r="H22" i="7" s="1"/>
  <c r="I21" i="7"/>
  <c r="I22" i="7" s="1"/>
  <c r="J21" i="7"/>
  <c r="J22" i="7" s="1"/>
  <c r="K21" i="7"/>
  <c r="K22" i="7" s="1"/>
  <c r="L21" i="7"/>
  <c r="L22" i="7" s="1"/>
  <c r="M21" i="7"/>
  <c r="M22" i="7" s="1"/>
  <c r="N21" i="7"/>
  <c r="N22" i="7" s="1"/>
  <c r="O21" i="7"/>
  <c r="O22" i="7" s="1"/>
  <c r="P21" i="7"/>
  <c r="P22" i="7" s="1"/>
  <c r="Q21" i="7"/>
  <c r="Q22" i="7" s="1"/>
  <c r="R21" i="7"/>
  <c r="R22" i="7" s="1"/>
  <c r="F43" i="7"/>
  <c r="F44" i="7" s="1"/>
  <c r="G43" i="7"/>
  <c r="G44" i="7" s="1"/>
  <c r="H43" i="7"/>
  <c r="H44" i="7" s="1"/>
  <c r="I43" i="7"/>
  <c r="I44" i="7" s="1"/>
  <c r="J43" i="7"/>
  <c r="J44" i="7" s="1"/>
  <c r="K43" i="7"/>
  <c r="K44" i="7" s="1"/>
  <c r="L43" i="7"/>
  <c r="L44" i="7" s="1"/>
  <c r="M43" i="7"/>
  <c r="M44" i="7" s="1"/>
  <c r="N43" i="7"/>
  <c r="N44" i="7" s="1"/>
  <c r="O43" i="7"/>
  <c r="O44" i="7" s="1"/>
  <c r="P43" i="7"/>
  <c r="P44" i="7" s="1"/>
  <c r="Q43" i="7"/>
  <c r="Q44" i="7" s="1"/>
  <c r="R43" i="7"/>
  <c r="R44" i="7" s="1"/>
  <c r="E43" i="7"/>
  <c r="F41" i="7"/>
  <c r="F42" i="7" s="1"/>
  <c r="G41" i="7"/>
  <c r="G42" i="7" s="1"/>
  <c r="H41" i="7"/>
  <c r="H42" i="7" s="1"/>
  <c r="I41" i="7"/>
  <c r="I42" i="7" s="1"/>
  <c r="J41" i="7"/>
  <c r="J42" i="7" s="1"/>
  <c r="K41" i="7"/>
  <c r="K42" i="7" s="1"/>
  <c r="L41" i="7"/>
  <c r="L42" i="7" s="1"/>
  <c r="M41" i="7"/>
  <c r="M42" i="7" s="1"/>
  <c r="N41" i="7"/>
  <c r="N42" i="7" s="1"/>
  <c r="O41" i="7"/>
  <c r="O42" i="7" s="1"/>
  <c r="P41" i="7"/>
  <c r="P42" i="7" s="1"/>
  <c r="Q41" i="7"/>
  <c r="Q42" i="7" s="1"/>
  <c r="R41" i="7"/>
  <c r="R42" i="7" s="1"/>
  <c r="E41" i="7"/>
  <c r="F35" i="7"/>
  <c r="F36" i="7" s="1"/>
  <c r="G35" i="7"/>
  <c r="G36" i="7" s="1"/>
  <c r="H35" i="7"/>
  <c r="H36" i="7" s="1"/>
  <c r="I35" i="7"/>
  <c r="I36" i="7" s="1"/>
  <c r="J35" i="7"/>
  <c r="J36" i="7" s="1"/>
  <c r="K35" i="7"/>
  <c r="K36" i="7" s="1"/>
  <c r="L35" i="7"/>
  <c r="L36" i="7" s="1"/>
  <c r="M35" i="7"/>
  <c r="M36" i="7" s="1"/>
  <c r="N35" i="7"/>
  <c r="N36" i="7" s="1"/>
  <c r="O35" i="7"/>
  <c r="O36" i="7" s="1"/>
  <c r="P35" i="7"/>
  <c r="P36" i="7" s="1"/>
  <c r="Q35" i="7"/>
  <c r="Q36" i="7" s="1"/>
  <c r="R35" i="7"/>
  <c r="R36" i="7" s="1"/>
  <c r="E35" i="7"/>
  <c r="F31" i="7"/>
  <c r="F32" i="7" s="1"/>
  <c r="G31" i="7"/>
  <c r="G32" i="7" s="1"/>
  <c r="H31" i="7"/>
  <c r="H32" i="7" s="1"/>
  <c r="I31" i="7"/>
  <c r="I32" i="7" s="1"/>
  <c r="J31" i="7"/>
  <c r="J32" i="7" s="1"/>
  <c r="K31" i="7"/>
  <c r="K32" i="7" s="1"/>
  <c r="L31" i="7"/>
  <c r="L32" i="7" s="1"/>
  <c r="M31" i="7"/>
  <c r="M32" i="7" s="1"/>
  <c r="N31" i="7"/>
  <c r="N32" i="7" s="1"/>
  <c r="O31" i="7"/>
  <c r="O32" i="7" s="1"/>
  <c r="P31" i="7"/>
  <c r="P32" i="7" s="1"/>
  <c r="Q31" i="7"/>
  <c r="Q32" i="7" s="1"/>
  <c r="R31" i="7"/>
  <c r="R32" i="7" s="1"/>
  <c r="E31" i="7"/>
  <c r="F29" i="7"/>
  <c r="F30" i="7" s="1"/>
  <c r="G29" i="7"/>
  <c r="G30" i="7" s="1"/>
  <c r="H29" i="7"/>
  <c r="H30" i="7" s="1"/>
  <c r="I29" i="7"/>
  <c r="I30" i="7" s="1"/>
  <c r="J29" i="7"/>
  <c r="J30" i="7" s="1"/>
  <c r="K29" i="7"/>
  <c r="K30" i="7" s="1"/>
  <c r="L29" i="7"/>
  <c r="L30" i="7" s="1"/>
  <c r="M29" i="7"/>
  <c r="M30" i="7" s="1"/>
  <c r="N29" i="7"/>
  <c r="N30" i="7" s="1"/>
  <c r="O29" i="7"/>
  <c r="O30" i="7" s="1"/>
  <c r="P29" i="7"/>
  <c r="P30" i="7" s="1"/>
  <c r="Q29" i="7"/>
  <c r="Q30" i="7" s="1"/>
  <c r="R29" i="7"/>
  <c r="R30" i="7" s="1"/>
  <c r="E29" i="7"/>
  <c r="F27" i="7"/>
  <c r="F28" i="7" s="1"/>
  <c r="G27" i="7"/>
  <c r="H27" i="7"/>
  <c r="I27" i="7"/>
  <c r="I28" i="7" s="1"/>
  <c r="J27" i="7"/>
  <c r="J28" i="7" s="1"/>
  <c r="K27" i="7"/>
  <c r="K28" i="7" s="1"/>
  <c r="L27" i="7"/>
  <c r="L28" i="7" s="1"/>
  <c r="M27" i="7"/>
  <c r="M28" i="7" s="1"/>
  <c r="N27" i="7"/>
  <c r="N28" i="7" s="1"/>
  <c r="O27" i="7"/>
  <c r="O28" i="7" s="1"/>
  <c r="P27" i="7"/>
  <c r="P28" i="7" s="1"/>
  <c r="Q27" i="7"/>
  <c r="Q28" i="7" s="1"/>
  <c r="R27" i="7"/>
  <c r="R28" i="7" s="1"/>
  <c r="G28" i="7"/>
  <c r="H28" i="7"/>
  <c r="E27" i="7"/>
  <c r="F25" i="7"/>
  <c r="F26" i="7" s="1"/>
  <c r="G25" i="7"/>
  <c r="G26" i="7" s="1"/>
  <c r="H25" i="7"/>
  <c r="H26" i="7" s="1"/>
  <c r="I25" i="7"/>
  <c r="I26" i="7" s="1"/>
  <c r="J25" i="7"/>
  <c r="J26" i="7" s="1"/>
  <c r="K25" i="7"/>
  <c r="K26" i="7" s="1"/>
  <c r="L25" i="7"/>
  <c r="L26" i="7" s="1"/>
  <c r="M25" i="7"/>
  <c r="M26" i="7" s="1"/>
  <c r="N25" i="7"/>
  <c r="N26" i="7" s="1"/>
  <c r="O25" i="7"/>
  <c r="O26" i="7" s="1"/>
  <c r="P25" i="7"/>
  <c r="P26" i="7" s="1"/>
  <c r="Q25" i="7"/>
  <c r="Q26" i="7" s="1"/>
  <c r="R25" i="7"/>
  <c r="R26" i="7" s="1"/>
  <c r="E25" i="7"/>
  <c r="F39" i="7"/>
  <c r="F40" i="7" s="1"/>
  <c r="G39" i="7"/>
  <c r="H39" i="7"/>
  <c r="H40" i="7" s="1"/>
  <c r="I39" i="7"/>
  <c r="I40" i="7" s="1"/>
  <c r="J39" i="7"/>
  <c r="J40" i="7" s="1"/>
  <c r="K39" i="7"/>
  <c r="K40" i="7" s="1"/>
  <c r="L39" i="7"/>
  <c r="L40" i="7" s="1"/>
  <c r="M39" i="7"/>
  <c r="M40" i="7" s="1"/>
  <c r="N39" i="7"/>
  <c r="N40" i="7" s="1"/>
  <c r="O39" i="7"/>
  <c r="O40" i="7" s="1"/>
  <c r="P39" i="7"/>
  <c r="P40" i="7" s="1"/>
  <c r="Q39" i="7"/>
  <c r="Q40" i="7" s="1"/>
  <c r="R39" i="7"/>
  <c r="R40" i="7" s="1"/>
  <c r="G40" i="7"/>
  <c r="E39" i="7"/>
  <c r="F37" i="7"/>
  <c r="F38" i="7" s="1"/>
  <c r="G37" i="7"/>
  <c r="G38" i="7" s="1"/>
  <c r="H37" i="7"/>
  <c r="H38" i="7" s="1"/>
  <c r="I37" i="7"/>
  <c r="I38" i="7" s="1"/>
  <c r="J37" i="7"/>
  <c r="J38" i="7" s="1"/>
  <c r="K37" i="7"/>
  <c r="K38" i="7" s="1"/>
  <c r="L37" i="7"/>
  <c r="L38" i="7" s="1"/>
  <c r="M37" i="7"/>
  <c r="M38" i="7" s="1"/>
  <c r="N37" i="7"/>
  <c r="N38" i="7" s="1"/>
  <c r="O37" i="7"/>
  <c r="O38" i="7" s="1"/>
  <c r="P37" i="7"/>
  <c r="P38" i="7" s="1"/>
  <c r="Q37" i="7"/>
  <c r="Q38" i="7" s="1"/>
  <c r="R37" i="7"/>
  <c r="R38" i="7" s="1"/>
  <c r="E37" i="7"/>
  <c r="F23" i="7"/>
  <c r="F24" i="7" s="1"/>
  <c r="G23" i="7"/>
  <c r="G24" i="7" s="1"/>
  <c r="H23" i="7"/>
  <c r="H24" i="7" s="1"/>
  <c r="I23" i="7"/>
  <c r="I24" i="7" s="1"/>
  <c r="J23" i="7"/>
  <c r="J24" i="7" s="1"/>
  <c r="K23" i="7"/>
  <c r="K24" i="7" s="1"/>
  <c r="L23" i="7"/>
  <c r="L24" i="7" s="1"/>
  <c r="M23" i="7"/>
  <c r="M24" i="7" s="1"/>
  <c r="N23" i="7"/>
  <c r="N24" i="7" s="1"/>
  <c r="O23" i="7"/>
  <c r="O24" i="7" s="1"/>
  <c r="P23" i="7"/>
  <c r="P24" i="7" s="1"/>
  <c r="Q23" i="7"/>
  <c r="Q24" i="7" s="1"/>
  <c r="R23" i="7"/>
  <c r="R24" i="7" s="1"/>
  <c r="E23" i="7"/>
  <c r="F19" i="7"/>
  <c r="F20" i="7" s="1"/>
  <c r="G19" i="7"/>
  <c r="G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  <c r="R19" i="7"/>
  <c r="R20" i="7" s="1"/>
  <c r="E19" i="7"/>
  <c r="F17" i="7"/>
  <c r="F18" i="7" s="1"/>
  <c r="G17" i="7"/>
  <c r="H17" i="7"/>
  <c r="H18" i="7" s="1"/>
  <c r="I17" i="7"/>
  <c r="I18" i="7" s="1"/>
  <c r="J17" i="7"/>
  <c r="J18" i="7" s="1"/>
  <c r="K17" i="7"/>
  <c r="K18" i="7" s="1"/>
  <c r="L17" i="7"/>
  <c r="L18" i="7" s="1"/>
  <c r="M17" i="7"/>
  <c r="M18" i="7" s="1"/>
  <c r="N17" i="7"/>
  <c r="N18" i="7" s="1"/>
  <c r="O17" i="7"/>
  <c r="O18" i="7" s="1"/>
  <c r="P17" i="7"/>
  <c r="P18" i="7" s="1"/>
  <c r="Q17" i="7"/>
  <c r="Q18" i="7" s="1"/>
  <c r="R17" i="7"/>
  <c r="R18" i="7" s="1"/>
  <c r="G18" i="7"/>
  <c r="E17" i="7"/>
  <c r="F15" i="7"/>
  <c r="F16" i="7" s="1"/>
  <c r="G15" i="7"/>
  <c r="G16" i="7" s="1"/>
  <c r="H15" i="7"/>
  <c r="H16" i="7" s="1"/>
  <c r="I15" i="7"/>
  <c r="I16" i="7" s="1"/>
  <c r="J15" i="7"/>
  <c r="J16" i="7" s="1"/>
  <c r="K15" i="7"/>
  <c r="K16" i="7" s="1"/>
  <c r="L15" i="7"/>
  <c r="L16" i="7" s="1"/>
  <c r="M15" i="7"/>
  <c r="M16" i="7" s="1"/>
  <c r="N15" i="7"/>
  <c r="N16" i="7" s="1"/>
  <c r="O15" i="7"/>
  <c r="O16" i="7" s="1"/>
  <c r="P15" i="7"/>
  <c r="P16" i="7" s="1"/>
  <c r="Q15" i="7"/>
  <c r="Q16" i="7" s="1"/>
  <c r="R15" i="7"/>
  <c r="R16" i="7" s="1"/>
  <c r="E15" i="7"/>
  <c r="O193" i="1"/>
  <c r="O194" i="1" s="1"/>
  <c r="N193" i="1"/>
  <c r="N194" i="1" s="1"/>
  <c r="M193" i="1"/>
  <c r="M194" i="1" s="1"/>
  <c r="L193" i="1"/>
  <c r="L194" i="1" s="1"/>
  <c r="K193" i="1"/>
  <c r="K194" i="1" s="1"/>
  <c r="J193" i="1"/>
  <c r="J194" i="1" s="1"/>
  <c r="I193" i="1"/>
  <c r="I194" i="1" s="1"/>
  <c r="H193" i="1"/>
  <c r="H194" i="1" s="1"/>
  <c r="G193" i="1"/>
  <c r="G194" i="1" s="1"/>
  <c r="F193" i="1"/>
  <c r="F194" i="1" s="1"/>
  <c r="E193" i="1"/>
  <c r="E194" i="1" s="1"/>
  <c r="D193" i="1"/>
  <c r="D194" i="1" s="1"/>
  <c r="E186" i="1"/>
  <c r="F186" i="1"/>
  <c r="G186" i="1"/>
  <c r="H186" i="1"/>
  <c r="D186" i="1"/>
  <c r="D187" i="1" s="1"/>
  <c r="E187" i="1" s="1"/>
  <c r="E183" i="1"/>
  <c r="F183" i="1"/>
  <c r="G183" i="1"/>
  <c r="H183" i="1"/>
  <c r="I183" i="1"/>
  <c r="J183" i="1"/>
  <c r="K183" i="1"/>
  <c r="L183" i="1"/>
  <c r="M183" i="1"/>
  <c r="D183" i="1"/>
  <c r="D184" i="1" s="1"/>
  <c r="O175" i="1"/>
  <c r="E175" i="1"/>
  <c r="F175" i="1"/>
  <c r="G175" i="1"/>
  <c r="H175" i="1"/>
  <c r="I175" i="1"/>
  <c r="J175" i="1"/>
  <c r="K175" i="1"/>
  <c r="L175" i="1"/>
  <c r="M175" i="1"/>
  <c r="N175" i="1"/>
  <c r="D175" i="1"/>
  <c r="D176" i="1" s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D166" i="1"/>
  <c r="G155" i="1"/>
  <c r="H155" i="1"/>
  <c r="I155" i="1"/>
  <c r="F155" i="1"/>
  <c r="E154" i="1"/>
  <c r="E164" i="1" s="1"/>
  <c r="F154" i="1"/>
  <c r="G154" i="1"/>
  <c r="D154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D141" i="1"/>
  <c r="E138" i="1"/>
  <c r="F7" i="1"/>
  <c r="F134" i="1" s="1"/>
  <c r="G7" i="1"/>
  <c r="G134" i="1" s="1"/>
  <c r="D27" i="11" l="1"/>
  <c r="E27" i="11" s="1"/>
  <c r="F187" i="1"/>
  <c r="E176" i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E184" i="1"/>
  <c r="F184" i="1" s="1"/>
  <c r="G184" i="1" s="1"/>
  <c r="H184" i="1" s="1"/>
  <c r="I184" i="1" s="1"/>
  <c r="J184" i="1" s="1"/>
  <c r="K184" i="1" s="1"/>
  <c r="L184" i="1" s="1"/>
  <c r="M184" i="1" s="1"/>
  <c r="G187" i="1"/>
  <c r="H187" i="1" s="1"/>
  <c r="E167" i="1"/>
  <c r="E139" i="1"/>
  <c r="E142" i="1" s="1"/>
  <c r="D139" i="1"/>
  <c r="D138" i="1"/>
  <c r="D167" i="1"/>
  <c r="D165" i="1"/>
  <c r="E165" i="1" s="1"/>
  <c r="D50" i="1"/>
  <c r="D28" i="11" l="1"/>
  <c r="E28" i="11" s="1"/>
  <c r="D168" i="1"/>
  <c r="D140" i="1"/>
  <c r="D142" i="1"/>
  <c r="E168" i="1"/>
  <c r="E116" i="1"/>
  <c r="F116" i="1" s="1"/>
  <c r="D116" i="1"/>
  <c r="P111" i="1"/>
  <c r="O111" i="1"/>
  <c r="N111" i="1"/>
  <c r="M111" i="1"/>
  <c r="L111" i="1"/>
  <c r="K111" i="1"/>
  <c r="J111" i="1"/>
  <c r="I111" i="1"/>
  <c r="H111" i="1"/>
  <c r="G111" i="1"/>
  <c r="P110" i="1"/>
  <c r="O110" i="1"/>
  <c r="N110" i="1"/>
  <c r="M110" i="1"/>
  <c r="L110" i="1"/>
  <c r="K110" i="1"/>
  <c r="J110" i="1"/>
  <c r="I110" i="1"/>
  <c r="H110" i="1"/>
  <c r="G110" i="1"/>
  <c r="F110" i="1"/>
  <c r="I107" i="1"/>
  <c r="H107" i="1"/>
  <c r="G107" i="1"/>
  <c r="F107" i="1"/>
  <c r="N106" i="1"/>
  <c r="M106" i="1"/>
  <c r="L106" i="1"/>
  <c r="K106" i="1"/>
  <c r="J106" i="1"/>
  <c r="I106" i="1"/>
  <c r="H106" i="1"/>
  <c r="G106" i="1"/>
  <c r="F106" i="1"/>
  <c r="P105" i="1"/>
  <c r="O105" i="1"/>
  <c r="N105" i="1"/>
  <c r="M105" i="1"/>
  <c r="L105" i="1"/>
  <c r="K105" i="1"/>
  <c r="J105" i="1"/>
  <c r="I105" i="1"/>
  <c r="H105" i="1"/>
  <c r="G105" i="1"/>
  <c r="F105" i="1"/>
  <c r="E98" i="1"/>
  <c r="I88" i="1"/>
  <c r="H88" i="1"/>
  <c r="G88" i="1"/>
  <c r="F88" i="1"/>
  <c r="H87" i="1"/>
  <c r="G87" i="1"/>
  <c r="F87" i="1"/>
  <c r="F85" i="1"/>
  <c r="E83" i="1"/>
  <c r="E82" i="1" s="1"/>
  <c r="D83" i="1"/>
  <c r="D82" i="1" s="1"/>
  <c r="Q80" i="1"/>
  <c r="O50" i="1"/>
  <c r="Q74" i="1" s="1"/>
  <c r="N50" i="1"/>
  <c r="P74" i="1" s="1"/>
  <c r="M50" i="1"/>
  <c r="O74" i="1" s="1"/>
  <c r="L50" i="1"/>
  <c r="N74" i="1" s="1"/>
  <c r="K50" i="1"/>
  <c r="M74" i="1" s="1"/>
  <c r="J50" i="1"/>
  <c r="L74" i="1" s="1"/>
  <c r="I50" i="1"/>
  <c r="H50" i="1"/>
  <c r="J74" i="1" s="1"/>
  <c r="G50" i="1"/>
  <c r="F50" i="1"/>
  <c r="H74" i="1" s="1"/>
  <c r="E50" i="1"/>
  <c r="G74" i="1" s="1"/>
  <c r="F74" i="1"/>
  <c r="E11" i="1"/>
  <c r="E8" i="1" s="1"/>
  <c r="D11" i="1"/>
  <c r="D8" i="1" s="1"/>
  <c r="H9" i="1"/>
  <c r="F12" i="1"/>
  <c r="F24" i="1" s="1"/>
  <c r="G22" i="1" s="1"/>
  <c r="F111" i="1" s="1"/>
  <c r="F4" i="1"/>
  <c r="E4" i="1"/>
  <c r="D104" i="1"/>
  <c r="D98" i="1" s="1"/>
  <c r="D29" i="11" l="1"/>
  <c r="E29" i="11" s="1"/>
  <c r="I74" i="1"/>
  <c r="H109" i="1"/>
  <c r="L109" i="1"/>
  <c r="L114" i="1" s="1"/>
  <c r="P109" i="1"/>
  <c r="P114" i="1" s="1"/>
  <c r="J58" i="1"/>
  <c r="E140" i="1"/>
  <c r="D143" i="1"/>
  <c r="K74" i="1"/>
  <c r="E75" i="1"/>
  <c r="E91" i="1" s="1"/>
  <c r="J109" i="1"/>
  <c r="J114" i="1" s="1"/>
  <c r="N109" i="1"/>
  <c r="N114" i="1" s="1"/>
  <c r="G116" i="1"/>
  <c r="H116" i="1"/>
  <c r="I116" i="1" s="1"/>
  <c r="J116" i="1" s="1"/>
  <c r="K116" i="1" s="1"/>
  <c r="L116" i="1" s="1"/>
  <c r="M116" i="1" s="1"/>
  <c r="N116" i="1" s="1"/>
  <c r="O116" i="1" s="1"/>
  <c r="P116" i="1" s="1"/>
  <c r="Q116" i="1" s="1"/>
  <c r="H58" i="1"/>
  <c r="Q130" i="1"/>
  <c r="Q151" i="1"/>
  <c r="G109" i="1"/>
  <c r="K109" i="1"/>
  <c r="K114" i="1" s="1"/>
  <c r="O109" i="1"/>
  <c r="O114" i="1" s="1"/>
  <c r="F8" i="1"/>
  <c r="D75" i="1"/>
  <c r="D91" i="1" s="1"/>
  <c r="D92" i="1" s="1"/>
  <c r="D113" i="1"/>
  <c r="D114" i="1" s="1"/>
  <c r="E21" i="1"/>
  <c r="H11" i="1"/>
  <c r="L58" i="1"/>
  <c r="F76" i="1"/>
  <c r="G85" i="1"/>
  <c r="H7" i="1"/>
  <c r="H4" i="1" s="1"/>
  <c r="G4" i="1"/>
  <c r="G12" i="1"/>
  <c r="H12" i="1" s="1"/>
  <c r="D23" i="1"/>
  <c r="F26" i="1"/>
  <c r="F158" i="1" s="1"/>
  <c r="N58" i="1"/>
  <c r="E23" i="1"/>
  <c r="E58" i="1"/>
  <c r="I58" i="1"/>
  <c r="M58" i="1"/>
  <c r="I109" i="1"/>
  <c r="M109" i="1"/>
  <c r="M114" i="1" s="1"/>
  <c r="E113" i="1"/>
  <c r="E114" i="1" s="1"/>
  <c r="F109" i="1"/>
  <c r="G58" i="1"/>
  <c r="K58" i="1"/>
  <c r="O58" i="1"/>
  <c r="D30" i="11" l="1"/>
  <c r="E30" i="11" s="1"/>
  <c r="Q81" i="1"/>
  <c r="Q131" i="1" s="1"/>
  <c r="P162" i="1"/>
  <c r="P136" i="1"/>
  <c r="Q162" i="1"/>
  <c r="Q136" i="1"/>
  <c r="K162" i="1"/>
  <c r="K136" i="1"/>
  <c r="H162" i="1"/>
  <c r="H136" i="1"/>
  <c r="N162" i="1"/>
  <c r="N136" i="1"/>
  <c r="E143" i="1"/>
  <c r="Q152" i="1"/>
  <c r="O162" i="1"/>
  <c r="O136" i="1"/>
  <c r="D108" i="1"/>
  <c r="D120" i="1"/>
  <c r="J162" i="1"/>
  <c r="J136" i="1"/>
  <c r="E108" i="1"/>
  <c r="E120" i="1"/>
  <c r="E92" i="1"/>
  <c r="L162" i="1"/>
  <c r="L136" i="1"/>
  <c r="M162" i="1"/>
  <c r="M136" i="1"/>
  <c r="G162" i="1"/>
  <c r="G136" i="1"/>
  <c r="I162" i="1"/>
  <c r="I136" i="1"/>
  <c r="Q26" i="1"/>
  <c r="M26" i="1"/>
  <c r="I26" i="1"/>
  <c r="I158" i="1" s="1"/>
  <c r="O26" i="1"/>
  <c r="K26" i="1"/>
  <c r="N26" i="1"/>
  <c r="L26" i="1"/>
  <c r="P26" i="1"/>
  <c r="Q28" i="1"/>
  <c r="Q157" i="1" s="1"/>
  <c r="J26" i="1"/>
  <c r="H26" i="1"/>
  <c r="H158" i="1" s="1"/>
  <c r="H8" i="1"/>
  <c r="G24" i="1"/>
  <c r="G26" i="1" s="1"/>
  <c r="G158" i="1" s="1"/>
  <c r="G8" i="1"/>
  <c r="G76" i="1"/>
  <c r="F21" i="1"/>
  <c r="D31" i="11" l="1"/>
  <c r="H48" i="1"/>
  <c r="H49" i="1" s="1"/>
  <c r="H59" i="1" s="1"/>
  <c r="H60" i="1" s="1"/>
  <c r="J158" i="1"/>
  <c r="K48" i="1"/>
  <c r="K49" i="1" s="1"/>
  <c r="K59" i="1" s="1"/>
  <c r="K60" i="1" s="1"/>
  <c r="M158" i="1"/>
  <c r="I48" i="1"/>
  <c r="I49" i="1" s="1"/>
  <c r="I59" i="1" s="1"/>
  <c r="I60" i="1" s="1"/>
  <c r="K158" i="1"/>
  <c r="N48" i="1"/>
  <c r="N49" i="1" s="1"/>
  <c r="N51" i="1" s="1"/>
  <c r="P158" i="1"/>
  <c r="M48" i="1"/>
  <c r="M49" i="1" s="1"/>
  <c r="M59" i="1" s="1"/>
  <c r="M60" i="1" s="1"/>
  <c r="O158" i="1"/>
  <c r="L48" i="1"/>
  <c r="L49" i="1" s="1"/>
  <c r="L59" i="1" s="1"/>
  <c r="L60" i="1" s="1"/>
  <c r="N158" i="1"/>
  <c r="O48" i="1"/>
  <c r="O49" i="1" s="1"/>
  <c r="O51" i="1" s="1"/>
  <c r="Q158" i="1"/>
  <c r="J48" i="1"/>
  <c r="J49" i="1" s="1"/>
  <c r="J51" i="1" s="1"/>
  <c r="L158" i="1"/>
  <c r="F113" i="1"/>
  <c r="F114" i="1" s="1"/>
  <c r="F25" i="1"/>
  <c r="D48" i="1" s="1"/>
  <c r="G21" i="1"/>
  <c r="Q33" i="1"/>
  <c r="Q89" i="1"/>
  <c r="E31" i="11" l="1"/>
  <c r="D32" i="11"/>
  <c r="L161" i="1"/>
  <c r="L135" i="1"/>
  <c r="P161" i="1"/>
  <c r="P135" i="1"/>
  <c r="Q161" i="1"/>
  <c r="Q135" i="1"/>
  <c r="N59" i="1"/>
  <c r="N60" i="1" s="1"/>
  <c r="P73" i="1" s="1"/>
  <c r="P72" i="1" s="1"/>
  <c r="J59" i="1"/>
  <c r="J60" i="1" s="1"/>
  <c r="L73" i="1" s="1"/>
  <c r="L72" i="1" s="1"/>
  <c r="O59" i="1"/>
  <c r="O60" i="1" s="1"/>
  <c r="O61" i="1" s="1"/>
  <c r="M51" i="1"/>
  <c r="O135" i="1" s="1"/>
  <c r="L51" i="1"/>
  <c r="H51" i="1"/>
  <c r="J135" i="1" s="1"/>
  <c r="K51" i="1"/>
  <c r="M135" i="1" s="1"/>
  <c r="I51" i="1"/>
  <c r="K135" i="1" s="1"/>
  <c r="D49" i="1"/>
  <c r="F156" i="1"/>
  <c r="K61" i="1"/>
  <c r="M73" i="1"/>
  <c r="M72" i="1" s="1"/>
  <c r="M61" i="1"/>
  <c r="O73" i="1"/>
  <c r="O72" i="1" s="1"/>
  <c r="N73" i="1"/>
  <c r="N72" i="1" s="1"/>
  <c r="L61" i="1"/>
  <c r="G113" i="1"/>
  <c r="G114" i="1" s="1"/>
  <c r="G25" i="1"/>
  <c r="H21" i="1"/>
  <c r="I61" i="1"/>
  <c r="K73" i="1"/>
  <c r="K72" i="1" s="1"/>
  <c r="J73" i="1"/>
  <c r="J72" i="1" s="1"/>
  <c r="H61" i="1"/>
  <c r="D33" i="11" l="1"/>
  <c r="E32" i="11"/>
  <c r="N61" i="1"/>
  <c r="P86" i="1" s="1"/>
  <c r="P82" i="1" s="1"/>
  <c r="P91" i="1" s="1"/>
  <c r="N161" i="1"/>
  <c r="N135" i="1"/>
  <c r="N138" i="1" s="1"/>
  <c r="Q73" i="1"/>
  <c r="Q72" i="1" s="1"/>
  <c r="J61" i="1"/>
  <c r="L137" i="1" s="1"/>
  <c r="L139" i="1" s="1"/>
  <c r="L142" i="1" s="1"/>
  <c r="K138" i="1"/>
  <c r="K161" i="1"/>
  <c r="O161" i="1"/>
  <c r="M161" i="1"/>
  <c r="J161" i="1"/>
  <c r="D59" i="1"/>
  <c r="D51" i="1"/>
  <c r="Q138" i="1"/>
  <c r="K86" i="1"/>
  <c r="K82" i="1" s="1"/>
  <c r="K91" i="1" s="1"/>
  <c r="K137" i="1"/>
  <c r="K139" i="1" s="1"/>
  <c r="K142" i="1" s="1"/>
  <c r="K163" i="1"/>
  <c r="E48" i="1"/>
  <c r="E49" i="1" s="1"/>
  <c r="E59" i="1" s="1"/>
  <c r="E60" i="1" s="1"/>
  <c r="G156" i="1"/>
  <c r="P138" i="1"/>
  <c r="N86" i="1"/>
  <c r="N82" i="1" s="1"/>
  <c r="N91" i="1" s="1"/>
  <c r="N137" i="1"/>
  <c r="N163" i="1"/>
  <c r="J138" i="1"/>
  <c r="O138" i="1"/>
  <c r="Q86" i="1"/>
  <c r="Q82" i="1" s="1"/>
  <c r="Q163" i="1"/>
  <c r="Q164" i="1" s="1"/>
  <c r="Q167" i="1" s="1"/>
  <c r="Q137" i="1"/>
  <c r="Q139" i="1" s="1"/>
  <c r="Q142" i="1" s="1"/>
  <c r="M86" i="1"/>
  <c r="M82" i="1" s="1"/>
  <c r="M163" i="1"/>
  <c r="M137" i="1"/>
  <c r="M139" i="1" s="1"/>
  <c r="M142" i="1" s="1"/>
  <c r="M138" i="1"/>
  <c r="J86" i="1"/>
  <c r="J82" i="1" s="1"/>
  <c r="J137" i="1"/>
  <c r="J139" i="1" s="1"/>
  <c r="J142" i="1" s="1"/>
  <c r="J163" i="1"/>
  <c r="O86" i="1"/>
  <c r="O82" i="1" s="1"/>
  <c r="O91" i="1" s="1"/>
  <c r="O163" i="1"/>
  <c r="O137" i="1"/>
  <c r="O139" i="1" s="1"/>
  <c r="O142" i="1" s="1"/>
  <c r="L138" i="1"/>
  <c r="L62" i="1"/>
  <c r="L63" i="1" s="1"/>
  <c r="L65" i="1" s="1"/>
  <c r="I62" i="1"/>
  <c r="I63" i="1" s="1"/>
  <c r="I65" i="1" s="1"/>
  <c r="M62" i="1"/>
  <c r="M63" i="1" s="1"/>
  <c r="M65" i="1" s="1"/>
  <c r="H62" i="1"/>
  <c r="O62" i="1"/>
  <c r="H113" i="1"/>
  <c r="H114" i="1" s="1"/>
  <c r="I21" i="1"/>
  <c r="H25" i="1"/>
  <c r="K62" i="1"/>
  <c r="D34" i="11" l="1"/>
  <c r="E33" i="11"/>
  <c r="L86" i="1"/>
  <c r="L82" i="1" s="1"/>
  <c r="L91" i="1" s="1"/>
  <c r="M164" i="1"/>
  <c r="M167" i="1" s="1"/>
  <c r="O164" i="1"/>
  <c r="O167" i="1" s="1"/>
  <c r="N62" i="1"/>
  <c r="N63" i="1" s="1"/>
  <c r="N65" i="1" s="1"/>
  <c r="P137" i="1"/>
  <c r="P139" i="1" s="1"/>
  <c r="P142" i="1" s="1"/>
  <c r="P163" i="1"/>
  <c r="P164" i="1" s="1"/>
  <c r="P167" i="1" s="1"/>
  <c r="J164" i="1"/>
  <c r="J167" i="1" s="1"/>
  <c r="N164" i="1"/>
  <c r="N167" i="1" s="1"/>
  <c r="Q91" i="1"/>
  <c r="J62" i="1"/>
  <c r="J63" i="1" s="1"/>
  <c r="J65" i="1" s="1"/>
  <c r="K164" i="1"/>
  <c r="K167" i="1" s="1"/>
  <c r="N139" i="1"/>
  <c r="N142" i="1" s="1"/>
  <c r="F161" i="1"/>
  <c r="F135" i="1"/>
  <c r="L163" i="1"/>
  <c r="L164" i="1" s="1"/>
  <c r="L167" i="1" s="1"/>
  <c r="E51" i="1"/>
  <c r="J91" i="1"/>
  <c r="M91" i="1"/>
  <c r="F48" i="1"/>
  <c r="F49" i="1" s="1"/>
  <c r="F51" i="1" s="1"/>
  <c r="H156" i="1"/>
  <c r="K63" i="1"/>
  <c r="K65" i="1" s="1"/>
  <c r="O63" i="1"/>
  <c r="O65" i="1" s="1"/>
  <c r="H63" i="1"/>
  <c r="H65" i="1" s="1"/>
  <c r="E61" i="1"/>
  <c r="G73" i="1"/>
  <c r="G72" i="1" s="1"/>
  <c r="I113" i="1"/>
  <c r="I114" i="1" s="1"/>
  <c r="I25" i="1"/>
  <c r="D35" i="11" l="1"/>
  <c r="E34" i="11"/>
  <c r="H161" i="1"/>
  <c r="H135" i="1"/>
  <c r="G161" i="1"/>
  <c r="G135" i="1"/>
  <c r="G138" i="1" s="1"/>
  <c r="G48" i="1"/>
  <c r="G49" i="1" s="1"/>
  <c r="G51" i="1" s="1"/>
  <c r="I156" i="1"/>
  <c r="F59" i="1"/>
  <c r="F60" i="1" s="1"/>
  <c r="H73" i="1" s="1"/>
  <c r="H72" i="1" s="1"/>
  <c r="G86" i="1"/>
  <c r="G82" i="1" s="1"/>
  <c r="G91" i="1" s="1"/>
  <c r="G137" i="1"/>
  <c r="G163" i="1"/>
  <c r="G164" i="1" s="1"/>
  <c r="G167" i="1" s="1"/>
  <c r="E62" i="1"/>
  <c r="D36" i="11" l="1"/>
  <c r="E35" i="11"/>
  <c r="I161" i="1"/>
  <c r="I135" i="1"/>
  <c r="G139" i="1"/>
  <c r="G142" i="1" s="1"/>
  <c r="G59" i="1"/>
  <c r="G60" i="1" s="1"/>
  <c r="G61" i="1" s="1"/>
  <c r="F61" i="1"/>
  <c r="H86" i="1" s="1"/>
  <c r="H82" i="1" s="1"/>
  <c r="H91" i="1" s="1"/>
  <c r="H138" i="1"/>
  <c r="E63" i="1"/>
  <c r="E65" i="1" s="1"/>
  <c r="D37" i="11" l="1"/>
  <c r="E36" i="11"/>
  <c r="I73" i="1"/>
  <c r="I72" i="1" s="1"/>
  <c r="F62" i="1"/>
  <c r="F63" i="1" s="1"/>
  <c r="F65" i="1" s="1"/>
  <c r="H137" i="1"/>
  <c r="H139" i="1" s="1"/>
  <c r="H142" i="1" s="1"/>
  <c r="H163" i="1"/>
  <c r="H164" i="1" s="1"/>
  <c r="I86" i="1"/>
  <c r="I82" i="1" s="1"/>
  <c r="I163" i="1"/>
  <c r="I164" i="1" s="1"/>
  <c r="I167" i="1" s="1"/>
  <c r="I137" i="1"/>
  <c r="I139" i="1" s="1"/>
  <c r="I142" i="1" s="1"/>
  <c r="I138" i="1"/>
  <c r="G62" i="1"/>
  <c r="G63" i="1" s="1"/>
  <c r="G65" i="1" s="1"/>
  <c r="D38" i="11" l="1"/>
  <c r="E37" i="11"/>
  <c r="I91" i="1"/>
  <c r="H167" i="1"/>
  <c r="D39" i="11" l="1"/>
  <c r="E38" i="11"/>
  <c r="E22" i="7"/>
  <c r="S21" i="7" s="1"/>
  <c r="E30" i="7"/>
  <c r="S29" i="7" s="1"/>
  <c r="E18" i="7"/>
  <c r="S17" i="7" s="1"/>
  <c r="E32" i="7"/>
  <c r="S31" i="7" s="1"/>
  <c r="E42" i="7"/>
  <c r="S41" i="7" s="1"/>
  <c r="E44" i="7"/>
  <c r="S43" i="7" s="1"/>
  <c r="E24" i="7"/>
  <c r="S23" i="7" s="1"/>
  <c r="E36" i="7"/>
  <c r="S35" i="7" s="1"/>
  <c r="E16" i="7"/>
  <c r="S15" i="7" s="1"/>
  <c r="E28" i="7"/>
  <c r="S27" i="7" s="1"/>
  <c r="E38" i="7"/>
  <c r="S37" i="7" s="1"/>
  <c r="E20" i="7"/>
  <c r="S19" i="7" s="1"/>
  <c r="E40" i="7"/>
  <c r="S39" i="7" s="1"/>
  <c r="E34" i="7"/>
  <c r="S33" i="7" s="1"/>
  <c r="E12" i="7"/>
  <c r="E26" i="7"/>
  <c r="S25" i="7" s="1"/>
  <c r="D40" i="11" l="1"/>
  <c r="E39" i="11"/>
  <c r="D41" i="11" l="1"/>
  <c r="E41" i="11" s="1"/>
  <c r="E40" i="11"/>
  <c r="D58" i="1" l="1"/>
  <c r="F162" i="1" s="1"/>
  <c r="F129" i="1"/>
  <c r="F150" i="1"/>
  <c r="D60" i="1" l="1"/>
  <c r="F73" i="1" s="1"/>
  <c r="F72" i="1" s="1"/>
  <c r="F136" i="1"/>
  <c r="F138" i="1" s="1"/>
  <c r="D61" i="1" l="1"/>
  <c r="F163" i="1" s="1"/>
  <c r="F164" i="1" s="1"/>
  <c r="D62" i="1" l="1"/>
  <c r="D63" i="1" s="1"/>
  <c r="F118" i="1" s="1"/>
  <c r="F137" i="1"/>
  <c r="F139" i="1" s="1"/>
  <c r="F142" i="1" s="1"/>
  <c r="F86" i="1"/>
  <c r="F82" i="1" s="1"/>
  <c r="F91" i="1" s="1"/>
  <c r="F92" i="1" s="1"/>
  <c r="F101" i="1" s="1"/>
  <c r="F99" i="1" s="1"/>
  <c r="F167" i="1"/>
  <c r="F165" i="1"/>
  <c r="F140" i="1"/>
  <c r="G92" i="1" l="1"/>
  <c r="G101" i="1" s="1"/>
  <c r="G99" i="1" s="1"/>
  <c r="D65" i="1"/>
  <c r="D66" i="1" s="1"/>
  <c r="E66" i="1" s="1"/>
  <c r="F143" i="1"/>
  <c r="G140" i="1"/>
  <c r="G165" i="1"/>
  <c r="F168" i="1"/>
  <c r="G118" i="1"/>
  <c r="F122" i="1"/>
  <c r="F98" i="1"/>
  <c r="F120" i="1" s="1"/>
  <c r="F121" i="1"/>
  <c r="H92" i="1" l="1"/>
  <c r="H101" i="1" s="1"/>
  <c r="H99" i="1" s="1"/>
  <c r="F119" i="1"/>
  <c r="F108" i="1" s="1"/>
  <c r="G119" i="1"/>
  <c r="G108" i="1" s="1"/>
  <c r="F66" i="1"/>
  <c r="G121" i="1"/>
  <c r="G122" i="1"/>
  <c r="G98" i="1"/>
  <c r="G120" i="1" s="1"/>
  <c r="H165" i="1"/>
  <c r="G168" i="1"/>
  <c r="H118" i="1"/>
  <c r="H140" i="1"/>
  <c r="G143" i="1"/>
  <c r="I92" i="1"/>
  <c r="I101" i="1" l="1"/>
  <c r="I99" i="1" s="1"/>
  <c r="J92" i="1"/>
  <c r="H143" i="1"/>
  <c r="I140" i="1"/>
  <c r="I165" i="1"/>
  <c r="H168" i="1"/>
  <c r="G66" i="1"/>
  <c r="H119" i="1"/>
  <c r="H121" i="1"/>
  <c r="H98" i="1"/>
  <c r="H120" i="1" s="1"/>
  <c r="H122" i="1"/>
  <c r="H108" i="1"/>
  <c r="I118" i="1"/>
  <c r="J140" i="1" l="1"/>
  <c r="I143" i="1"/>
  <c r="I119" i="1"/>
  <c r="I108" i="1" s="1"/>
  <c r="H66" i="1"/>
  <c r="K92" i="1"/>
  <c r="J101" i="1"/>
  <c r="J99" i="1" s="1"/>
  <c r="J118" i="1"/>
  <c r="I168" i="1"/>
  <c r="J165" i="1"/>
  <c r="I121" i="1"/>
  <c r="I122" i="1"/>
  <c r="I98" i="1"/>
  <c r="I120" i="1" l="1"/>
  <c r="J119" i="1"/>
  <c r="J108" i="1" s="1"/>
  <c r="I66" i="1"/>
  <c r="K118" i="1"/>
  <c r="J168" i="1"/>
  <c r="K165" i="1"/>
  <c r="J98" i="1"/>
  <c r="J120" i="1" s="1"/>
  <c r="J121" i="1"/>
  <c r="J122" i="1"/>
  <c r="L92" i="1"/>
  <c r="K101" i="1"/>
  <c r="K99" i="1" s="1"/>
  <c r="K140" i="1"/>
  <c r="J143" i="1"/>
  <c r="L140" i="1" l="1"/>
  <c r="K143" i="1"/>
  <c r="K121" i="1"/>
  <c r="K98" i="1"/>
  <c r="K120" i="1" s="1"/>
  <c r="K122" i="1"/>
  <c r="L118" i="1"/>
  <c r="M92" i="1"/>
  <c r="L101" i="1"/>
  <c r="L99" i="1" s="1"/>
  <c r="K168" i="1"/>
  <c r="L165" i="1"/>
  <c r="J66" i="1"/>
  <c r="K119" i="1"/>
  <c r="K108" i="1" s="1"/>
  <c r="K66" i="1" l="1"/>
  <c r="L119" i="1"/>
  <c r="L108" i="1" s="1"/>
  <c r="N92" i="1"/>
  <c r="M101" i="1"/>
  <c r="M99" i="1" s="1"/>
  <c r="M165" i="1"/>
  <c r="L168" i="1"/>
  <c r="M118" i="1"/>
  <c r="L122" i="1"/>
  <c r="L121" i="1"/>
  <c r="L98" i="1"/>
  <c r="L120" i="1" s="1"/>
  <c r="L143" i="1"/>
  <c r="M140" i="1"/>
  <c r="M121" i="1" l="1"/>
  <c r="M98" i="1"/>
  <c r="M120" i="1" s="1"/>
  <c r="M122" i="1"/>
  <c r="N101" i="1"/>
  <c r="N99" i="1" s="1"/>
  <c r="O92" i="1"/>
  <c r="N118" i="1"/>
  <c r="N140" i="1"/>
  <c r="M143" i="1"/>
  <c r="M168" i="1"/>
  <c r="N165" i="1"/>
  <c r="M119" i="1"/>
  <c r="M108" i="1" s="1"/>
  <c r="L66" i="1"/>
  <c r="O165" i="1" l="1"/>
  <c r="N168" i="1"/>
  <c r="O101" i="1"/>
  <c r="O99" i="1" s="1"/>
  <c r="P92" i="1"/>
  <c r="O118" i="1"/>
  <c r="N119" i="1"/>
  <c r="N108" i="1" s="1"/>
  <c r="M66" i="1"/>
  <c r="O140" i="1"/>
  <c r="N143" i="1"/>
  <c r="N98" i="1"/>
  <c r="N120" i="1" s="1"/>
  <c r="N121" i="1"/>
  <c r="N122" i="1"/>
  <c r="N66" i="1" l="1"/>
  <c r="O119" i="1"/>
  <c r="O108" i="1" s="1"/>
  <c r="P101" i="1"/>
  <c r="P99" i="1" s="1"/>
  <c r="P98" i="1" s="1"/>
  <c r="Q92" i="1"/>
  <c r="Q101" i="1" s="1"/>
  <c r="O121" i="1"/>
  <c r="O122" i="1"/>
  <c r="O98" i="1"/>
  <c r="O120" i="1" s="1"/>
  <c r="P118" i="1"/>
  <c r="P140" i="1"/>
  <c r="O143" i="1"/>
  <c r="P165" i="1"/>
  <c r="O168" i="1"/>
  <c r="Q165" i="1" l="1"/>
  <c r="Q168" i="1" s="1"/>
  <c r="P168" i="1"/>
  <c r="P122" i="1"/>
  <c r="P121" i="1"/>
  <c r="P120" i="1"/>
  <c r="P143" i="1"/>
  <c r="Q140" i="1"/>
  <c r="Q143" i="1" s="1"/>
  <c r="Q118" i="1"/>
  <c r="O66" i="1"/>
  <c r="Q119" i="1" s="1"/>
  <c r="P119" i="1"/>
  <c r="P108" i="1" s="1"/>
</calcChain>
</file>

<file path=xl/sharedStrings.xml><?xml version="1.0" encoding="utf-8"?>
<sst xmlns="http://schemas.openxmlformats.org/spreadsheetml/2006/main" count="401" uniqueCount="268">
  <si>
    <t>序号</t>
    <phoneticPr fontId="1" type="noConversion"/>
  </si>
  <si>
    <t>总投资</t>
    <phoneticPr fontId="1" type="noConversion"/>
  </si>
  <si>
    <t>建设期</t>
    <phoneticPr fontId="1" type="noConversion"/>
  </si>
  <si>
    <t>建设期利息</t>
    <phoneticPr fontId="1" type="noConversion"/>
  </si>
  <si>
    <t>流动资金</t>
    <phoneticPr fontId="1" type="noConversion"/>
  </si>
  <si>
    <t>资金筹措</t>
    <phoneticPr fontId="1" type="noConversion"/>
  </si>
  <si>
    <t>自有资金</t>
    <phoneticPr fontId="1" type="noConversion"/>
  </si>
  <si>
    <t>借款</t>
    <phoneticPr fontId="1" type="noConversion"/>
  </si>
  <si>
    <t>长期借款</t>
    <phoneticPr fontId="1" type="noConversion"/>
  </si>
  <si>
    <t>流动资金借款</t>
    <phoneticPr fontId="1" type="noConversion"/>
  </si>
  <si>
    <t>其他</t>
    <phoneticPr fontId="1" type="noConversion"/>
  </si>
  <si>
    <t>2.2.1</t>
    <phoneticPr fontId="1" type="noConversion"/>
  </si>
  <si>
    <t>2.2.2</t>
    <phoneticPr fontId="1" type="noConversion"/>
  </si>
  <si>
    <t>投产期</t>
    <phoneticPr fontId="1" type="noConversion"/>
  </si>
  <si>
    <t>合计</t>
    <phoneticPr fontId="1" type="noConversion"/>
  </si>
  <si>
    <t>序号</t>
    <phoneticPr fontId="1" type="noConversion"/>
  </si>
  <si>
    <t>建设期</t>
    <phoneticPr fontId="1" type="noConversion"/>
  </si>
  <si>
    <t>投产期</t>
    <phoneticPr fontId="1" type="noConversion"/>
  </si>
  <si>
    <t>达到设计生产能力生产期</t>
    <phoneticPr fontId="1" type="noConversion"/>
  </si>
  <si>
    <t>借款及还本付息</t>
    <phoneticPr fontId="1" type="noConversion"/>
  </si>
  <si>
    <t>长</t>
    <phoneticPr fontId="1" type="noConversion"/>
  </si>
  <si>
    <t>流</t>
    <phoneticPr fontId="1" type="noConversion"/>
  </si>
  <si>
    <t>本年借款｛</t>
    <phoneticPr fontId="1" type="noConversion"/>
  </si>
  <si>
    <t>2..5</t>
    <phoneticPr fontId="1" type="noConversion"/>
  </si>
  <si>
    <t>偿还贷款本金的资金来源</t>
    <phoneticPr fontId="1" type="noConversion"/>
  </si>
  <si>
    <t>利润</t>
    <phoneticPr fontId="1" type="noConversion"/>
  </si>
  <si>
    <t>折旧与摊销</t>
    <phoneticPr fontId="1" type="noConversion"/>
  </si>
  <si>
    <t>自有资金</t>
    <phoneticPr fontId="1" type="noConversion"/>
  </si>
  <si>
    <t>资产回收</t>
    <phoneticPr fontId="1" type="noConversion"/>
  </si>
  <si>
    <t>其他</t>
    <phoneticPr fontId="1" type="noConversion"/>
  </si>
  <si>
    <t>合计</t>
    <phoneticPr fontId="1" type="noConversion"/>
  </si>
  <si>
    <t>直接材料费</t>
    <phoneticPr fontId="1" type="noConversion"/>
  </si>
  <si>
    <t>利息支出</t>
    <phoneticPr fontId="1" type="noConversion"/>
  </si>
  <si>
    <t>总成本费用</t>
    <phoneticPr fontId="1" type="noConversion"/>
  </si>
  <si>
    <t>其中：折旧与摊销</t>
    <phoneticPr fontId="1" type="noConversion"/>
  </si>
  <si>
    <t>经营成本</t>
    <phoneticPr fontId="1" type="noConversion"/>
  </si>
  <si>
    <t>产品销售收入</t>
    <phoneticPr fontId="1" type="noConversion"/>
  </si>
  <si>
    <t>销售税金及附加</t>
    <phoneticPr fontId="1" type="noConversion"/>
  </si>
  <si>
    <t>利润总额</t>
    <phoneticPr fontId="1" type="noConversion"/>
  </si>
  <si>
    <t>所得税</t>
    <phoneticPr fontId="1" type="noConversion"/>
  </si>
  <si>
    <t>税后利润</t>
    <phoneticPr fontId="1" type="noConversion"/>
  </si>
  <si>
    <t>盈余公积金</t>
    <phoneticPr fontId="1" type="noConversion"/>
  </si>
  <si>
    <t>应付利润</t>
    <phoneticPr fontId="1" type="noConversion"/>
  </si>
  <si>
    <t>未分配利润</t>
    <phoneticPr fontId="1" type="noConversion"/>
  </si>
  <si>
    <t>累计未分配利润</t>
    <phoneticPr fontId="1" type="noConversion"/>
  </si>
  <si>
    <t>资金来源</t>
    <phoneticPr fontId="1" type="noConversion"/>
  </si>
  <si>
    <t>折旧与摊销费</t>
    <phoneticPr fontId="1" type="noConversion"/>
  </si>
  <si>
    <t>长期借款</t>
    <phoneticPr fontId="1" type="noConversion"/>
  </si>
  <si>
    <t>流动资金借款</t>
    <phoneticPr fontId="1" type="noConversion"/>
  </si>
  <si>
    <t>其他短期借款</t>
    <phoneticPr fontId="1" type="noConversion"/>
  </si>
  <si>
    <t>回收固资余值</t>
    <phoneticPr fontId="1" type="noConversion"/>
  </si>
  <si>
    <t>回收流动资金</t>
    <phoneticPr fontId="1" type="noConversion"/>
  </si>
  <si>
    <t>资金运用</t>
    <phoneticPr fontId="1" type="noConversion"/>
  </si>
  <si>
    <t>建设期利息</t>
    <phoneticPr fontId="1" type="noConversion"/>
  </si>
  <si>
    <t>流动资金投资</t>
    <phoneticPr fontId="1" type="noConversion"/>
  </si>
  <si>
    <t>长期借款还本</t>
    <phoneticPr fontId="1" type="noConversion"/>
  </si>
  <si>
    <t>流动资金借款还本</t>
    <phoneticPr fontId="1" type="noConversion"/>
  </si>
  <si>
    <t>其他短期借款还本</t>
    <phoneticPr fontId="1" type="noConversion"/>
  </si>
  <si>
    <t>盈余资金</t>
    <phoneticPr fontId="1" type="noConversion"/>
  </si>
  <si>
    <t>累计盈余资金</t>
    <phoneticPr fontId="1" type="noConversion"/>
  </si>
  <si>
    <t>资产</t>
    <phoneticPr fontId="1" type="noConversion"/>
  </si>
  <si>
    <r>
      <t>表6 资产负债表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</si>
  <si>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表4 损益表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</si>
  <si>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表3 成本费用表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</si>
  <si>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表2 借款还本付息表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</si>
  <si>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表1 投资计划及资金筹措表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</si>
  <si>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流动资产总额</t>
    <phoneticPr fontId="1" type="noConversion"/>
  </si>
  <si>
    <t>1.1.1</t>
    <phoneticPr fontId="1" type="noConversion"/>
  </si>
  <si>
    <t>现金</t>
    <phoneticPr fontId="1" type="noConversion"/>
  </si>
  <si>
    <t>1.1.2</t>
    <phoneticPr fontId="1" type="noConversion"/>
  </si>
  <si>
    <t>1.1.3</t>
    <phoneticPr fontId="1" type="noConversion"/>
  </si>
  <si>
    <t>1.1.4</t>
    <phoneticPr fontId="1" type="noConversion"/>
  </si>
  <si>
    <t>应收账款</t>
    <phoneticPr fontId="1" type="noConversion"/>
  </si>
  <si>
    <t>存货</t>
    <phoneticPr fontId="1" type="noConversion"/>
  </si>
  <si>
    <t>在建工程</t>
    <phoneticPr fontId="1" type="noConversion"/>
  </si>
  <si>
    <t>固定资产净值</t>
    <phoneticPr fontId="1" type="noConversion"/>
  </si>
  <si>
    <t>无形和递延资产净值</t>
    <phoneticPr fontId="1" type="noConversion"/>
  </si>
  <si>
    <t>负债和所有者权益</t>
    <phoneticPr fontId="1" type="noConversion"/>
  </si>
  <si>
    <t>流动负债总额</t>
    <phoneticPr fontId="1" type="noConversion"/>
  </si>
  <si>
    <t>2.1.1</t>
    <phoneticPr fontId="1" type="noConversion"/>
  </si>
  <si>
    <t>应付账款</t>
    <phoneticPr fontId="1" type="noConversion"/>
  </si>
  <si>
    <t>2.1.2</t>
    <phoneticPr fontId="1" type="noConversion"/>
  </si>
  <si>
    <t>2.1.3</t>
    <phoneticPr fontId="1" type="noConversion"/>
  </si>
  <si>
    <t>负债小计</t>
    <phoneticPr fontId="1" type="noConversion"/>
  </si>
  <si>
    <t>所有者权益</t>
    <phoneticPr fontId="1" type="noConversion"/>
  </si>
  <si>
    <t>2.3.1</t>
    <phoneticPr fontId="1" type="noConversion"/>
  </si>
  <si>
    <t>资本金</t>
    <phoneticPr fontId="1" type="noConversion"/>
  </si>
  <si>
    <t>资本公积金</t>
    <phoneticPr fontId="1" type="noConversion"/>
  </si>
  <si>
    <t>2.3.2</t>
    <phoneticPr fontId="1" type="noConversion"/>
  </si>
  <si>
    <t>2.3.3</t>
    <phoneticPr fontId="1" type="noConversion"/>
  </si>
  <si>
    <t>累计盈余公积金</t>
    <phoneticPr fontId="1" type="noConversion"/>
  </si>
  <si>
    <t>2.3.4</t>
    <phoneticPr fontId="1" type="noConversion"/>
  </si>
  <si>
    <t>资产负债率</t>
    <phoneticPr fontId="1" type="noConversion"/>
  </si>
  <si>
    <t>流动比率</t>
    <phoneticPr fontId="1" type="noConversion"/>
  </si>
  <si>
    <t>速动比率</t>
    <phoneticPr fontId="1" type="noConversion"/>
  </si>
  <si>
    <r>
      <t>表7 现金流量表（全部投资）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</si>
  <si>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现金流入</t>
    <phoneticPr fontId="1" type="noConversion"/>
  </si>
  <si>
    <t>回收固定资产余值</t>
    <phoneticPr fontId="1" type="noConversion"/>
  </si>
  <si>
    <t>现金流出</t>
    <phoneticPr fontId="1" type="noConversion"/>
  </si>
  <si>
    <t>流动资产投资</t>
    <phoneticPr fontId="1" type="noConversion"/>
  </si>
  <si>
    <t>净现金流量（所得税前）</t>
    <phoneticPr fontId="1" type="noConversion"/>
  </si>
  <si>
    <t>净现金流量（所得税后）</t>
    <phoneticPr fontId="1" type="noConversion"/>
  </si>
  <si>
    <t>累计净现金流量</t>
    <phoneticPr fontId="1" type="noConversion"/>
  </si>
  <si>
    <t>（P/F，0.15，t）</t>
    <phoneticPr fontId="1" type="noConversion"/>
  </si>
  <si>
    <t>累计净现金流量（税后）</t>
    <phoneticPr fontId="1" type="noConversion"/>
  </si>
  <si>
    <t>净现金流现值（税后）</t>
    <phoneticPr fontId="1" type="noConversion"/>
  </si>
  <si>
    <t>累计净现金流现值（税后）</t>
    <phoneticPr fontId="1" type="noConversion"/>
  </si>
  <si>
    <r>
      <t>表8 现金流量表（自有资金）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</si>
  <si>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自有资金投入</t>
    <phoneticPr fontId="1" type="noConversion"/>
  </si>
  <si>
    <t>还本</t>
    <phoneticPr fontId="1" type="noConversion"/>
  </si>
  <si>
    <t>付息</t>
    <phoneticPr fontId="1" type="noConversion"/>
  </si>
  <si>
    <t>净现金流量</t>
    <phoneticPr fontId="1" type="noConversion"/>
  </si>
  <si>
    <t>净现金流现值</t>
    <phoneticPr fontId="1" type="noConversion"/>
  </si>
  <si>
    <t>累计净现金流现值</t>
    <phoneticPr fontId="1" type="noConversion"/>
  </si>
  <si>
    <t>建设投资</t>
    <phoneticPr fontId="1" type="noConversion"/>
  </si>
  <si>
    <t>工资及福利费用</t>
    <phoneticPr fontId="1" type="noConversion"/>
  </si>
  <si>
    <t>修理费用</t>
    <phoneticPr fontId="1" type="noConversion"/>
  </si>
  <si>
    <t>其他费用</t>
    <phoneticPr fontId="1" type="noConversion"/>
  </si>
  <si>
    <t>建设投资</t>
    <phoneticPr fontId="1" type="noConversion"/>
  </si>
  <si>
    <t>其他资产净值</t>
    <phoneticPr fontId="1" type="noConversion"/>
  </si>
  <si>
    <t>固定资产折旧</t>
    <phoneticPr fontId="1" type="noConversion"/>
  </si>
  <si>
    <t>固定资产原值</t>
    <phoneticPr fontId="1" type="noConversion"/>
  </si>
  <si>
    <t>无形资产原值</t>
    <phoneticPr fontId="1" type="noConversion"/>
  </si>
  <si>
    <t>无形资产摊销</t>
    <phoneticPr fontId="1" type="noConversion"/>
  </si>
  <si>
    <t>无形资产净值</t>
    <phoneticPr fontId="1" type="noConversion"/>
  </si>
  <si>
    <t>其他资产原值</t>
    <phoneticPr fontId="1" type="noConversion"/>
  </si>
  <si>
    <t>其他资产摊销</t>
    <phoneticPr fontId="1" type="noConversion"/>
  </si>
  <si>
    <t xml:space="preserve">                                 年份项目</t>
    <phoneticPr fontId="1" type="noConversion"/>
  </si>
  <si>
    <t xml:space="preserve">                                  年份项目</t>
    <phoneticPr fontId="1" type="noConversion"/>
  </si>
  <si>
    <r>
      <t xml:space="preserve">表4 固定资产折旧估算表 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</si>
  <si>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 xml:space="preserve">表5 无形及其他资产摊销估算表 </t>
    </r>
    <r>
      <rPr>
        <sz val="11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</si>
  <si>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表4 销售收入和销售税金及附加表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</si>
  <si>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净现金流量</t>
  </si>
  <si>
    <t>累计净现金流量</t>
  </si>
  <si>
    <t>（P/F，0.15，t）</t>
  </si>
  <si>
    <t>净现金流现值</t>
  </si>
  <si>
    <t xml:space="preserve">                     年份项目</t>
    <phoneticPr fontId="1" type="noConversion"/>
  </si>
  <si>
    <t>npv</t>
    <phoneticPr fontId="1" type="noConversion"/>
  </si>
  <si>
    <t>净现金流现值</t>
    <phoneticPr fontId="1" type="noConversion"/>
  </si>
  <si>
    <t>(P/F,15%,t)</t>
    <phoneticPr fontId="1" type="noConversion"/>
  </si>
  <si>
    <t>(P/F,20%,t)</t>
    <phoneticPr fontId="1" type="noConversion"/>
  </si>
  <si>
    <t>(P/F,25%,t)</t>
    <phoneticPr fontId="1" type="noConversion"/>
  </si>
  <si>
    <t>(P/F,28%,t)</t>
    <phoneticPr fontId="1" type="noConversion"/>
  </si>
  <si>
    <t>(P/F,30%,t)</t>
    <phoneticPr fontId="1" type="noConversion"/>
  </si>
  <si>
    <t>(P/F,33%,t)</t>
    <phoneticPr fontId="1" type="noConversion"/>
  </si>
  <si>
    <t>(P/F,35%,t)</t>
    <phoneticPr fontId="1" type="noConversion"/>
  </si>
  <si>
    <t>(P/F,31%,t)</t>
    <phoneticPr fontId="1" type="noConversion"/>
  </si>
  <si>
    <t>(P/F,31.5%,t)</t>
    <phoneticPr fontId="1" type="noConversion"/>
  </si>
  <si>
    <t>(P/F,32%,t)</t>
    <phoneticPr fontId="1" type="noConversion"/>
  </si>
  <si>
    <t>(P/F,32.5%,t)</t>
    <phoneticPr fontId="1" type="noConversion"/>
  </si>
  <si>
    <t>(P/F,40%,t)</t>
    <phoneticPr fontId="1" type="noConversion"/>
  </si>
  <si>
    <t>(P/F,50%,t)</t>
    <phoneticPr fontId="1" type="noConversion"/>
  </si>
  <si>
    <t>(P/F,32.3%,t)</t>
    <phoneticPr fontId="1" type="noConversion"/>
  </si>
  <si>
    <t>年份</t>
    <phoneticPr fontId="1" type="noConversion"/>
  </si>
  <si>
    <t>序号</t>
  </si>
  <si>
    <t>建设期</t>
  </si>
  <si>
    <t>投产期</t>
  </si>
  <si>
    <t>达到设计生产能力生产期</t>
  </si>
  <si>
    <t>借款及还本付息</t>
  </si>
  <si>
    <t>本年付利息</t>
  </si>
  <si>
    <t>本年还本</t>
  </si>
  <si>
    <t xml:space="preserve">                                 年份项目</t>
    <phoneticPr fontId="1" type="noConversion"/>
  </si>
  <si>
    <t>年初欠款累计</t>
    <phoneticPr fontId="1" type="noConversion"/>
  </si>
  <si>
    <t>本年借款</t>
    <phoneticPr fontId="1" type="noConversion"/>
  </si>
  <si>
    <t>………</t>
    <phoneticPr fontId="1" type="noConversion"/>
  </si>
  <si>
    <t>利润总额</t>
  </si>
  <si>
    <t>税后利润</t>
  </si>
  <si>
    <t>合计</t>
    <phoneticPr fontId="1" type="noConversion"/>
  </si>
  <si>
    <t>产量</t>
    <phoneticPr fontId="1" type="noConversion"/>
  </si>
  <si>
    <t>固定成本</t>
    <phoneticPr fontId="1" type="noConversion"/>
  </si>
  <si>
    <t>变动成本</t>
    <phoneticPr fontId="1" type="noConversion"/>
  </si>
  <si>
    <t>单位变动成本</t>
    <phoneticPr fontId="1" type="noConversion"/>
  </si>
  <si>
    <t>盈亏平衡点产量</t>
    <phoneticPr fontId="1" type="noConversion"/>
  </si>
  <si>
    <t>盈亏平衡点产能利用率</t>
    <phoneticPr fontId="1" type="noConversion"/>
  </si>
  <si>
    <t>单位销售税金及附加</t>
    <phoneticPr fontId="1" type="noConversion"/>
  </si>
  <si>
    <t>盈亏平衡点单位产品售价</t>
    <phoneticPr fontId="1" type="noConversion"/>
  </si>
  <si>
    <t>年产量</t>
    <phoneticPr fontId="1" type="noConversion"/>
  </si>
  <si>
    <t>建设投资</t>
  </si>
  <si>
    <t>经营成本</t>
  </si>
  <si>
    <t>销售收入</t>
  </si>
  <si>
    <t>IRR</t>
    <phoneticPr fontId="1" type="noConversion"/>
  </si>
  <si>
    <r>
      <t>表7 资金来源与运用表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</si>
  <si>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管理费用</t>
    <phoneticPr fontId="1" type="noConversion"/>
  </si>
  <si>
    <t>折旧费</t>
    <phoneticPr fontId="1" type="noConversion"/>
  </si>
  <si>
    <t>摊销费</t>
    <phoneticPr fontId="1" type="noConversion"/>
  </si>
  <si>
    <t>自有资金irr</t>
    <phoneticPr fontId="1" type="noConversion"/>
  </si>
  <si>
    <t xml:space="preserve">全投资irr </t>
    <phoneticPr fontId="1" type="noConversion"/>
  </si>
  <si>
    <t>净现金流量（所得税前）</t>
  </si>
  <si>
    <t>本年付利息｛</t>
    <phoneticPr fontId="1" type="noConversion"/>
  </si>
  <si>
    <t>序号</t>
    <phoneticPr fontId="1" type="noConversion"/>
  </si>
  <si>
    <t>状态组合</t>
    <phoneticPr fontId="1" type="noConversion"/>
  </si>
  <si>
    <t>A1B1C1</t>
    <phoneticPr fontId="1" type="noConversion"/>
  </si>
  <si>
    <t>A1B1C2</t>
    <phoneticPr fontId="1" type="noConversion"/>
  </si>
  <si>
    <t>A1B1C3</t>
    <phoneticPr fontId="1" type="noConversion"/>
  </si>
  <si>
    <t>A2B1C1</t>
    <phoneticPr fontId="1" type="noConversion"/>
  </si>
  <si>
    <t>A2B1C2</t>
    <phoneticPr fontId="1" type="noConversion"/>
  </si>
  <si>
    <t>A2B1C3</t>
    <phoneticPr fontId="1" type="noConversion"/>
  </si>
  <si>
    <t>A3B1C1</t>
    <phoneticPr fontId="1" type="noConversion"/>
  </si>
  <si>
    <t>A3B1C2</t>
    <phoneticPr fontId="1" type="noConversion"/>
  </si>
  <si>
    <t>A3B1C3</t>
    <phoneticPr fontId="1" type="noConversion"/>
  </si>
  <si>
    <t>A1B2C1</t>
    <phoneticPr fontId="1" type="noConversion"/>
  </si>
  <si>
    <t>A1B2C2</t>
    <phoneticPr fontId="1" type="noConversion"/>
  </si>
  <si>
    <t>A1B2C3</t>
    <phoneticPr fontId="1" type="noConversion"/>
  </si>
  <si>
    <t>A2B2C1</t>
    <phoneticPr fontId="1" type="noConversion"/>
  </si>
  <si>
    <t>A3B2C3</t>
    <phoneticPr fontId="1" type="noConversion"/>
  </si>
  <si>
    <t>A3B2C2</t>
    <phoneticPr fontId="1" type="noConversion"/>
  </si>
  <si>
    <t>A3B2C1</t>
    <phoneticPr fontId="1" type="noConversion"/>
  </si>
  <si>
    <t>A2B2C3</t>
    <phoneticPr fontId="1" type="noConversion"/>
  </si>
  <si>
    <t>A2B2C2</t>
    <phoneticPr fontId="1" type="noConversion"/>
  </si>
  <si>
    <t>A1B3C1</t>
    <phoneticPr fontId="1" type="noConversion"/>
  </si>
  <si>
    <t>A1B3C2</t>
    <phoneticPr fontId="1" type="noConversion"/>
  </si>
  <si>
    <t>A1B3C3</t>
    <phoneticPr fontId="1" type="noConversion"/>
  </si>
  <si>
    <t>A2B3C1</t>
    <phoneticPr fontId="1" type="noConversion"/>
  </si>
  <si>
    <t>A2B3C2</t>
    <phoneticPr fontId="1" type="noConversion"/>
  </si>
  <si>
    <t>A2B3C3</t>
    <phoneticPr fontId="1" type="noConversion"/>
  </si>
  <si>
    <t>A3B3C1</t>
    <phoneticPr fontId="1" type="noConversion"/>
  </si>
  <si>
    <t>A3B3C2</t>
    <phoneticPr fontId="1" type="noConversion"/>
  </si>
  <si>
    <t>A3B3C3</t>
    <phoneticPr fontId="1" type="noConversion"/>
  </si>
  <si>
    <t>发生概率Pj</t>
    <phoneticPr fontId="1" type="noConversion"/>
  </si>
  <si>
    <t>自有资金财务净现值</t>
    <phoneticPr fontId="1" type="noConversion"/>
  </si>
  <si>
    <t>第14年全投资财务净现值</t>
    <phoneticPr fontId="1" type="noConversion"/>
  </si>
  <si>
    <t>销售收入</t>
    <phoneticPr fontId="1" type="noConversion"/>
  </si>
  <si>
    <t>均值</t>
    <phoneticPr fontId="1" type="noConversion"/>
  </si>
  <si>
    <t>乐观</t>
    <phoneticPr fontId="1" type="noConversion"/>
  </si>
  <si>
    <t>最可能</t>
    <phoneticPr fontId="1" type="noConversion"/>
  </si>
  <si>
    <t>悲观</t>
    <phoneticPr fontId="1" type="noConversion"/>
  </si>
  <si>
    <t>标准差</t>
    <phoneticPr fontId="1" type="noConversion"/>
  </si>
  <si>
    <t>FNPV</t>
    <phoneticPr fontId="1" type="noConversion"/>
  </si>
  <si>
    <t>频度</t>
    <phoneticPr fontId="1" type="noConversion"/>
  </si>
  <si>
    <t>累计频度</t>
    <phoneticPr fontId="1" type="noConversion"/>
  </si>
  <si>
    <t>累计频率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</si>
  <si>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</si>
  <si>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</si>
  <si>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</si>
  <si>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</si>
  <si>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</si>
  <si>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</si>
  <si>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A1B1C1</t>
  </si>
  <si>
    <t>A1B1C2</t>
  </si>
  <si>
    <t>A1B1C3</t>
  </si>
  <si>
    <t>A2B1C1</t>
  </si>
  <si>
    <t>A2B1C2</t>
  </si>
  <si>
    <t>A2B1C3</t>
  </si>
  <si>
    <t>A3B1C1</t>
  </si>
  <si>
    <t>A3B1C2</t>
  </si>
  <si>
    <t>A3B1C3</t>
  </si>
  <si>
    <t>A1B2C1</t>
  </si>
  <si>
    <t>A1B2C2</t>
  </si>
  <si>
    <t>A1B2C3</t>
  </si>
  <si>
    <t>A2B2C1</t>
  </si>
  <si>
    <t>A2B2C2</t>
  </si>
  <si>
    <t>A2B2C3</t>
  </si>
  <si>
    <t>A3B2C1</t>
  </si>
  <si>
    <t>A3B2C2</t>
  </si>
  <si>
    <t>A3B2C3</t>
  </si>
  <si>
    <t>A1B3C1</t>
  </si>
  <si>
    <t>A1B3C2</t>
  </si>
  <si>
    <t>A1B3C3</t>
  </si>
  <si>
    <t>A2B3C1</t>
  </si>
  <si>
    <t>A2B3C2</t>
  </si>
  <si>
    <t>A2B3C3</t>
  </si>
  <si>
    <t>A3B3C1</t>
  </si>
  <si>
    <t>A3B3C2</t>
  </si>
  <si>
    <t>A3B3C3</t>
  </si>
  <si>
    <t>累计概率</t>
    <phoneticPr fontId="1" type="noConversion"/>
  </si>
  <si>
    <t>本年还本｛</t>
    <phoneticPr fontId="1" type="noConversion"/>
  </si>
  <si>
    <r>
      <t>年初欠款累计</t>
    </r>
    <r>
      <rPr>
        <sz val="14"/>
        <color theme="1"/>
        <rFont val="宋体"/>
        <family val="3"/>
        <charset val="134"/>
      </rPr>
      <t>｛</t>
    </r>
    <phoneticPr fontId="1" type="noConversion"/>
  </si>
  <si>
    <t xml:space="preserve">                               年份项目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</si>
</sst>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_);[Red]\(0.00\)"/>
    <numFmt numFmtId="178" formatCode="#,##0.00_ "/>
    <numFmt numFmtId="179" formatCode="0.0000_ "/>
    <numFmt numFmtId="180" formatCode="0.000_);[Red]\(0.000\)"/>
    <numFmt numFmtId="181" formatCode="0.00_);\(0.00\)"/>
    <numFmt numFmtId="182" formatCode="0.00000%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59595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9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/>
    <xf numFmtId="177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9" fontId="0" fillId="0" borderId="4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0" borderId="8" xfId="0" applyBorder="1" applyAlignment="1"/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center" readingOrder="1"/>
    </xf>
    <xf numFmtId="181" fontId="0" fillId="0" borderId="8" xfId="0" applyNumberFormat="1" applyBorder="1" applyAlignment="1">
      <alignment horizontal="center" vertical="center"/>
    </xf>
    <xf numFmtId="181" fontId="0" fillId="0" borderId="1" xfId="0" applyNumberFormat="1" applyBorder="1"/>
    <xf numFmtId="181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76" fontId="0" fillId="0" borderId="8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0" xfId="0" applyNumberFormat="1"/>
    <xf numFmtId="0" fontId="0" fillId="0" borderId="1" xfId="0" applyBorder="1"/>
    <xf numFmtId="177" fontId="0" fillId="0" borderId="1" xfId="0" applyNumberFormat="1" applyBorder="1"/>
    <xf numFmtId="10" fontId="0" fillId="0" borderId="0" xfId="0" applyNumberFormat="1"/>
    <xf numFmtId="10" fontId="4" fillId="0" borderId="0" xfId="0" applyNumberFormat="1" applyFont="1"/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182" fontId="0" fillId="0" borderId="0" xfId="0" applyNumberFormat="1"/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/>
    </xf>
    <xf numFmtId="177" fontId="0" fillId="0" borderId="0" xfId="0" applyNumberFormat="1" applyBorder="1" applyAlignment="1">
      <alignment horizontal="center" vertical="center"/>
    </xf>
    <xf numFmtId="0" fontId="0" fillId="0" borderId="11" xfId="0" applyBorder="1"/>
    <xf numFmtId="10" fontId="0" fillId="0" borderId="13" xfId="0" applyNumberFormat="1" applyBorder="1" applyAlignment="1">
      <alignment horizontal="center" vertical="center"/>
    </xf>
    <xf numFmtId="0" fontId="8" fillId="0" borderId="0" xfId="0" applyFont="1"/>
    <xf numFmtId="9" fontId="0" fillId="0" borderId="5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10" fontId="0" fillId="0" borderId="9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82" fontId="0" fillId="0" borderId="1" xfId="0" applyNumberFormat="1" applyBorder="1"/>
    <xf numFmtId="176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0" xfId="0" applyNumberFormat="1"/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80" fontId="0" fillId="0" borderId="8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373731373466"/>
          <c:y val="1.8308398950131234E-2"/>
          <c:w val="0.85193328362044629"/>
          <c:h val="0.875983202099737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分析!$C$51:$C$80</c:f>
              <c:numCache>
                <c:formatCode>0.00_);[Red]\(0.00\)</c:formatCode>
                <c:ptCount val="30"/>
                <c:pt idx="0">
                  <c:v>0.15</c:v>
                </c:pt>
                <c:pt idx="2">
                  <c:v>0.2</c:v>
                </c:pt>
                <c:pt idx="4">
                  <c:v>0.25</c:v>
                </c:pt>
                <c:pt idx="6">
                  <c:v>0.28000000000000003</c:v>
                </c:pt>
                <c:pt idx="8">
                  <c:v>0.3</c:v>
                </c:pt>
                <c:pt idx="10">
                  <c:v>0.30499999999999999</c:v>
                </c:pt>
                <c:pt idx="12">
                  <c:v>0.31</c:v>
                </c:pt>
                <c:pt idx="14">
                  <c:v>0.315</c:v>
                </c:pt>
                <c:pt idx="16">
                  <c:v>0.32</c:v>
                </c:pt>
                <c:pt idx="18">
                  <c:v>0.32300000000000001</c:v>
                </c:pt>
                <c:pt idx="20">
                  <c:v>0.32500000000000001</c:v>
                </c:pt>
                <c:pt idx="22">
                  <c:v>0.33</c:v>
                </c:pt>
                <c:pt idx="24">
                  <c:v>0.35</c:v>
                </c:pt>
                <c:pt idx="26">
                  <c:v>0.4</c:v>
                </c:pt>
                <c:pt idx="28">
                  <c:v>0.5</c:v>
                </c:pt>
              </c:numCache>
            </c:numRef>
          </c:xVal>
          <c:yVal>
            <c:numRef>
              <c:f>分析!$D$51:$D$80</c:f>
              <c:numCache>
                <c:formatCode>0.00_ </c:formatCode>
                <c:ptCount val="30"/>
                <c:pt idx="0">
                  <c:v>2506.2572748357552</c:v>
                </c:pt>
                <c:pt idx="2">
                  <c:v>1340.8706442664859</c:v>
                </c:pt>
                <c:pt idx="4">
                  <c:v>614.55096287709466</c:v>
                </c:pt>
                <c:pt idx="6">
                  <c:v>313.28494627778741</c:v>
                </c:pt>
                <c:pt idx="8">
                  <c:v>152.62657044681052</c:v>
                </c:pt>
                <c:pt idx="10">
                  <c:v>116.67175934749793</c:v>
                </c:pt>
                <c:pt idx="12">
                  <c:v>82.249752389368439</c:v>
                </c:pt>
                <c:pt idx="14">
                  <c:v>49.291589393334149</c:v>
                </c:pt>
                <c:pt idx="16">
                  <c:v>17.731746901594391</c:v>
                </c:pt>
                <c:pt idx="18">
                  <c:v>-0.55900101188323248</c:v>
                </c:pt>
                <c:pt idx="20">
                  <c:v>-12.492050380654639</c:v>
                </c:pt>
                <c:pt idx="22">
                  <c:v>-41.439006883016638</c:v>
                </c:pt>
                <c:pt idx="24">
                  <c:v>-145.54410093024819</c:v>
                </c:pt>
                <c:pt idx="26">
                  <c:v>-339.73795597514453</c:v>
                </c:pt>
                <c:pt idx="28">
                  <c:v>-548.55080617528972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E-454B-B39D-083EE517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23904"/>
        <c:axId val="525021280"/>
      </c:scatterChart>
      <c:valAx>
        <c:axId val="5250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21280"/>
        <c:crosses val="autoZero"/>
        <c:crossBetween val="midCat"/>
      </c:valAx>
      <c:valAx>
        <c:axId val="52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NPV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分析!$F$125</c:f>
              <c:strCache>
                <c:ptCount val="1"/>
                <c:pt idx="0">
                  <c:v>销售收入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分析!$F$126:$F$130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分析!$G$126:$G$130</c:f>
              <c:numCache>
                <c:formatCode>0.00%</c:formatCode>
                <c:ptCount val="5"/>
                <c:pt idx="0">
                  <c:v>0.16709605874595201</c:v>
                </c:pt>
                <c:pt idx="1">
                  <c:v>0.22282795313368564</c:v>
                </c:pt>
                <c:pt idx="2">
                  <c:v>0.27454713683603038</c:v>
                </c:pt>
                <c:pt idx="3">
                  <c:v>0.32329772094000053</c:v>
                </c:pt>
                <c:pt idx="4">
                  <c:v>0.36973508040560743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F-46AE-B125-A27A0B154236}"/>
            </c:ext>
          </c:extLst>
        </c:ser>
        <c:ser>
          <c:idx val="1"/>
          <c:order val="1"/>
          <c:tx>
            <c:strRef>
              <c:f>分析!$C$125</c:f>
              <c:strCache>
                <c:ptCount val="1"/>
                <c:pt idx="0">
                  <c:v>建设投资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分析!$C$126:$C$130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分析!$D$126:$D$130</c:f>
              <c:numCache>
                <c:formatCode>0.00%</c:formatCode>
                <c:ptCount val="5"/>
                <c:pt idx="0">
                  <c:v>0.30147475155206149</c:v>
                </c:pt>
                <c:pt idx="1">
                  <c:v>0.28747319542539995</c:v>
                </c:pt>
                <c:pt idx="2">
                  <c:v>0.27454713683603038</c:v>
                </c:pt>
                <c:pt idx="3">
                  <c:v>0.26256259625000689</c:v>
                </c:pt>
                <c:pt idx="4">
                  <c:v>0.2514078130035704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8F-46AE-B125-A27A0B154236}"/>
            </c:ext>
          </c:extLst>
        </c:ser>
        <c:ser>
          <c:idx val="2"/>
          <c:order val="2"/>
          <c:tx>
            <c:strRef>
              <c:f>分析!$C$132</c:f>
              <c:strCache>
                <c:ptCount val="1"/>
                <c:pt idx="0">
                  <c:v>经营成本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分析!$C$133:$C$137</c:f>
              <c:numCache>
                <c:formatCode>0%</c:formatCode>
                <c:ptCount val="5"/>
                <c:pt idx="0">
                  <c:v>-0.1</c:v>
                </c:pt>
                <c:pt idx="1">
                  <c:v>-0.05</c:v>
                </c:pt>
                <c:pt idx="2" formatCode="General">
                  <c:v>0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分析!$D$133:$D$137</c:f>
              <c:numCache>
                <c:formatCode>0.00%</c:formatCode>
                <c:ptCount val="5"/>
                <c:pt idx="0">
                  <c:v>0.34302439384050754</c:v>
                </c:pt>
                <c:pt idx="1">
                  <c:v>0.30938583272663611</c:v>
                </c:pt>
                <c:pt idx="2">
                  <c:v>0.27454713683603038</c:v>
                </c:pt>
                <c:pt idx="3">
                  <c:v>0.23827204714550954</c:v>
                </c:pt>
                <c:pt idx="4">
                  <c:v>0.20023322376096364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8F-46AE-B125-A27A0B15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48624"/>
        <c:axId val="411950920"/>
      </c:scatterChart>
      <c:valAx>
        <c:axId val="4119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baseline="0">
                    <a:solidFill>
                      <a:sysClr val="windowText" lastClr="000000"/>
                    </a:solidFill>
                  </a:rPr>
                  <a:t>各因素变动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50920"/>
        <c:crosses val="autoZero"/>
        <c:crossBetween val="midCat"/>
      </c:valAx>
      <c:valAx>
        <c:axId val="41195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ysClr val="windowText" lastClr="000000"/>
                    </a:solidFill>
                  </a:rPr>
                  <a:t>IRR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4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蒙特卡洛模拟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蒙特卡洛2!$E$2:$E$41</c:f>
              <c:numCache>
                <c:formatCode>0.00%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xVal>
          <c:yVal>
            <c:numRef>
              <c:f>蒙特卡洛2!$A$2:$A$41</c:f>
              <c:numCache>
                <c:formatCode>0.00_ </c:formatCode>
                <c:ptCount val="40"/>
                <c:pt idx="0">
                  <c:v>996.79211826236201</c:v>
                </c:pt>
                <c:pt idx="1">
                  <c:v>1101.0754001283381</c:v>
                </c:pt>
                <c:pt idx="2">
                  <c:v>1208.4529775662156</c:v>
                </c:pt>
                <c:pt idx="3">
                  <c:v>1415.9392557762815</c:v>
                </c:pt>
                <c:pt idx="4">
                  <c:v>1599.4743757335123</c:v>
                </c:pt>
                <c:pt idx="5">
                  <c:v>1669.2823993478887</c:v>
                </c:pt>
                <c:pt idx="6">
                  <c:v>1823.1634971020901</c:v>
                </c:pt>
                <c:pt idx="7">
                  <c:v>1835.8879895020195</c:v>
                </c:pt>
                <c:pt idx="8">
                  <c:v>1876.3672199756538</c:v>
                </c:pt>
                <c:pt idx="9">
                  <c:v>1880.565838295717</c:v>
                </c:pt>
                <c:pt idx="10">
                  <c:v>1979.5557791996396</c:v>
                </c:pt>
                <c:pt idx="11">
                  <c:v>2023.7791571994892</c:v>
                </c:pt>
                <c:pt idx="12">
                  <c:v>2059.3311988863115</c:v>
                </c:pt>
                <c:pt idx="13">
                  <c:v>2062.6621484091938</c:v>
                </c:pt>
                <c:pt idx="14">
                  <c:v>2063.7948514011123</c:v>
                </c:pt>
                <c:pt idx="15">
                  <c:v>2076.9857168897861</c:v>
                </c:pt>
                <c:pt idx="16">
                  <c:v>2098.6752097006261</c:v>
                </c:pt>
                <c:pt idx="17">
                  <c:v>2106.9732073227733</c:v>
                </c:pt>
                <c:pt idx="18">
                  <c:v>2114.3480810363508</c:v>
                </c:pt>
                <c:pt idx="19">
                  <c:v>2214.1866134424158</c:v>
                </c:pt>
                <c:pt idx="20">
                  <c:v>2228.0623107685306</c:v>
                </c:pt>
                <c:pt idx="21">
                  <c:v>2275.8228116362843</c:v>
                </c:pt>
                <c:pt idx="22">
                  <c:v>2299.6226946440561</c:v>
                </c:pt>
                <c:pt idx="23">
                  <c:v>2316.9871582018063</c:v>
                </c:pt>
                <c:pt idx="24">
                  <c:v>2330.6802280063762</c:v>
                </c:pt>
                <c:pt idx="25">
                  <c:v>2348.8216769735241</c:v>
                </c:pt>
                <c:pt idx="26">
                  <c:v>2356.9377516344607</c:v>
                </c:pt>
                <c:pt idx="27">
                  <c:v>2361.4027128033345</c:v>
                </c:pt>
                <c:pt idx="28">
                  <c:v>2418.9868270753277</c:v>
                </c:pt>
                <c:pt idx="29">
                  <c:v>2499.9160901882738</c:v>
                </c:pt>
                <c:pt idx="30">
                  <c:v>2530.1643663158261</c:v>
                </c:pt>
                <c:pt idx="31">
                  <c:v>2543.892536144841</c:v>
                </c:pt>
                <c:pt idx="32">
                  <c:v>2546.3005018304648</c:v>
                </c:pt>
                <c:pt idx="33">
                  <c:v>2556.0863713984668</c:v>
                </c:pt>
                <c:pt idx="34">
                  <c:v>2568.1596065234244</c:v>
                </c:pt>
                <c:pt idx="35">
                  <c:v>2657.1937296050414</c:v>
                </c:pt>
                <c:pt idx="36">
                  <c:v>2688.5882374667208</c:v>
                </c:pt>
                <c:pt idx="37">
                  <c:v>2742.1025290459902</c:v>
                </c:pt>
                <c:pt idx="38">
                  <c:v>2914.9337775381887</c:v>
                </c:pt>
                <c:pt idx="39">
                  <c:v>3317.6573527784649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1-496E-963F-D9E29B40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44568"/>
        <c:axId val="290108240"/>
      </c:scatterChart>
      <c:valAx>
        <c:axId val="4114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108240"/>
        <c:crosses val="autoZero"/>
        <c:crossBetween val="midCat"/>
      </c:valAx>
      <c:valAx>
        <c:axId val="2901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44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蒙特卡洛模拟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ysClr val="windowText" lastClr="000000"/>
              </a:solidFill>
            </a:defRPr>
          </a:pPr>
          <a:r>
            <a:rPr lang="zh-CN" alt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  <a:ea typeface="等线" panose="02010600030101010101" pitchFamily="2" charset="-122"/>
            </a:rPr>
            <a:t>蒙特卡洛模拟</a:t>
          </a:r>
        </a:p>
      </cx:txPr>
    </cx:title>
    <cx:plotArea>
      <cx:plotAreaRegion>
        <cx:series layoutId="clusteredColumn" uniqueId="{00000000-40EB-4A55-834A-E6CD1BB243BD}">
          <cx:dataId val="0"/>
          <cx:layoutPr>
            <cx:binning intervalClosed="r"/>
          </cx:layoutPr>
        </cx:series>
      </cx:plotAreaRegion>
      <cx:axis id="0">
        <cx:cat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zh-CN" alt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aseline="0">
                <a:solidFill>
                  <a:sysClr val="windowText" lastClr="000000"/>
                </a:solidFill>
              </a:defRPr>
            </a:pPr>
            <a:endParaRPr lang="zh-CN" alt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51</xdr:row>
      <xdr:rowOff>161925</xdr:rowOff>
    </xdr:from>
    <xdr:to>
      <xdr:col>13</xdr:col>
      <xdr:colOff>266699</xdr:colOff>
      <xdr:row>72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D427CC-B21A-4F47-AF4D-AC03E76C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131</xdr:row>
      <xdr:rowOff>9525</xdr:rowOff>
    </xdr:from>
    <xdr:to>
      <xdr:col>10</xdr:col>
      <xdr:colOff>404812</xdr:colOff>
      <xdr:row>146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67082B-FB95-4693-926C-08A2A9FCF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180</xdr:row>
      <xdr:rowOff>171450</xdr:rowOff>
    </xdr:from>
    <xdr:to>
      <xdr:col>6</xdr:col>
      <xdr:colOff>0</xdr:colOff>
      <xdr:row>196</xdr:row>
      <xdr:rowOff>57150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2AFD33E3-9571-419C-A25C-415A253BFC04}"/>
            </a:ext>
          </a:extLst>
        </xdr:cNvPr>
        <xdr:cNvSpPr txBox="1"/>
      </xdr:nvSpPr>
      <xdr:spPr>
        <a:xfrm>
          <a:off x="1695450" y="27336750"/>
          <a:ext cx="4743450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</xdr:col>
      <xdr:colOff>990600</xdr:colOff>
      <xdr:row>187</xdr:row>
      <xdr:rowOff>142875</xdr:rowOff>
    </xdr:from>
    <xdr:to>
      <xdr:col>2</xdr:col>
      <xdr:colOff>1200150</xdr:colOff>
      <xdr:row>188</xdr:row>
      <xdr:rowOff>161925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1D0E9F72-564F-4F3F-9B0D-1DE52A74C3FB}"/>
            </a:ext>
          </a:extLst>
        </xdr:cNvPr>
        <xdr:cNvSpPr/>
      </xdr:nvSpPr>
      <xdr:spPr>
        <a:xfrm>
          <a:off x="2019300" y="28575000"/>
          <a:ext cx="209550" cy="2000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</xdr:colOff>
      <xdr:row>182</xdr:row>
      <xdr:rowOff>161925</xdr:rowOff>
    </xdr:from>
    <xdr:to>
      <xdr:col>3</xdr:col>
      <xdr:colOff>209550</xdr:colOff>
      <xdr:row>183</xdr:row>
      <xdr:rowOff>142875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id="{1FB2B26C-E25B-452C-B94B-E78A89181CAE}"/>
            </a:ext>
          </a:extLst>
        </xdr:cNvPr>
        <xdr:cNvSpPr/>
      </xdr:nvSpPr>
      <xdr:spPr>
        <a:xfrm>
          <a:off x="2724150" y="27689175"/>
          <a:ext cx="180975" cy="1619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76200</xdr:colOff>
      <xdr:row>192</xdr:row>
      <xdr:rowOff>9525</xdr:rowOff>
    </xdr:from>
    <xdr:to>
      <xdr:col>3</xdr:col>
      <xdr:colOff>257175</xdr:colOff>
      <xdr:row>192</xdr:row>
      <xdr:rowOff>171450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F7553248-14B7-4DA4-850C-99E955BE3930}"/>
            </a:ext>
          </a:extLst>
        </xdr:cNvPr>
        <xdr:cNvSpPr/>
      </xdr:nvSpPr>
      <xdr:spPr>
        <a:xfrm>
          <a:off x="2771775" y="29346525"/>
          <a:ext cx="180975" cy="1619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47625</xdr:colOff>
      <xdr:row>187</xdr:row>
      <xdr:rowOff>85725</xdr:rowOff>
    </xdr:from>
    <xdr:to>
      <xdr:col>3</xdr:col>
      <xdr:colOff>228600</xdr:colOff>
      <xdr:row>188</xdr:row>
      <xdr:rowOff>66675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6E4B5F99-F2EC-45FE-A576-85EBC8634A3B}"/>
            </a:ext>
          </a:extLst>
        </xdr:cNvPr>
        <xdr:cNvSpPr/>
      </xdr:nvSpPr>
      <xdr:spPr>
        <a:xfrm>
          <a:off x="2743200" y="28517850"/>
          <a:ext cx="180975" cy="16192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762000</xdr:colOff>
      <xdr:row>181</xdr:row>
      <xdr:rowOff>161925</xdr:rowOff>
    </xdr:from>
    <xdr:to>
      <xdr:col>5</xdr:col>
      <xdr:colOff>952500</xdr:colOff>
      <xdr:row>183</xdr:row>
      <xdr:rowOff>28575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CE249198-86CB-40B6-B6E9-416C0C5199D3}"/>
            </a:ext>
          </a:extLst>
        </xdr:cNvPr>
        <xdr:cNvSpPr txBox="1"/>
      </xdr:nvSpPr>
      <xdr:spPr>
        <a:xfrm>
          <a:off x="4248150" y="27508200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4555.93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183</xdr:row>
      <xdr:rowOff>76200</xdr:rowOff>
    </xdr:from>
    <xdr:to>
      <xdr:col>5</xdr:col>
      <xdr:colOff>952500</xdr:colOff>
      <xdr:row>184</xdr:row>
      <xdr:rowOff>123825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B5E174AA-7CCE-46D0-B458-C9F72340BA0E}"/>
            </a:ext>
          </a:extLst>
        </xdr:cNvPr>
        <xdr:cNvSpPr txBox="1"/>
      </xdr:nvSpPr>
      <xdr:spPr>
        <a:xfrm>
          <a:off x="4248150" y="27784425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2174.55</a:t>
          </a:r>
          <a:r>
            <a:rPr lang="zh-CN" altLang="en-US"/>
            <a:t> 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184</xdr:row>
      <xdr:rowOff>171450</xdr:rowOff>
    </xdr:from>
    <xdr:to>
      <xdr:col>5</xdr:col>
      <xdr:colOff>952500</xdr:colOff>
      <xdr:row>186</xdr:row>
      <xdr:rowOff>38100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B04C922A-15E1-4830-932B-DE7A68D7B34D}"/>
            </a:ext>
          </a:extLst>
        </xdr:cNvPr>
        <xdr:cNvSpPr txBox="1"/>
      </xdr:nvSpPr>
      <xdr:spPr>
        <a:xfrm>
          <a:off x="4248150" y="28060650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983.858</a:t>
          </a:r>
          <a:r>
            <a:rPr lang="zh-CN" altLang="en-US"/>
            <a:t> 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188</xdr:row>
      <xdr:rowOff>0</xdr:rowOff>
    </xdr:from>
    <xdr:to>
      <xdr:col>5</xdr:col>
      <xdr:colOff>952500</xdr:colOff>
      <xdr:row>189</xdr:row>
      <xdr:rowOff>47625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493D173-8C44-4D90-B121-2E92CE3CA840}"/>
            </a:ext>
          </a:extLst>
        </xdr:cNvPr>
        <xdr:cNvSpPr txBox="1"/>
      </xdr:nvSpPr>
      <xdr:spPr>
        <a:xfrm>
          <a:off x="4248150" y="28613100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1763.11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189</xdr:row>
      <xdr:rowOff>95250</xdr:rowOff>
    </xdr:from>
    <xdr:to>
      <xdr:col>5</xdr:col>
      <xdr:colOff>952500</xdr:colOff>
      <xdr:row>190</xdr:row>
      <xdr:rowOff>142875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DC275A47-BF57-4BC1-8351-C8A4D79EE265}"/>
            </a:ext>
          </a:extLst>
        </xdr:cNvPr>
        <xdr:cNvSpPr txBox="1"/>
      </xdr:nvSpPr>
      <xdr:spPr>
        <a:xfrm>
          <a:off x="4248150" y="28889325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680.659</a:t>
          </a:r>
          <a:r>
            <a:rPr lang="zh-CN" altLang="en-US"/>
            <a:t> 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191</xdr:row>
      <xdr:rowOff>9525</xdr:rowOff>
    </xdr:from>
    <xdr:to>
      <xdr:col>5</xdr:col>
      <xdr:colOff>952500</xdr:colOff>
      <xdr:row>192</xdr:row>
      <xdr:rowOff>57150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959FC864-F19C-45C2-A6E6-00058060AEA4}"/>
            </a:ext>
          </a:extLst>
        </xdr:cNvPr>
        <xdr:cNvSpPr txBox="1"/>
      </xdr:nvSpPr>
      <xdr:spPr>
        <a:xfrm>
          <a:off x="4248150" y="29165550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4321.91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192</xdr:row>
      <xdr:rowOff>95250</xdr:rowOff>
    </xdr:from>
    <xdr:to>
      <xdr:col>5</xdr:col>
      <xdr:colOff>952500</xdr:colOff>
      <xdr:row>193</xdr:row>
      <xdr:rowOff>142875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8F24626D-9232-43C1-ADC0-BE23C0FBC308}"/>
            </a:ext>
          </a:extLst>
        </xdr:cNvPr>
        <xdr:cNvSpPr txBox="1"/>
      </xdr:nvSpPr>
      <xdr:spPr>
        <a:xfrm>
          <a:off x="4248150" y="29432250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2157.02</a:t>
          </a:r>
          <a:r>
            <a:rPr lang="zh-CN" altLang="en-US"/>
            <a:t> 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194</xdr:row>
      <xdr:rowOff>0</xdr:rowOff>
    </xdr:from>
    <xdr:to>
      <xdr:col>5</xdr:col>
      <xdr:colOff>952500</xdr:colOff>
      <xdr:row>195</xdr:row>
      <xdr:rowOff>47625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8E83431B-73A0-4323-8157-3878EE5EE1FD}"/>
            </a:ext>
          </a:extLst>
        </xdr:cNvPr>
        <xdr:cNvSpPr txBox="1"/>
      </xdr:nvSpPr>
      <xdr:spPr>
        <a:xfrm>
          <a:off x="4248150" y="29698950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1074.57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4</xdr:col>
      <xdr:colOff>762000</xdr:colOff>
      <xdr:row>186</xdr:row>
      <xdr:rowOff>85725</xdr:rowOff>
    </xdr:from>
    <xdr:to>
      <xdr:col>5</xdr:col>
      <xdr:colOff>952500</xdr:colOff>
      <xdr:row>187</xdr:row>
      <xdr:rowOff>133350</xdr:rowOff>
    </xdr:to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862F9E68-1836-4CBC-B96C-E119F916952D}"/>
            </a:ext>
          </a:extLst>
        </xdr:cNvPr>
        <xdr:cNvSpPr txBox="1"/>
      </xdr:nvSpPr>
      <xdr:spPr>
        <a:xfrm>
          <a:off x="4248150" y="28336875"/>
          <a:ext cx="1419225" cy="2286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NPV=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3928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209550</xdr:colOff>
      <xdr:row>182</xdr:row>
      <xdr:rowOff>95250</xdr:rowOff>
    </xdr:from>
    <xdr:to>
      <xdr:col>4</xdr:col>
      <xdr:colOff>762000</xdr:colOff>
      <xdr:row>183</xdr:row>
      <xdr:rowOff>61913</xdr:rowOff>
    </xdr:to>
    <xdr:cxnSp macro="">
      <xdr:nvCxnSpPr>
        <xdr:cNvPr id="21" name="连接符: 肘形 20">
          <a:extLst>
            <a:ext uri="{FF2B5EF4-FFF2-40B4-BE49-F238E27FC236}">
              <a16:creationId xmlns:a16="http://schemas.microsoft.com/office/drawing/2014/main" id="{253FE8C9-CF3F-49C8-AC55-578600CE72C7}"/>
            </a:ext>
          </a:extLst>
        </xdr:cNvPr>
        <xdr:cNvCxnSpPr>
          <a:stCxn id="7" idx="6"/>
          <a:endCxn id="11" idx="1"/>
        </xdr:cNvCxnSpPr>
      </xdr:nvCxnSpPr>
      <xdr:spPr>
        <a:xfrm flipV="1">
          <a:off x="2905125" y="27622500"/>
          <a:ext cx="1343025" cy="14763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183</xdr:row>
      <xdr:rowOff>61913</xdr:rowOff>
    </xdr:from>
    <xdr:to>
      <xdr:col>4</xdr:col>
      <xdr:colOff>762000</xdr:colOff>
      <xdr:row>184</xdr:row>
      <xdr:rowOff>9525</xdr:rowOff>
    </xdr:to>
    <xdr:cxnSp macro="">
      <xdr:nvCxnSpPr>
        <xdr:cNvPr id="30" name="连接符: 肘形 29">
          <a:extLst>
            <a:ext uri="{FF2B5EF4-FFF2-40B4-BE49-F238E27FC236}">
              <a16:creationId xmlns:a16="http://schemas.microsoft.com/office/drawing/2014/main" id="{15FEE850-676B-4BC3-8D3F-F7062BB1439E}"/>
            </a:ext>
          </a:extLst>
        </xdr:cNvPr>
        <xdr:cNvCxnSpPr>
          <a:stCxn id="7" idx="6"/>
          <a:endCxn id="12" idx="1"/>
        </xdr:cNvCxnSpPr>
      </xdr:nvCxnSpPr>
      <xdr:spPr>
        <a:xfrm>
          <a:off x="2905125" y="27770138"/>
          <a:ext cx="1343025" cy="128587"/>
        </a:xfrm>
        <a:prstGeom prst="bentConnector3">
          <a:avLst>
            <a:gd name="adj1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183</xdr:row>
      <xdr:rowOff>61913</xdr:rowOff>
    </xdr:from>
    <xdr:to>
      <xdr:col>4</xdr:col>
      <xdr:colOff>762000</xdr:colOff>
      <xdr:row>185</xdr:row>
      <xdr:rowOff>104775</xdr:rowOff>
    </xdr:to>
    <xdr:cxnSp macro="">
      <xdr:nvCxnSpPr>
        <xdr:cNvPr id="32" name="连接符: 肘形 31">
          <a:extLst>
            <a:ext uri="{FF2B5EF4-FFF2-40B4-BE49-F238E27FC236}">
              <a16:creationId xmlns:a16="http://schemas.microsoft.com/office/drawing/2014/main" id="{FAFAEB0D-388B-41DB-9A55-2428D09DAE92}"/>
            </a:ext>
          </a:extLst>
        </xdr:cNvPr>
        <xdr:cNvCxnSpPr>
          <a:stCxn id="7" idx="6"/>
          <a:endCxn id="13" idx="1"/>
        </xdr:cNvCxnSpPr>
      </xdr:nvCxnSpPr>
      <xdr:spPr>
        <a:xfrm>
          <a:off x="2905125" y="27770138"/>
          <a:ext cx="1343025" cy="404812"/>
        </a:xfrm>
        <a:prstGeom prst="bentConnector3">
          <a:avLst>
            <a:gd name="adj1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187</xdr:row>
      <xdr:rowOff>166688</xdr:rowOff>
    </xdr:from>
    <xdr:to>
      <xdr:col>4</xdr:col>
      <xdr:colOff>762000</xdr:colOff>
      <xdr:row>188</xdr:row>
      <xdr:rowOff>114300</xdr:rowOff>
    </xdr:to>
    <xdr:cxnSp macro="">
      <xdr:nvCxnSpPr>
        <xdr:cNvPr id="37" name="连接符: 肘形 36">
          <a:extLst>
            <a:ext uri="{FF2B5EF4-FFF2-40B4-BE49-F238E27FC236}">
              <a16:creationId xmlns:a16="http://schemas.microsoft.com/office/drawing/2014/main" id="{DDBB4FB4-17E7-4EB8-8721-4908E148FCC9}"/>
            </a:ext>
          </a:extLst>
        </xdr:cNvPr>
        <xdr:cNvCxnSpPr>
          <a:stCxn id="9" idx="6"/>
          <a:endCxn id="14" idx="1"/>
        </xdr:cNvCxnSpPr>
      </xdr:nvCxnSpPr>
      <xdr:spPr>
        <a:xfrm>
          <a:off x="2924175" y="28598813"/>
          <a:ext cx="1323975" cy="128587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187</xdr:row>
      <xdr:rowOff>166688</xdr:rowOff>
    </xdr:from>
    <xdr:to>
      <xdr:col>4</xdr:col>
      <xdr:colOff>762000</xdr:colOff>
      <xdr:row>190</xdr:row>
      <xdr:rowOff>28575</xdr:rowOff>
    </xdr:to>
    <xdr:cxnSp macro="">
      <xdr:nvCxnSpPr>
        <xdr:cNvPr id="38" name="连接符: 肘形 37">
          <a:extLst>
            <a:ext uri="{FF2B5EF4-FFF2-40B4-BE49-F238E27FC236}">
              <a16:creationId xmlns:a16="http://schemas.microsoft.com/office/drawing/2014/main" id="{D7181973-9D69-4DE8-83FF-46C8765C0138}"/>
            </a:ext>
          </a:extLst>
        </xdr:cNvPr>
        <xdr:cNvCxnSpPr>
          <a:stCxn id="9" idx="6"/>
          <a:endCxn id="15" idx="1"/>
        </xdr:cNvCxnSpPr>
      </xdr:nvCxnSpPr>
      <xdr:spPr>
        <a:xfrm>
          <a:off x="2924175" y="28598813"/>
          <a:ext cx="1323975" cy="404812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187</xdr:row>
      <xdr:rowOff>19050</xdr:rowOff>
    </xdr:from>
    <xdr:to>
      <xdr:col>4</xdr:col>
      <xdr:colOff>762000</xdr:colOff>
      <xdr:row>187</xdr:row>
      <xdr:rowOff>166688</xdr:rowOff>
    </xdr:to>
    <xdr:cxnSp macro="">
      <xdr:nvCxnSpPr>
        <xdr:cNvPr id="39" name="连接符: 肘形 38">
          <a:extLst>
            <a:ext uri="{FF2B5EF4-FFF2-40B4-BE49-F238E27FC236}">
              <a16:creationId xmlns:a16="http://schemas.microsoft.com/office/drawing/2014/main" id="{22211283-5321-4B7B-8580-4EA11A11E759}"/>
            </a:ext>
          </a:extLst>
        </xdr:cNvPr>
        <xdr:cNvCxnSpPr>
          <a:stCxn id="9" idx="6"/>
          <a:endCxn id="19" idx="1"/>
        </xdr:cNvCxnSpPr>
      </xdr:nvCxnSpPr>
      <xdr:spPr>
        <a:xfrm flipV="1">
          <a:off x="2924175" y="28451175"/>
          <a:ext cx="1323975" cy="14763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192</xdr:row>
      <xdr:rowOff>90488</xdr:rowOff>
    </xdr:from>
    <xdr:to>
      <xdr:col>4</xdr:col>
      <xdr:colOff>762000</xdr:colOff>
      <xdr:row>193</xdr:row>
      <xdr:rowOff>28575</xdr:rowOff>
    </xdr:to>
    <xdr:cxnSp macro="">
      <xdr:nvCxnSpPr>
        <xdr:cNvPr id="46" name="连接符: 肘形 45">
          <a:extLst>
            <a:ext uri="{FF2B5EF4-FFF2-40B4-BE49-F238E27FC236}">
              <a16:creationId xmlns:a16="http://schemas.microsoft.com/office/drawing/2014/main" id="{E3FF964E-8FEF-43AD-97BD-6E61E5BF578E}"/>
            </a:ext>
          </a:extLst>
        </xdr:cNvPr>
        <xdr:cNvCxnSpPr>
          <a:stCxn id="8" idx="6"/>
          <a:endCxn id="17" idx="1"/>
        </xdr:cNvCxnSpPr>
      </xdr:nvCxnSpPr>
      <xdr:spPr>
        <a:xfrm>
          <a:off x="2952750" y="29427488"/>
          <a:ext cx="1295400" cy="119062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192</xdr:row>
      <xdr:rowOff>90488</xdr:rowOff>
    </xdr:from>
    <xdr:to>
      <xdr:col>4</xdr:col>
      <xdr:colOff>762000</xdr:colOff>
      <xdr:row>194</xdr:row>
      <xdr:rowOff>114300</xdr:rowOff>
    </xdr:to>
    <xdr:cxnSp macro="">
      <xdr:nvCxnSpPr>
        <xdr:cNvPr id="47" name="连接符: 肘形 46">
          <a:extLst>
            <a:ext uri="{FF2B5EF4-FFF2-40B4-BE49-F238E27FC236}">
              <a16:creationId xmlns:a16="http://schemas.microsoft.com/office/drawing/2014/main" id="{EA6FF87F-EB1C-43F4-91B5-67738BA9E569}"/>
            </a:ext>
          </a:extLst>
        </xdr:cNvPr>
        <xdr:cNvCxnSpPr>
          <a:stCxn id="8" idx="6"/>
          <a:endCxn id="18" idx="1"/>
        </xdr:cNvCxnSpPr>
      </xdr:nvCxnSpPr>
      <xdr:spPr>
        <a:xfrm>
          <a:off x="2952750" y="29427488"/>
          <a:ext cx="1295400" cy="385762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191</xdr:row>
      <xdr:rowOff>123825</xdr:rowOff>
    </xdr:from>
    <xdr:to>
      <xdr:col>4</xdr:col>
      <xdr:colOff>762000</xdr:colOff>
      <xdr:row>192</xdr:row>
      <xdr:rowOff>90488</xdr:rowOff>
    </xdr:to>
    <xdr:cxnSp macro="">
      <xdr:nvCxnSpPr>
        <xdr:cNvPr id="48" name="连接符: 肘形 47">
          <a:extLst>
            <a:ext uri="{FF2B5EF4-FFF2-40B4-BE49-F238E27FC236}">
              <a16:creationId xmlns:a16="http://schemas.microsoft.com/office/drawing/2014/main" id="{FBD2D6E0-B7A4-4E08-B6F5-4921948F5273}"/>
            </a:ext>
          </a:extLst>
        </xdr:cNvPr>
        <xdr:cNvCxnSpPr>
          <a:stCxn id="8" idx="6"/>
          <a:endCxn id="16" idx="1"/>
        </xdr:cNvCxnSpPr>
      </xdr:nvCxnSpPr>
      <xdr:spPr>
        <a:xfrm flipV="1">
          <a:off x="2952750" y="29279850"/>
          <a:ext cx="1295400" cy="147638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1200150</xdr:colOff>
      <xdr:row>183</xdr:row>
      <xdr:rowOff>119162</xdr:rowOff>
    </xdr:from>
    <xdr:to>
      <xdr:col>3</xdr:col>
      <xdr:colOff>55078</xdr:colOff>
      <xdr:row>188</xdr:row>
      <xdr:rowOff>61913</xdr:rowOff>
    </xdr:to>
    <xdr:cxnSp macro="">
      <xdr:nvCxnSpPr>
        <xdr:cNvPr id="56" name="直接连接符 55">
          <a:extLst>
            <a:ext uri="{FF2B5EF4-FFF2-40B4-BE49-F238E27FC236}">
              <a16:creationId xmlns:a16="http://schemas.microsoft.com/office/drawing/2014/main" id="{D4D1ADFC-F923-47B9-852C-F9BADCB7FE87}"/>
            </a:ext>
          </a:extLst>
        </xdr:cNvPr>
        <xdr:cNvCxnSpPr>
          <a:stCxn id="7" idx="3"/>
          <a:endCxn id="6" idx="3"/>
        </xdr:cNvCxnSpPr>
      </xdr:nvCxnSpPr>
      <xdr:spPr>
        <a:xfrm flipH="1">
          <a:off x="2228850" y="27827387"/>
          <a:ext cx="521803" cy="847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1200150</xdr:colOff>
      <xdr:row>187</xdr:row>
      <xdr:rowOff>166688</xdr:rowOff>
    </xdr:from>
    <xdr:to>
      <xdr:col>3</xdr:col>
      <xdr:colOff>47625</xdr:colOff>
      <xdr:row>188</xdr:row>
      <xdr:rowOff>61913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id="{095BD6A5-8E42-420C-A59F-BBFD7C0D66FE}"/>
            </a:ext>
          </a:extLst>
        </xdr:cNvPr>
        <xdr:cNvCxnSpPr>
          <a:stCxn id="9" idx="2"/>
          <a:endCxn id="6" idx="3"/>
        </xdr:cNvCxnSpPr>
      </xdr:nvCxnSpPr>
      <xdr:spPr>
        <a:xfrm flipH="1">
          <a:off x="2228850" y="28598813"/>
          <a:ext cx="51435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1200150</xdr:colOff>
      <xdr:row>188</xdr:row>
      <xdr:rowOff>61913</xdr:rowOff>
    </xdr:from>
    <xdr:to>
      <xdr:col>3</xdr:col>
      <xdr:colOff>76200</xdr:colOff>
      <xdr:row>192</xdr:row>
      <xdr:rowOff>90488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id="{CC8213E7-5598-4410-9950-7BB980CB3670}"/>
            </a:ext>
          </a:extLst>
        </xdr:cNvPr>
        <xdr:cNvCxnSpPr>
          <a:stCxn id="6" idx="3"/>
          <a:endCxn id="8" idx="2"/>
        </xdr:cNvCxnSpPr>
      </xdr:nvCxnSpPr>
      <xdr:spPr>
        <a:xfrm>
          <a:off x="2228850" y="28675013"/>
          <a:ext cx="542925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142874</xdr:colOff>
      <xdr:row>181</xdr:row>
      <xdr:rowOff>19050</xdr:rowOff>
    </xdr:from>
    <xdr:to>
      <xdr:col>4</xdr:col>
      <xdr:colOff>704849</xdr:colOff>
      <xdr:row>182</xdr:row>
      <xdr:rowOff>95250</xdr:rowOff>
    </xdr:to>
    <xdr:sp macro="" textlink="">
      <xdr:nvSpPr>
        <xdr:cNvPr id="66" name="文本框 65">
          <a:extLst>
            <a:ext uri="{FF2B5EF4-FFF2-40B4-BE49-F238E27FC236}">
              <a16:creationId xmlns:a16="http://schemas.microsoft.com/office/drawing/2014/main" id="{05A74456-E9AE-45D1-B819-87107EEE2311}"/>
            </a:ext>
          </a:extLst>
        </xdr:cNvPr>
        <xdr:cNvSpPr txBox="1"/>
      </xdr:nvSpPr>
      <xdr:spPr>
        <a:xfrm>
          <a:off x="3629024" y="27365325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a(0.4)</a:t>
          </a:r>
          <a:endParaRPr lang="zh-CN" altLang="en-US" sz="1100"/>
        </a:p>
      </xdr:txBody>
    </xdr:sp>
    <xdr:clientData/>
  </xdr:twoCellAnchor>
  <xdr:twoCellAnchor>
    <xdr:from>
      <xdr:col>4</xdr:col>
      <xdr:colOff>133349</xdr:colOff>
      <xdr:row>182</xdr:row>
      <xdr:rowOff>123825</xdr:rowOff>
    </xdr:from>
    <xdr:to>
      <xdr:col>4</xdr:col>
      <xdr:colOff>695324</xdr:colOff>
      <xdr:row>184</xdr:row>
      <xdr:rowOff>19050</xdr:rowOff>
    </xdr:to>
    <xdr:sp macro="" textlink="">
      <xdr:nvSpPr>
        <xdr:cNvPr id="67" name="文本框 66">
          <a:extLst>
            <a:ext uri="{FF2B5EF4-FFF2-40B4-BE49-F238E27FC236}">
              <a16:creationId xmlns:a16="http://schemas.microsoft.com/office/drawing/2014/main" id="{73A4D2F5-9255-49B9-A2AC-8E5C02E27F73}"/>
            </a:ext>
          </a:extLst>
        </xdr:cNvPr>
        <xdr:cNvSpPr txBox="1"/>
      </xdr:nvSpPr>
      <xdr:spPr>
        <a:xfrm>
          <a:off x="3619499" y="27651075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b(0.4)</a:t>
          </a:r>
          <a:endParaRPr lang="zh-CN" altLang="en-US" sz="1100"/>
        </a:p>
      </xdr:txBody>
    </xdr:sp>
    <xdr:clientData/>
  </xdr:twoCellAnchor>
  <xdr:twoCellAnchor>
    <xdr:from>
      <xdr:col>4</xdr:col>
      <xdr:colOff>142874</xdr:colOff>
      <xdr:row>184</xdr:row>
      <xdr:rowOff>47625</xdr:rowOff>
    </xdr:from>
    <xdr:to>
      <xdr:col>4</xdr:col>
      <xdr:colOff>704849</xdr:colOff>
      <xdr:row>185</xdr:row>
      <xdr:rowOff>123825</xdr:rowOff>
    </xdr:to>
    <xdr:sp macro="" textlink="">
      <xdr:nvSpPr>
        <xdr:cNvPr id="68" name="文本框 67">
          <a:extLst>
            <a:ext uri="{FF2B5EF4-FFF2-40B4-BE49-F238E27FC236}">
              <a16:creationId xmlns:a16="http://schemas.microsoft.com/office/drawing/2014/main" id="{423D0A3D-B797-4525-996C-4ABDDA1F9DF3}"/>
            </a:ext>
          </a:extLst>
        </xdr:cNvPr>
        <xdr:cNvSpPr txBox="1"/>
      </xdr:nvSpPr>
      <xdr:spPr>
        <a:xfrm>
          <a:off x="3629024" y="27936825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c(0.2)</a:t>
          </a:r>
          <a:endParaRPr lang="zh-CN" altLang="en-US" sz="1100"/>
        </a:p>
      </xdr:txBody>
    </xdr:sp>
    <xdr:clientData/>
  </xdr:twoCellAnchor>
  <xdr:twoCellAnchor>
    <xdr:from>
      <xdr:col>4</xdr:col>
      <xdr:colOff>152399</xdr:colOff>
      <xdr:row>190</xdr:row>
      <xdr:rowOff>85725</xdr:rowOff>
    </xdr:from>
    <xdr:to>
      <xdr:col>4</xdr:col>
      <xdr:colOff>714374</xdr:colOff>
      <xdr:row>191</xdr:row>
      <xdr:rowOff>161925</xdr:rowOff>
    </xdr:to>
    <xdr:sp macro="" textlink="">
      <xdr:nvSpPr>
        <xdr:cNvPr id="69" name="文本框 68">
          <a:extLst>
            <a:ext uri="{FF2B5EF4-FFF2-40B4-BE49-F238E27FC236}">
              <a16:creationId xmlns:a16="http://schemas.microsoft.com/office/drawing/2014/main" id="{8EC9C2D7-955D-4E7D-BA94-2B165CEEA5C4}"/>
            </a:ext>
          </a:extLst>
        </xdr:cNvPr>
        <xdr:cNvSpPr txBox="1"/>
      </xdr:nvSpPr>
      <xdr:spPr>
        <a:xfrm>
          <a:off x="3638549" y="29060775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a(0.4)</a:t>
          </a:r>
          <a:endParaRPr lang="zh-CN" altLang="en-US" sz="1100"/>
        </a:p>
      </xdr:txBody>
    </xdr:sp>
    <xdr:clientData/>
  </xdr:twoCellAnchor>
  <xdr:twoCellAnchor>
    <xdr:from>
      <xdr:col>4</xdr:col>
      <xdr:colOff>142874</xdr:colOff>
      <xdr:row>185</xdr:row>
      <xdr:rowOff>161925</xdr:rowOff>
    </xdr:from>
    <xdr:to>
      <xdr:col>4</xdr:col>
      <xdr:colOff>704849</xdr:colOff>
      <xdr:row>187</xdr:row>
      <xdr:rowOff>57150</xdr:rowOff>
    </xdr:to>
    <xdr:sp macro="" textlink="">
      <xdr:nvSpPr>
        <xdr:cNvPr id="70" name="文本框 69">
          <a:extLst>
            <a:ext uri="{FF2B5EF4-FFF2-40B4-BE49-F238E27FC236}">
              <a16:creationId xmlns:a16="http://schemas.microsoft.com/office/drawing/2014/main" id="{40BFB0B0-57D5-4AEC-90BF-7C1177CE8B71}"/>
            </a:ext>
          </a:extLst>
        </xdr:cNvPr>
        <xdr:cNvSpPr txBox="1"/>
      </xdr:nvSpPr>
      <xdr:spPr>
        <a:xfrm>
          <a:off x="3629024" y="28232100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a(0.4)</a:t>
          </a:r>
          <a:endParaRPr lang="zh-CN" altLang="en-US" sz="1100"/>
        </a:p>
      </xdr:txBody>
    </xdr:sp>
    <xdr:clientData/>
  </xdr:twoCellAnchor>
  <xdr:twoCellAnchor>
    <xdr:from>
      <xdr:col>4</xdr:col>
      <xdr:colOff>152399</xdr:colOff>
      <xdr:row>192</xdr:row>
      <xdr:rowOff>0</xdr:rowOff>
    </xdr:from>
    <xdr:to>
      <xdr:col>4</xdr:col>
      <xdr:colOff>714374</xdr:colOff>
      <xdr:row>193</xdr:row>
      <xdr:rowOff>76200</xdr:rowOff>
    </xdr:to>
    <xdr:sp macro="" textlink="">
      <xdr:nvSpPr>
        <xdr:cNvPr id="71" name="文本框 70">
          <a:extLst>
            <a:ext uri="{FF2B5EF4-FFF2-40B4-BE49-F238E27FC236}">
              <a16:creationId xmlns:a16="http://schemas.microsoft.com/office/drawing/2014/main" id="{C7DA2DED-F3E7-4879-B067-3D2FC536A2AD}"/>
            </a:ext>
          </a:extLst>
        </xdr:cNvPr>
        <xdr:cNvSpPr txBox="1"/>
      </xdr:nvSpPr>
      <xdr:spPr>
        <a:xfrm>
          <a:off x="3638549" y="29337000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b(0.4)</a:t>
          </a:r>
          <a:endParaRPr lang="zh-CN" altLang="en-US" sz="1100"/>
        </a:p>
      </xdr:txBody>
    </xdr:sp>
    <xdr:clientData/>
  </xdr:twoCellAnchor>
  <xdr:twoCellAnchor>
    <xdr:from>
      <xdr:col>4</xdr:col>
      <xdr:colOff>133349</xdr:colOff>
      <xdr:row>187</xdr:row>
      <xdr:rowOff>66675</xdr:rowOff>
    </xdr:from>
    <xdr:to>
      <xdr:col>4</xdr:col>
      <xdr:colOff>695324</xdr:colOff>
      <xdr:row>188</xdr:row>
      <xdr:rowOff>142875</xdr:rowOff>
    </xdr:to>
    <xdr:sp macro="" textlink="">
      <xdr:nvSpPr>
        <xdr:cNvPr id="72" name="文本框 71">
          <a:extLst>
            <a:ext uri="{FF2B5EF4-FFF2-40B4-BE49-F238E27FC236}">
              <a16:creationId xmlns:a16="http://schemas.microsoft.com/office/drawing/2014/main" id="{1FBCCA13-4E43-45AF-B843-A9C0E4F3EA5A}"/>
            </a:ext>
          </a:extLst>
        </xdr:cNvPr>
        <xdr:cNvSpPr txBox="1"/>
      </xdr:nvSpPr>
      <xdr:spPr>
        <a:xfrm>
          <a:off x="3619499" y="28498800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b(0.4)</a:t>
          </a:r>
          <a:endParaRPr lang="zh-CN" altLang="en-US" sz="1100"/>
        </a:p>
      </xdr:txBody>
    </xdr:sp>
    <xdr:clientData/>
  </xdr:twoCellAnchor>
  <xdr:twoCellAnchor>
    <xdr:from>
      <xdr:col>4</xdr:col>
      <xdr:colOff>152399</xdr:colOff>
      <xdr:row>193</xdr:row>
      <xdr:rowOff>76200</xdr:rowOff>
    </xdr:from>
    <xdr:to>
      <xdr:col>4</xdr:col>
      <xdr:colOff>714374</xdr:colOff>
      <xdr:row>194</xdr:row>
      <xdr:rowOff>152400</xdr:rowOff>
    </xdr:to>
    <xdr:sp macro="" textlink="">
      <xdr:nvSpPr>
        <xdr:cNvPr id="73" name="文本框 72">
          <a:extLst>
            <a:ext uri="{FF2B5EF4-FFF2-40B4-BE49-F238E27FC236}">
              <a16:creationId xmlns:a16="http://schemas.microsoft.com/office/drawing/2014/main" id="{E828FD24-7BB9-40D6-B463-E2EBFD0D4FEB}"/>
            </a:ext>
          </a:extLst>
        </xdr:cNvPr>
        <xdr:cNvSpPr txBox="1"/>
      </xdr:nvSpPr>
      <xdr:spPr>
        <a:xfrm>
          <a:off x="3638549" y="29594175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c(0.2)</a:t>
          </a:r>
          <a:endParaRPr lang="zh-CN" altLang="en-US" sz="1100"/>
        </a:p>
      </xdr:txBody>
    </xdr:sp>
    <xdr:clientData/>
  </xdr:twoCellAnchor>
  <xdr:twoCellAnchor>
    <xdr:from>
      <xdr:col>4</xdr:col>
      <xdr:colOff>133349</xdr:colOff>
      <xdr:row>188</xdr:row>
      <xdr:rowOff>171450</xdr:rowOff>
    </xdr:from>
    <xdr:to>
      <xdr:col>4</xdr:col>
      <xdr:colOff>695324</xdr:colOff>
      <xdr:row>190</xdr:row>
      <xdr:rowOff>66675</xdr:rowOff>
    </xdr:to>
    <xdr:sp macro="" textlink="">
      <xdr:nvSpPr>
        <xdr:cNvPr id="74" name="文本框 73">
          <a:extLst>
            <a:ext uri="{FF2B5EF4-FFF2-40B4-BE49-F238E27FC236}">
              <a16:creationId xmlns:a16="http://schemas.microsoft.com/office/drawing/2014/main" id="{FE3FD45B-9799-45CE-B2E8-2F40D05577A8}"/>
            </a:ext>
          </a:extLst>
        </xdr:cNvPr>
        <xdr:cNvSpPr txBox="1"/>
      </xdr:nvSpPr>
      <xdr:spPr>
        <a:xfrm>
          <a:off x="3619499" y="28784550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c(0.2)</a:t>
          </a:r>
          <a:endParaRPr lang="zh-CN" altLang="en-US" sz="1100"/>
        </a:p>
      </xdr:txBody>
    </xdr:sp>
    <xdr:clientData/>
  </xdr:twoCellAnchor>
  <xdr:twoCellAnchor>
    <xdr:from>
      <xdr:col>3</xdr:col>
      <xdr:colOff>66675</xdr:colOff>
      <xdr:row>181</xdr:row>
      <xdr:rowOff>133350</xdr:rowOff>
    </xdr:from>
    <xdr:to>
      <xdr:col>4</xdr:col>
      <xdr:colOff>0</xdr:colOff>
      <xdr:row>183</xdr:row>
      <xdr:rowOff>9525</xdr:rowOff>
    </xdr:to>
    <xdr:sp macro="" textlink="">
      <xdr:nvSpPr>
        <xdr:cNvPr id="75" name="文本框 74">
          <a:extLst>
            <a:ext uri="{FF2B5EF4-FFF2-40B4-BE49-F238E27FC236}">
              <a16:creationId xmlns:a16="http://schemas.microsoft.com/office/drawing/2014/main" id="{C75921B0-0ECD-46B4-A2D6-2AA2ECAF1D32}"/>
            </a:ext>
          </a:extLst>
        </xdr:cNvPr>
        <xdr:cNvSpPr txBox="1"/>
      </xdr:nvSpPr>
      <xdr:spPr>
        <a:xfrm>
          <a:off x="2762250" y="27479625"/>
          <a:ext cx="7239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2888.96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66675</xdr:colOff>
      <xdr:row>191</xdr:row>
      <xdr:rowOff>0</xdr:rowOff>
    </xdr:from>
    <xdr:to>
      <xdr:col>4</xdr:col>
      <xdr:colOff>0</xdr:colOff>
      <xdr:row>192</xdr:row>
      <xdr:rowOff>57150</xdr:rowOff>
    </xdr:to>
    <xdr:sp macro="" textlink="">
      <xdr:nvSpPr>
        <xdr:cNvPr id="76" name="文本框 75">
          <a:extLst>
            <a:ext uri="{FF2B5EF4-FFF2-40B4-BE49-F238E27FC236}">
              <a16:creationId xmlns:a16="http://schemas.microsoft.com/office/drawing/2014/main" id="{E2475737-F9DA-445C-A675-9B73A3BE1E77}"/>
            </a:ext>
          </a:extLst>
        </xdr:cNvPr>
        <xdr:cNvSpPr txBox="1"/>
      </xdr:nvSpPr>
      <xdr:spPr>
        <a:xfrm>
          <a:off x="2762250" y="29156025"/>
          <a:ext cx="7239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2806.48</a:t>
          </a:r>
          <a:r>
            <a:rPr lang="zh-CN" altLang="en-US"/>
            <a:t>  </a:t>
          </a:r>
          <a:endParaRPr lang="zh-CN" altLang="en-US" sz="1100"/>
        </a:p>
      </xdr:txBody>
    </xdr:sp>
    <xdr:clientData/>
  </xdr:twoCellAnchor>
  <xdr:twoCellAnchor>
    <xdr:from>
      <xdr:col>3</xdr:col>
      <xdr:colOff>57150</xdr:colOff>
      <xdr:row>186</xdr:row>
      <xdr:rowOff>38100</xdr:rowOff>
    </xdr:from>
    <xdr:to>
      <xdr:col>3</xdr:col>
      <xdr:colOff>781050</xdr:colOff>
      <xdr:row>187</xdr:row>
      <xdr:rowOff>95250</xdr:rowOff>
    </xdr:to>
    <xdr:sp macro="" textlink="">
      <xdr:nvSpPr>
        <xdr:cNvPr id="77" name="文本框 76">
          <a:extLst>
            <a:ext uri="{FF2B5EF4-FFF2-40B4-BE49-F238E27FC236}">
              <a16:creationId xmlns:a16="http://schemas.microsoft.com/office/drawing/2014/main" id="{A95A050C-0F89-48D0-9CCE-91548B69DF0A}"/>
            </a:ext>
          </a:extLst>
        </xdr:cNvPr>
        <xdr:cNvSpPr txBox="1"/>
      </xdr:nvSpPr>
      <xdr:spPr>
        <a:xfrm>
          <a:off x="2752725" y="28289250"/>
          <a:ext cx="7239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2412.57</a:t>
          </a:r>
          <a:r>
            <a:rPr lang="zh-CN" altLang="en-US"/>
            <a:t>  </a:t>
          </a:r>
          <a:endParaRPr lang="zh-CN" altLang="en-US" sz="1100"/>
        </a:p>
      </xdr:txBody>
    </xdr:sp>
    <xdr:clientData/>
  </xdr:twoCellAnchor>
  <xdr:twoCellAnchor>
    <xdr:from>
      <xdr:col>2</xdr:col>
      <xdr:colOff>1228725</xdr:colOff>
      <xdr:row>184</xdr:row>
      <xdr:rowOff>142876</xdr:rowOff>
    </xdr:from>
    <xdr:to>
      <xdr:col>2</xdr:col>
      <xdr:colOff>1514475</xdr:colOff>
      <xdr:row>186</xdr:row>
      <xdr:rowOff>47626</xdr:rowOff>
    </xdr:to>
    <xdr:sp macro="" textlink="">
      <xdr:nvSpPr>
        <xdr:cNvPr id="78" name="文本框 77">
          <a:extLst>
            <a:ext uri="{FF2B5EF4-FFF2-40B4-BE49-F238E27FC236}">
              <a16:creationId xmlns:a16="http://schemas.microsoft.com/office/drawing/2014/main" id="{3725B41F-9615-4FAB-BE75-0CD87CEAD65A}"/>
            </a:ext>
          </a:extLst>
        </xdr:cNvPr>
        <xdr:cNvSpPr txBox="1"/>
      </xdr:nvSpPr>
      <xdr:spPr>
        <a:xfrm>
          <a:off x="2257425" y="28032076"/>
          <a:ext cx="285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A</a:t>
          </a:r>
          <a:endParaRPr lang="zh-CN" altLang="en-US" sz="1100"/>
        </a:p>
      </xdr:txBody>
    </xdr:sp>
    <xdr:clientData/>
  </xdr:twoCellAnchor>
  <xdr:twoCellAnchor>
    <xdr:from>
      <xdr:col>2</xdr:col>
      <xdr:colOff>1400175</xdr:colOff>
      <xdr:row>186</xdr:row>
      <xdr:rowOff>161926</xdr:rowOff>
    </xdr:from>
    <xdr:to>
      <xdr:col>3</xdr:col>
      <xdr:colOff>19050</xdr:colOff>
      <xdr:row>188</xdr:row>
      <xdr:rowOff>66676</xdr:rowOff>
    </xdr:to>
    <xdr:sp macro="" textlink="">
      <xdr:nvSpPr>
        <xdr:cNvPr id="79" name="文本框 78">
          <a:extLst>
            <a:ext uri="{FF2B5EF4-FFF2-40B4-BE49-F238E27FC236}">
              <a16:creationId xmlns:a16="http://schemas.microsoft.com/office/drawing/2014/main" id="{A6272015-7F31-4A8A-8682-DD81619BA7FB}"/>
            </a:ext>
          </a:extLst>
        </xdr:cNvPr>
        <xdr:cNvSpPr txBox="1"/>
      </xdr:nvSpPr>
      <xdr:spPr>
        <a:xfrm>
          <a:off x="2428875" y="28413076"/>
          <a:ext cx="285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B</a:t>
          </a:r>
          <a:endParaRPr lang="zh-CN" altLang="en-US" sz="1100"/>
        </a:p>
      </xdr:txBody>
    </xdr:sp>
    <xdr:clientData/>
  </xdr:twoCellAnchor>
  <xdr:twoCellAnchor>
    <xdr:from>
      <xdr:col>2</xdr:col>
      <xdr:colOff>1304925</xdr:colOff>
      <xdr:row>190</xdr:row>
      <xdr:rowOff>95251</xdr:rowOff>
    </xdr:from>
    <xdr:to>
      <xdr:col>2</xdr:col>
      <xdr:colOff>1590675</xdr:colOff>
      <xdr:row>192</xdr:row>
      <xdr:rowOff>1</xdr:rowOff>
    </xdr:to>
    <xdr:sp macro="" textlink="">
      <xdr:nvSpPr>
        <xdr:cNvPr id="80" name="文本框 79">
          <a:extLst>
            <a:ext uri="{FF2B5EF4-FFF2-40B4-BE49-F238E27FC236}">
              <a16:creationId xmlns:a16="http://schemas.microsoft.com/office/drawing/2014/main" id="{3BD3F6A6-89C6-4014-B936-D876F9C9CECE}"/>
            </a:ext>
          </a:extLst>
        </xdr:cNvPr>
        <xdr:cNvSpPr txBox="1"/>
      </xdr:nvSpPr>
      <xdr:spPr>
        <a:xfrm>
          <a:off x="2333625" y="29070301"/>
          <a:ext cx="285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4</xdr:row>
      <xdr:rowOff>47625</xdr:rowOff>
    </xdr:from>
    <xdr:to>
      <xdr:col>13</xdr:col>
      <xdr:colOff>319087</xdr:colOff>
      <xdr:row>19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309331-7DF4-4495-9710-C8DCE99B4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21</xdr:row>
      <xdr:rowOff>95249</xdr:rowOff>
    </xdr:from>
    <xdr:to>
      <xdr:col>14</xdr:col>
      <xdr:colOff>638175</xdr:colOff>
      <xdr:row>39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B7DA9166-9E76-4130-AA65-6B54A910F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0" y="3895724"/>
              <a:ext cx="5591175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9"/>
  <sheetViews>
    <sheetView tabSelected="1" topLeftCell="B128" workbookViewId="0">
      <selection activeCell="R142" sqref="R142"/>
    </sheetView>
  </sheetViews>
  <sheetFormatPr defaultRowHeight="14.25" x14ac:dyDescent="0.2"/>
  <cols>
    <col min="1" max="1" width="7" customWidth="1"/>
    <col min="2" max="2" width="16.625" customWidth="1"/>
    <col min="3" max="3" width="7" customWidth="1"/>
    <col min="4" max="5" width="8.75" customWidth="1"/>
    <col min="6" max="6" width="8.5" customWidth="1"/>
    <col min="7" max="7" width="9.125" customWidth="1"/>
    <col min="8" max="8" width="8.875" customWidth="1"/>
    <col min="9" max="9" width="9.625" customWidth="1"/>
    <col min="10" max="10" width="9.125" customWidth="1"/>
    <col min="11" max="11" width="10" customWidth="1"/>
    <col min="12" max="12" width="9" customWidth="1"/>
    <col min="13" max="14" width="9.125" customWidth="1"/>
    <col min="15" max="15" width="8.5" customWidth="1"/>
    <col min="16" max="16" width="8.875" customWidth="1"/>
    <col min="17" max="17" width="8.75" customWidth="1"/>
  </cols>
  <sheetData>
    <row r="1" spans="1:12" ht="23.25" x14ac:dyDescent="0.2">
      <c r="A1" s="189" t="s">
        <v>65</v>
      </c>
      <c r="B1" s="190"/>
      <c r="C1" s="190"/>
      <c r="D1" s="190"/>
      <c r="E1" s="190"/>
      <c r="F1" s="190"/>
      <c r="G1" s="190"/>
      <c r="H1" s="190"/>
    </row>
    <row r="2" spans="1:12" x14ac:dyDescent="0.2">
      <c r="A2" s="163" t="s">
        <v>0</v>
      </c>
      <c r="B2" s="160" t="s">
        <v>267</v>
      </c>
      <c r="C2" s="160"/>
      <c r="D2" s="163" t="s">
        <v>2</v>
      </c>
      <c r="E2" s="163"/>
      <c r="F2" s="163" t="s">
        <v>13</v>
      </c>
      <c r="G2" s="163"/>
      <c r="H2" s="163" t="s">
        <v>14</v>
      </c>
      <c r="I2" s="2"/>
      <c r="J2" s="2"/>
      <c r="K2" s="2"/>
      <c r="L2" s="2"/>
    </row>
    <row r="3" spans="1:12" x14ac:dyDescent="0.2">
      <c r="A3" s="163"/>
      <c r="B3" s="160"/>
      <c r="C3" s="160"/>
      <c r="D3" s="13">
        <v>1</v>
      </c>
      <c r="E3" s="13">
        <v>2</v>
      </c>
      <c r="F3" s="13">
        <v>3</v>
      </c>
      <c r="G3" s="13">
        <v>4</v>
      </c>
      <c r="H3" s="163"/>
      <c r="I3" s="2"/>
      <c r="J3" s="2"/>
      <c r="K3" s="2"/>
      <c r="L3" s="2"/>
    </row>
    <row r="4" spans="1:12" x14ac:dyDescent="0.2">
      <c r="A4" s="1">
        <v>1</v>
      </c>
      <c r="B4" s="188" t="s">
        <v>1</v>
      </c>
      <c r="C4" s="188"/>
      <c r="D4" s="48">
        <f>SUM(D5:D7)</f>
        <v>2000</v>
      </c>
      <c r="E4" s="48">
        <f>SUM(E5:E7)</f>
        <v>3700</v>
      </c>
      <c r="F4" s="36">
        <f>SUM(F5:F7)</f>
        <v>503.125</v>
      </c>
      <c r="G4" s="36">
        <f>SUM(G5:G7)</f>
        <v>646.875</v>
      </c>
      <c r="H4" s="48">
        <f>SUM(H5:H7)</f>
        <v>6850</v>
      </c>
      <c r="I4" s="2"/>
      <c r="J4" s="2"/>
      <c r="K4" s="2"/>
      <c r="L4" s="2"/>
    </row>
    <row r="5" spans="1:12" x14ac:dyDescent="0.2">
      <c r="A5" s="7">
        <v>1.1000000000000001</v>
      </c>
      <c r="B5" s="164" t="s">
        <v>114</v>
      </c>
      <c r="C5" s="165"/>
      <c r="D5" s="43">
        <v>2000</v>
      </c>
      <c r="E5" s="44">
        <v>3700</v>
      </c>
      <c r="F5" s="37"/>
      <c r="G5" s="37"/>
      <c r="H5" s="44">
        <f>SUM(D5:G5)</f>
        <v>5700</v>
      </c>
      <c r="I5" s="2"/>
      <c r="J5" s="2"/>
      <c r="K5" s="2"/>
      <c r="L5" s="2"/>
    </row>
    <row r="6" spans="1:12" x14ac:dyDescent="0.2">
      <c r="A6" s="8">
        <v>1.2</v>
      </c>
      <c r="B6" s="176" t="s">
        <v>3</v>
      </c>
      <c r="C6" s="171"/>
      <c r="D6" s="38"/>
      <c r="E6" s="38"/>
      <c r="F6" s="38"/>
      <c r="G6" s="38"/>
      <c r="H6" s="44"/>
      <c r="I6" s="2"/>
      <c r="J6" s="2"/>
      <c r="K6" s="2"/>
      <c r="L6" s="2"/>
    </row>
    <row r="7" spans="1:12" x14ac:dyDescent="0.2">
      <c r="A7" s="8">
        <v>1.3</v>
      </c>
      <c r="B7" s="176" t="s">
        <v>4</v>
      </c>
      <c r="C7" s="171"/>
      <c r="D7" s="38"/>
      <c r="E7" s="42"/>
      <c r="F7" s="39">
        <f>1150*0.7/1.6</f>
        <v>503.125</v>
      </c>
      <c r="G7" s="39">
        <f>1150*0.9/1.6</f>
        <v>646.875</v>
      </c>
      <c r="H7" s="44">
        <f>SUM(D7:G7)</f>
        <v>1150</v>
      </c>
      <c r="I7" s="2"/>
      <c r="J7" s="2"/>
      <c r="K7" s="2"/>
      <c r="L7" s="2"/>
    </row>
    <row r="8" spans="1:12" x14ac:dyDescent="0.2">
      <c r="A8" s="7">
        <v>2</v>
      </c>
      <c r="B8" s="188" t="s">
        <v>5</v>
      </c>
      <c r="C8" s="188"/>
      <c r="D8" s="48">
        <f>SUM(D9:D13)</f>
        <v>2000</v>
      </c>
      <c r="E8" s="48">
        <f>SUM(E9:E13)</f>
        <v>3700</v>
      </c>
      <c r="F8" s="36">
        <f>SUM(F9:F13)</f>
        <v>503.125</v>
      </c>
      <c r="G8" s="36">
        <f>SUM(G9:G13)</f>
        <v>646.875</v>
      </c>
      <c r="H8" s="48">
        <f>SUM(H9:H13)</f>
        <v>6850</v>
      </c>
      <c r="I8" s="2"/>
      <c r="J8" s="2"/>
      <c r="K8" s="2"/>
      <c r="L8" s="2"/>
    </row>
    <row r="9" spans="1:12" x14ac:dyDescent="0.2">
      <c r="A9" s="7">
        <v>2.1</v>
      </c>
      <c r="B9" s="164" t="s">
        <v>6</v>
      </c>
      <c r="C9" s="165"/>
      <c r="D9" s="43">
        <v>1000</v>
      </c>
      <c r="E9" s="46">
        <v>700</v>
      </c>
      <c r="F9" s="44">
        <v>200</v>
      </c>
      <c r="G9" s="45">
        <v>210</v>
      </c>
      <c r="H9" s="44">
        <f>SUM(D9:G9)</f>
        <v>2110</v>
      </c>
      <c r="I9" s="2"/>
      <c r="J9" s="2"/>
      <c r="K9" s="2"/>
      <c r="L9" s="2"/>
    </row>
    <row r="10" spans="1:12" x14ac:dyDescent="0.2">
      <c r="A10" s="8">
        <v>2.2000000000000002</v>
      </c>
      <c r="B10" s="176" t="s">
        <v>7</v>
      </c>
      <c r="C10" s="171"/>
      <c r="D10" s="38"/>
      <c r="E10" s="40"/>
      <c r="F10" s="38"/>
      <c r="G10" s="40"/>
      <c r="H10" s="38"/>
      <c r="I10" s="2"/>
      <c r="J10" s="2"/>
      <c r="K10" s="2"/>
      <c r="L10" s="2"/>
    </row>
    <row r="11" spans="1:12" x14ac:dyDescent="0.2">
      <c r="A11" s="8" t="s">
        <v>11</v>
      </c>
      <c r="B11" s="176" t="s">
        <v>8</v>
      </c>
      <c r="C11" s="171"/>
      <c r="D11" s="44">
        <f>D5-D9</f>
        <v>1000</v>
      </c>
      <c r="E11" s="45">
        <f>E5-E9</f>
        <v>3000</v>
      </c>
      <c r="F11" s="38"/>
      <c r="G11" s="40"/>
      <c r="H11" s="44">
        <f>SUM(D11:G11)</f>
        <v>4000</v>
      </c>
      <c r="I11" s="2"/>
      <c r="J11" s="2"/>
    </row>
    <row r="12" spans="1:12" x14ac:dyDescent="0.2">
      <c r="A12" s="8" t="s">
        <v>12</v>
      </c>
      <c r="B12" s="176" t="s">
        <v>9</v>
      </c>
      <c r="C12" s="171"/>
      <c r="D12" s="38"/>
      <c r="E12" s="40"/>
      <c r="F12" s="38">
        <f>F7-F9</f>
        <v>303.125</v>
      </c>
      <c r="G12" s="38">
        <f>G7-G9</f>
        <v>436.875</v>
      </c>
      <c r="H12" s="44">
        <f>SUM(D12:G12)</f>
        <v>740</v>
      </c>
      <c r="I12" s="2"/>
      <c r="J12" s="2"/>
    </row>
    <row r="13" spans="1:12" x14ac:dyDescent="0.2">
      <c r="A13" s="11">
        <v>2.2999999999999998</v>
      </c>
      <c r="B13" s="166" t="s">
        <v>10</v>
      </c>
      <c r="C13" s="167"/>
      <c r="D13" s="39"/>
      <c r="E13" s="41"/>
      <c r="F13" s="39"/>
      <c r="G13" s="41"/>
      <c r="H13" s="39"/>
      <c r="I13" s="2"/>
      <c r="J13" s="2"/>
    </row>
    <row r="14" spans="1:12" x14ac:dyDescent="0.2">
      <c r="A14" s="18"/>
      <c r="B14" s="2"/>
      <c r="C14" s="2"/>
      <c r="D14" s="2"/>
      <c r="E14" s="2"/>
      <c r="F14" s="2"/>
      <c r="G14" s="2"/>
      <c r="H14" s="2"/>
      <c r="I14" s="2"/>
      <c r="J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7" ht="23.25" x14ac:dyDescent="0.2">
      <c r="A17" s="183" t="s">
        <v>64</v>
      </c>
      <c r="B17" s="191"/>
      <c r="C17" s="191"/>
      <c r="D17" s="191"/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</row>
    <row r="18" spans="1:17" x14ac:dyDescent="0.2">
      <c r="A18" s="163" t="s">
        <v>15</v>
      </c>
      <c r="B18" s="160" t="s">
        <v>267</v>
      </c>
      <c r="C18" s="160"/>
      <c r="D18" s="163" t="s">
        <v>16</v>
      </c>
      <c r="E18" s="163"/>
      <c r="F18" s="163" t="s">
        <v>17</v>
      </c>
      <c r="G18" s="163"/>
      <c r="H18" s="163" t="s">
        <v>18</v>
      </c>
      <c r="I18" s="163"/>
      <c r="J18" s="163"/>
      <c r="K18" s="163"/>
      <c r="L18" s="163"/>
      <c r="M18" s="163"/>
      <c r="N18" s="163"/>
      <c r="O18" s="163"/>
      <c r="P18" s="163"/>
      <c r="Q18" s="163"/>
    </row>
    <row r="19" spans="1:17" x14ac:dyDescent="0.2">
      <c r="A19" s="163"/>
      <c r="B19" s="160"/>
      <c r="C19" s="160"/>
      <c r="D19" s="13">
        <v>1</v>
      </c>
      <c r="E19" s="13">
        <v>2</v>
      </c>
      <c r="F19" s="13">
        <v>3</v>
      </c>
      <c r="G19" s="13">
        <v>4</v>
      </c>
      <c r="H19" s="13">
        <v>5</v>
      </c>
      <c r="I19" s="13">
        <v>6</v>
      </c>
      <c r="J19" s="13">
        <v>7</v>
      </c>
      <c r="K19" s="13">
        <v>8</v>
      </c>
      <c r="L19" s="13">
        <v>9</v>
      </c>
      <c r="M19" s="13">
        <v>10</v>
      </c>
      <c r="N19" s="13">
        <v>11</v>
      </c>
      <c r="O19" s="13">
        <v>12</v>
      </c>
      <c r="P19" s="13">
        <v>13</v>
      </c>
      <c r="Q19" s="13">
        <v>14</v>
      </c>
    </row>
    <row r="20" spans="1:17" x14ac:dyDescent="0.2">
      <c r="A20" s="7">
        <v>1</v>
      </c>
      <c r="B20" s="164" t="s">
        <v>19</v>
      </c>
      <c r="C20" s="165"/>
      <c r="D20" s="7"/>
      <c r="E20" s="7"/>
      <c r="F20" s="7"/>
      <c r="G20" s="7"/>
      <c r="H20" s="7"/>
      <c r="I20" s="21"/>
      <c r="J20" s="8"/>
      <c r="K20" s="7"/>
      <c r="L20" s="7"/>
      <c r="M20" s="7"/>
      <c r="N20" s="7"/>
      <c r="O20" s="7"/>
      <c r="P20" s="27"/>
      <c r="Q20" s="24"/>
    </row>
    <row r="21" spans="1:17" x14ac:dyDescent="0.2">
      <c r="A21" s="180">
        <v>1.1000000000000001</v>
      </c>
      <c r="B21" s="176" t="s">
        <v>266</v>
      </c>
      <c r="C21" s="19" t="s">
        <v>20</v>
      </c>
      <c r="D21" s="8"/>
      <c r="E21" s="44">
        <f>D11</f>
        <v>1000</v>
      </c>
      <c r="F21" s="44">
        <f>D23+E23</f>
        <v>4000</v>
      </c>
      <c r="G21" s="8">
        <f>F21-F27</f>
        <v>3100</v>
      </c>
      <c r="H21" s="8">
        <f>G21-G27</f>
        <v>2000</v>
      </c>
      <c r="I21" s="44">
        <f>H21-H27</f>
        <v>1000</v>
      </c>
      <c r="J21" s="8"/>
      <c r="K21" s="8"/>
      <c r="L21" s="8"/>
      <c r="M21" s="8"/>
      <c r="N21" s="8"/>
      <c r="O21" s="8"/>
      <c r="P21" s="28"/>
      <c r="Q21" s="26"/>
    </row>
    <row r="22" spans="1:17" x14ac:dyDescent="0.2">
      <c r="A22" s="180"/>
      <c r="B22" s="176"/>
      <c r="C22" s="19" t="s">
        <v>21</v>
      </c>
      <c r="D22" s="8"/>
      <c r="E22" s="8"/>
      <c r="F22" s="8"/>
      <c r="G22" s="38">
        <f>F24</f>
        <v>303.125</v>
      </c>
      <c r="H22" s="44">
        <v>740</v>
      </c>
      <c r="I22" s="44">
        <v>740</v>
      </c>
      <c r="J22" s="44">
        <v>740</v>
      </c>
      <c r="K22" s="44">
        <v>740</v>
      </c>
      <c r="L22" s="44">
        <v>740</v>
      </c>
      <c r="M22" s="44">
        <v>740</v>
      </c>
      <c r="N22" s="44">
        <v>740</v>
      </c>
      <c r="O22" s="44">
        <v>740</v>
      </c>
      <c r="P22" s="44">
        <v>740</v>
      </c>
      <c r="Q22" s="44">
        <v>740</v>
      </c>
    </row>
    <row r="23" spans="1:17" x14ac:dyDescent="0.2">
      <c r="A23" s="180">
        <v>1.2</v>
      </c>
      <c r="B23" s="176" t="s">
        <v>22</v>
      </c>
      <c r="C23" s="19" t="s">
        <v>20</v>
      </c>
      <c r="D23" s="44">
        <f>D11</f>
        <v>1000</v>
      </c>
      <c r="E23" s="44">
        <f>E11</f>
        <v>3000</v>
      </c>
      <c r="F23" s="8"/>
      <c r="G23" s="8"/>
      <c r="H23" s="8"/>
      <c r="I23" s="22"/>
      <c r="J23" s="8"/>
      <c r="K23" s="8"/>
      <c r="L23" s="8"/>
      <c r="M23" s="8"/>
      <c r="N23" s="8"/>
      <c r="O23" s="8"/>
      <c r="P23" s="28"/>
      <c r="Q23" s="26"/>
    </row>
    <row r="24" spans="1:17" x14ac:dyDescent="0.2">
      <c r="A24" s="180"/>
      <c r="B24" s="176"/>
      <c r="C24" s="19" t="s">
        <v>21</v>
      </c>
      <c r="D24" s="8"/>
      <c r="E24" s="8"/>
      <c r="F24" s="38">
        <f>F12</f>
        <v>303.125</v>
      </c>
      <c r="G24" s="38">
        <f>G12</f>
        <v>436.875</v>
      </c>
      <c r="H24" s="8"/>
      <c r="I24" s="22"/>
      <c r="J24" s="8"/>
      <c r="K24" s="8"/>
      <c r="L24" s="8"/>
      <c r="M24" s="8"/>
      <c r="N24" s="8"/>
      <c r="O24" s="8"/>
      <c r="P24" s="28"/>
      <c r="Q24" s="26"/>
    </row>
    <row r="25" spans="1:17" x14ac:dyDescent="0.2">
      <c r="A25" s="180">
        <v>1.3</v>
      </c>
      <c r="B25" s="176" t="s">
        <v>188</v>
      </c>
      <c r="C25" s="19" t="s">
        <v>20</v>
      </c>
      <c r="D25" s="38"/>
      <c r="E25" s="38"/>
      <c r="F25" s="8">
        <f>F21*0.06</f>
        <v>240</v>
      </c>
      <c r="G25" s="8">
        <f>G21*0.06</f>
        <v>186</v>
      </c>
      <c r="H25" s="8">
        <f>H21*0.06</f>
        <v>120</v>
      </c>
      <c r="I25" s="44">
        <f>I21*0.06</f>
        <v>60</v>
      </c>
      <c r="J25" s="8"/>
      <c r="K25" s="8"/>
      <c r="L25" s="8"/>
      <c r="M25" s="8"/>
      <c r="N25" s="8"/>
      <c r="O25" s="8"/>
      <c r="P25" s="28"/>
      <c r="Q25" s="26"/>
    </row>
    <row r="26" spans="1:17" x14ac:dyDescent="0.2">
      <c r="A26" s="180"/>
      <c r="B26" s="176"/>
      <c r="C26" s="19" t="s">
        <v>21</v>
      </c>
      <c r="D26" s="8"/>
      <c r="E26" s="8"/>
      <c r="F26" s="50">
        <f>F24*0.04</f>
        <v>12.125</v>
      </c>
      <c r="G26" s="50">
        <f>G24*0.04</f>
        <v>17.475000000000001</v>
      </c>
      <c r="H26" s="34">
        <f>H12*0.04</f>
        <v>29.6</v>
      </c>
      <c r="I26" s="34">
        <f>0.04*H12</f>
        <v>29.6</v>
      </c>
      <c r="J26" s="34">
        <f>H12*0.04</f>
        <v>29.6</v>
      </c>
      <c r="K26" s="34">
        <f>H12*0.04</f>
        <v>29.6</v>
      </c>
      <c r="L26" s="34">
        <f>H12*0.04</f>
        <v>29.6</v>
      </c>
      <c r="M26" s="34">
        <f>H12*0.04</f>
        <v>29.6</v>
      </c>
      <c r="N26" s="34">
        <f>H12*0.04</f>
        <v>29.6</v>
      </c>
      <c r="O26" s="34">
        <f>H12*0.04</f>
        <v>29.6</v>
      </c>
      <c r="P26" s="34">
        <f>H12*0.04</f>
        <v>29.6</v>
      </c>
      <c r="Q26" s="34">
        <f>H12*0.04</f>
        <v>29.6</v>
      </c>
    </row>
    <row r="27" spans="1:17" x14ac:dyDescent="0.2">
      <c r="A27" s="180">
        <v>1.4</v>
      </c>
      <c r="B27" s="176" t="s">
        <v>265</v>
      </c>
      <c r="C27" s="19" t="s">
        <v>20</v>
      </c>
      <c r="D27" s="8"/>
      <c r="E27" s="8"/>
      <c r="F27" s="8">
        <v>900</v>
      </c>
      <c r="G27" s="8">
        <v>1100</v>
      </c>
      <c r="H27" s="8">
        <v>1000</v>
      </c>
      <c r="I27" s="44">
        <v>1000</v>
      </c>
      <c r="J27" s="8"/>
      <c r="K27" s="8"/>
      <c r="L27" s="8"/>
      <c r="M27" s="8"/>
      <c r="N27" s="8"/>
      <c r="O27" s="8"/>
      <c r="P27" s="28"/>
      <c r="Q27" s="26"/>
    </row>
    <row r="28" spans="1:17" x14ac:dyDescent="0.2">
      <c r="A28" s="192"/>
      <c r="B28" s="166"/>
      <c r="C28" s="20" t="s">
        <v>21</v>
      </c>
      <c r="D28" s="11"/>
      <c r="E28" s="11"/>
      <c r="F28" s="11"/>
      <c r="G28" s="11"/>
      <c r="H28" s="11"/>
      <c r="I28" s="23"/>
      <c r="J28" s="11"/>
      <c r="K28" s="11"/>
      <c r="L28" s="11"/>
      <c r="M28" s="11"/>
      <c r="N28" s="11"/>
      <c r="O28" s="11"/>
      <c r="P28" s="11"/>
      <c r="Q28" s="10">
        <f>H12</f>
        <v>740</v>
      </c>
    </row>
    <row r="29" spans="1:17" ht="28.5" customHeight="1" x14ac:dyDescent="0.2">
      <c r="A29" s="7">
        <v>2</v>
      </c>
      <c r="B29" s="184" t="s">
        <v>24</v>
      </c>
      <c r="C29" s="181"/>
      <c r="D29" s="7"/>
      <c r="E29" s="7"/>
      <c r="F29" s="7"/>
      <c r="G29" s="7"/>
      <c r="H29" s="7"/>
      <c r="I29" s="7"/>
      <c r="J29" s="7"/>
      <c r="K29" s="7"/>
      <c r="L29" s="2"/>
      <c r="M29" s="7"/>
      <c r="N29" s="2"/>
      <c r="O29" s="7"/>
      <c r="P29" s="2"/>
      <c r="Q29" s="7"/>
    </row>
    <row r="30" spans="1:17" x14ac:dyDescent="0.2">
      <c r="A30" s="8">
        <v>2.1</v>
      </c>
      <c r="B30" s="176" t="s">
        <v>25</v>
      </c>
      <c r="C30" s="171"/>
      <c r="D30" s="8"/>
      <c r="E30" s="6"/>
      <c r="F30" s="8">
        <v>450</v>
      </c>
      <c r="G30" s="8">
        <v>700</v>
      </c>
      <c r="H30" s="8">
        <v>700</v>
      </c>
      <c r="I30" s="8">
        <v>700</v>
      </c>
      <c r="J30" s="8"/>
      <c r="K30" s="8"/>
      <c r="L30" s="2"/>
      <c r="M30" s="8"/>
      <c r="N30" s="2"/>
      <c r="O30" s="8"/>
      <c r="P30" s="2"/>
      <c r="Q30" s="8"/>
    </row>
    <row r="31" spans="1:17" x14ac:dyDescent="0.2">
      <c r="A31" s="8">
        <v>2.2000000000000002</v>
      </c>
      <c r="B31" s="176" t="s">
        <v>26</v>
      </c>
      <c r="C31" s="171"/>
      <c r="D31" s="8"/>
      <c r="E31" s="8"/>
      <c r="F31" s="8">
        <v>450</v>
      </c>
      <c r="G31" s="8">
        <v>400</v>
      </c>
      <c r="H31" s="8">
        <v>300</v>
      </c>
      <c r="I31" s="8">
        <v>300</v>
      </c>
      <c r="J31" s="8"/>
      <c r="K31" s="8"/>
      <c r="L31" s="2"/>
      <c r="M31" s="8"/>
      <c r="N31" s="2"/>
      <c r="O31" s="8"/>
      <c r="P31" s="2"/>
      <c r="Q31" s="8"/>
    </row>
    <row r="32" spans="1:17" x14ac:dyDescent="0.2">
      <c r="A32" s="8">
        <v>2.2999999999999998</v>
      </c>
      <c r="B32" s="176" t="s">
        <v>27</v>
      </c>
      <c r="C32" s="171"/>
      <c r="D32" s="8"/>
      <c r="E32" s="8"/>
      <c r="F32" s="8"/>
      <c r="G32" s="8"/>
      <c r="H32" s="8"/>
      <c r="I32" s="8"/>
      <c r="J32" s="8"/>
      <c r="K32" s="8"/>
      <c r="L32" s="2"/>
      <c r="M32" s="8"/>
      <c r="N32" s="2"/>
      <c r="O32" s="8"/>
      <c r="P32" s="2"/>
      <c r="Q32" s="8"/>
    </row>
    <row r="33" spans="1:17" x14ac:dyDescent="0.2">
      <c r="A33" s="8">
        <v>2.4</v>
      </c>
      <c r="B33" s="176" t="s">
        <v>28</v>
      </c>
      <c r="C33" s="171"/>
      <c r="D33" s="8"/>
      <c r="E33" s="8"/>
      <c r="F33" s="8"/>
      <c r="G33" s="8"/>
      <c r="H33" s="8"/>
      <c r="I33" s="8"/>
      <c r="J33" s="8"/>
      <c r="K33" s="8"/>
      <c r="L33" s="2"/>
      <c r="M33" s="8"/>
      <c r="N33" s="2"/>
      <c r="O33" s="8"/>
      <c r="P33" s="2"/>
      <c r="Q33" s="8">
        <f>Q28</f>
        <v>740</v>
      </c>
    </row>
    <row r="34" spans="1:17" x14ac:dyDescent="0.2">
      <c r="A34" s="8" t="s">
        <v>23</v>
      </c>
      <c r="B34" s="176" t="s">
        <v>29</v>
      </c>
      <c r="C34" s="171"/>
      <c r="D34" s="8"/>
      <c r="E34" s="8"/>
      <c r="F34" s="8"/>
      <c r="G34" s="8"/>
      <c r="H34" s="8"/>
      <c r="I34" s="8"/>
      <c r="J34" s="8"/>
      <c r="K34" s="8"/>
      <c r="L34" s="2"/>
      <c r="M34" s="8"/>
      <c r="N34" s="2"/>
      <c r="O34" s="8"/>
      <c r="P34" s="2"/>
      <c r="Q34" s="8"/>
    </row>
    <row r="35" spans="1:17" x14ac:dyDescent="0.2">
      <c r="A35" s="11"/>
      <c r="B35" s="166" t="s">
        <v>30</v>
      </c>
      <c r="C35" s="167"/>
      <c r="D35" s="11"/>
      <c r="E35" s="11"/>
      <c r="F35" s="11"/>
      <c r="G35" s="11"/>
      <c r="H35" s="11"/>
      <c r="I35" s="11"/>
      <c r="J35" s="11"/>
      <c r="K35" s="11"/>
      <c r="L35" s="12"/>
      <c r="M35" s="11"/>
      <c r="N35" s="12"/>
      <c r="O35" s="11"/>
      <c r="P35" s="12"/>
      <c r="Q35" s="11"/>
    </row>
    <row r="36" spans="1: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7" ht="23.25" x14ac:dyDescent="0.2">
      <c r="A38" s="157" t="s">
        <v>63</v>
      </c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</row>
    <row r="39" spans="1:17" x14ac:dyDescent="0.2">
      <c r="A39" s="158" t="s">
        <v>15</v>
      </c>
      <c r="B39" s="160" t="s">
        <v>267</v>
      </c>
      <c r="C39" s="160"/>
      <c r="D39" s="161" t="s">
        <v>17</v>
      </c>
      <c r="E39" s="162"/>
      <c r="F39" s="163" t="s">
        <v>18</v>
      </c>
      <c r="G39" s="163"/>
      <c r="H39" s="163"/>
      <c r="I39" s="163"/>
      <c r="J39" s="163"/>
      <c r="K39" s="163"/>
      <c r="L39" s="163"/>
      <c r="M39" s="163"/>
      <c r="N39" s="163"/>
      <c r="O39" s="163"/>
    </row>
    <row r="40" spans="1:17" x14ac:dyDescent="0.2">
      <c r="A40" s="159"/>
      <c r="B40" s="160"/>
      <c r="C40" s="160"/>
      <c r="D40" s="13">
        <v>3</v>
      </c>
      <c r="E40" s="13">
        <v>4</v>
      </c>
      <c r="F40" s="13">
        <v>5</v>
      </c>
      <c r="G40" s="13">
        <v>6</v>
      </c>
      <c r="H40" s="13">
        <v>7</v>
      </c>
      <c r="I40" s="13">
        <v>8</v>
      </c>
      <c r="J40" s="13">
        <v>9</v>
      </c>
      <c r="K40" s="13">
        <v>10</v>
      </c>
      <c r="L40" s="13">
        <v>11</v>
      </c>
      <c r="M40" s="13">
        <v>12</v>
      </c>
      <c r="N40" s="13">
        <v>13</v>
      </c>
      <c r="O40" s="13">
        <v>14</v>
      </c>
    </row>
    <row r="41" spans="1:17" x14ac:dyDescent="0.2">
      <c r="A41" s="7">
        <v>1</v>
      </c>
      <c r="B41" s="164" t="s">
        <v>31</v>
      </c>
      <c r="C41" s="165"/>
      <c r="D41" s="7">
        <f>5000*0.7</f>
        <v>3500</v>
      </c>
      <c r="E41" s="2">
        <f>5000*0.9</f>
        <v>4500</v>
      </c>
      <c r="F41" s="7">
        <f>5000</f>
        <v>5000</v>
      </c>
      <c r="G41" s="149">
        <f>5000</f>
        <v>5000</v>
      </c>
      <c r="H41" s="149">
        <f>5000</f>
        <v>5000</v>
      </c>
      <c r="I41" s="149">
        <f>5000</f>
        <v>5000</v>
      </c>
      <c r="J41" s="149">
        <f>5000</f>
        <v>5000</v>
      </c>
      <c r="K41" s="149">
        <f>5000</f>
        <v>5000</v>
      </c>
      <c r="L41" s="149">
        <f>5000</f>
        <v>5000</v>
      </c>
      <c r="M41" s="149">
        <f>5000</f>
        <v>5000</v>
      </c>
      <c r="N41" s="149">
        <f>5000</f>
        <v>5000</v>
      </c>
      <c r="O41" s="149">
        <f>5000</f>
        <v>5000</v>
      </c>
    </row>
    <row r="42" spans="1:17" x14ac:dyDescent="0.2">
      <c r="A42" s="121">
        <v>2</v>
      </c>
      <c r="B42" s="176" t="s">
        <v>182</v>
      </c>
      <c r="C42" s="171"/>
      <c r="D42" s="121"/>
      <c r="E42" s="2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7" x14ac:dyDescent="0.2">
      <c r="A43" s="8">
        <v>2.1</v>
      </c>
      <c r="B43" s="176" t="s">
        <v>115</v>
      </c>
      <c r="C43" s="171"/>
      <c r="D43" s="8">
        <f>150*0.7</f>
        <v>105</v>
      </c>
      <c r="E43" s="2">
        <f>150*0.9</f>
        <v>135</v>
      </c>
      <c r="F43" s="8">
        <f>150</f>
        <v>150</v>
      </c>
      <c r="G43" s="147">
        <f>150</f>
        <v>150</v>
      </c>
      <c r="H43" s="147">
        <f>150</f>
        <v>150</v>
      </c>
      <c r="I43" s="147">
        <f>150</f>
        <v>150</v>
      </c>
      <c r="J43" s="147">
        <f>150</f>
        <v>150</v>
      </c>
      <c r="K43" s="147">
        <f>150</f>
        <v>150</v>
      </c>
      <c r="L43" s="147">
        <f>150</f>
        <v>150</v>
      </c>
      <c r="M43" s="147">
        <f>150</f>
        <v>150</v>
      </c>
      <c r="N43" s="147">
        <f>150</f>
        <v>150</v>
      </c>
      <c r="O43" s="147">
        <f>150</f>
        <v>150</v>
      </c>
    </row>
    <row r="44" spans="1:17" x14ac:dyDescent="0.2">
      <c r="A44" s="121">
        <v>2.2000000000000002</v>
      </c>
      <c r="B44" s="176" t="s">
        <v>183</v>
      </c>
      <c r="C44" s="171"/>
      <c r="D44" s="34">
        <f>4910*0.95/12</f>
        <v>388.70833333333331</v>
      </c>
      <c r="E44" s="34">
        <f t="shared" ref="E44:O44" si="0">4910*0.95/12</f>
        <v>388.70833333333331</v>
      </c>
      <c r="F44" s="34">
        <f t="shared" si="0"/>
        <v>388.70833333333331</v>
      </c>
      <c r="G44" s="34">
        <f t="shared" si="0"/>
        <v>388.70833333333331</v>
      </c>
      <c r="H44" s="34">
        <f t="shared" si="0"/>
        <v>388.70833333333331</v>
      </c>
      <c r="I44" s="34">
        <f t="shared" si="0"/>
        <v>388.70833333333331</v>
      </c>
      <c r="J44" s="34">
        <f t="shared" si="0"/>
        <v>388.70833333333331</v>
      </c>
      <c r="K44" s="34">
        <f t="shared" si="0"/>
        <v>388.70833333333331</v>
      </c>
      <c r="L44" s="34">
        <f t="shared" si="0"/>
        <v>388.70833333333331</v>
      </c>
      <c r="M44" s="34">
        <f t="shared" si="0"/>
        <v>388.70833333333331</v>
      </c>
      <c r="N44" s="34">
        <f t="shared" si="0"/>
        <v>388.70833333333331</v>
      </c>
      <c r="O44" s="34">
        <f t="shared" si="0"/>
        <v>388.70833333333331</v>
      </c>
    </row>
    <row r="45" spans="1:17" x14ac:dyDescent="0.2">
      <c r="A45" s="8">
        <v>2.2999999999999998</v>
      </c>
      <c r="B45" s="176" t="s">
        <v>184</v>
      </c>
      <c r="C45" s="171"/>
      <c r="D45" s="38">
        <f>D183+D186</f>
        <v>109</v>
      </c>
      <c r="E45" s="38">
        <f t="shared" ref="E45:M45" si="1">E183+E186</f>
        <v>109</v>
      </c>
      <c r="F45" s="38">
        <f t="shared" si="1"/>
        <v>109</v>
      </c>
      <c r="G45" s="38">
        <f t="shared" si="1"/>
        <v>109</v>
      </c>
      <c r="H45" s="38">
        <f t="shared" si="1"/>
        <v>109</v>
      </c>
      <c r="I45" s="38">
        <f t="shared" si="1"/>
        <v>49</v>
      </c>
      <c r="J45" s="38">
        <f t="shared" si="1"/>
        <v>49</v>
      </c>
      <c r="K45" s="38">
        <f t="shared" si="1"/>
        <v>49</v>
      </c>
      <c r="L45" s="38">
        <f t="shared" si="1"/>
        <v>49</v>
      </c>
      <c r="M45" s="38">
        <f t="shared" si="1"/>
        <v>49</v>
      </c>
      <c r="N45" s="38"/>
      <c r="O45" s="38"/>
    </row>
    <row r="46" spans="1:17" x14ac:dyDescent="0.2">
      <c r="A46" s="8">
        <v>2.4</v>
      </c>
      <c r="B46" s="176" t="s">
        <v>116</v>
      </c>
      <c r="C46" s="171"/>
      <c r="D46" s="34">
        <f>D44*0.4</f>
        <v>155.48333333333335</v>
      </c>
      <c r="E46" s="34">
        <f t="shared" ref="E46:O46" si="2">E44*0.4</f>
        <v>155.48333333333335</v>
      </c>
      <c r="F46" s="34">
        <f t="shared" si="2"/>
        <v>155.48333333333335</v>
      </c>
      <c r="G46" s="34">
        <f t="shared" si="2"/>
        <v>155.48333333333335</v>
      </c>
      <c r="H46" s="34">
        <f t="shared" si="2"/>
        <v>155.48333333333335</v>
      </c>
      <c r="I46" s="34">
        <f t="shared" si="2"/>
        <v>155.48333333333335</v>
      </c>
      <c r="J46" s="34">
        <f t="shared" si="2"/>
        <v>155.48333333333335</v>
      </c>
      <c r="K46" s="34">
        <f t="shared" si="2"/>
        <v>155.48333333333335</v>
      </c>
      <c r="L46" s="34">
        <f t="shared" si="2"/>
        <v>155.48333333333335</v>
      </c>
      <c r="M46" s="34">
        <f t="shared" si="2"/>
        <v>155.48333333333335</v>
      </c>
      <c r="N46" s="34">
        <f t="shared" si="2"/>
        <v>155.48333333333335</v>
      </c>
      <c r="O46" s="34">
        <f t="shared" si="2"/>
        <v>155.48333333333335</v>
      </c>
    </row>
    <row r="47" spans="1:17" x14ac:dyDescent="0.2">
      <c r="A47" s="8">
        <v>2.5</v>
      </c>
      <c r="B47" s="176" t="s">
        <v>117</v>
      </c>
      <c r="C47" s="171"/>
      <c r="D47" s="8">
        <v>320</v>
      </c>
      <c r="E47" s="2">
        <v>320</v>
      </c>
      <c r="F47" s="8">
        <v>320</v>
      </c>
      <c r="G47" s="8">
        <v>320</v>
      </c>
      <c r="H47" s="8">
        <v>320</v>
      </c>
      <c r="I47" s="8">
        <v>320</v>
      </c>
      <c r="J47" s="8">
        <v>320</v>
      </c>
      <c r="K47" s="8">
        <v>320</v>
      </c>
      <c r="L47" s="8">
        <v>320</v>
      </c>
      <c r="M47" s="8">
        <v>320</v>
      </c>
      <c r="N47" s="8">
        <v>320</v>
      </c>
      <c r="O47" s="8">
        <v>320</v>
      </c>
    </row>
    <row r="48" spans="1:17" x14ac:dyDescent="0.2">
      <c r="A48" s="8">
        <v>3</v>
      </c>
      <c r="B48" s="176" t="s">
        <v>32</v>
      </c>
      <c r="C48" s="171"/>
      <c r="D48" s="38">
        <f>F25+F26</f>
        <v>252.125</v>
      </c>
      <c r="E48" s="42">
        <f t="shared" ref="E48:O48" si="3">G26+G25</f>
        <v>203.47499999999999</v>
      </c>
      <c r="F48" s="51">
        <f t="shared" si="3"/>
        <v>149.6</v>
      </c>
      <c r="G48" s="51">
        <f t="shared" si="3"/>
        <v>89.6</v>
      </c>
      <c r="H48" s="51">
        <f t="shared" si="3"/>
        <v>29.6</v>
      </c>
      <c r="I48" s="51">
        <f t="shared" si="3"/>
        <v>29.6</v>
      </c>
      <c r="J48" s="51">
        <f t="shared" si="3"/>
        <v>29.6</v>
      </c>
      <c r="K48" s="51">
        <f t="shared" si="3"/>
        <v>29.6</v>
      </c>
      <c r="L48" s="51">
        <f t="shared" si="3"/>
        <v>29.6</v>
      </c>
      <c r="M48" s="51">
        <f t="shared" si="3"/>
        <v>29.6</v>
      </c>
      <c r="N48" s="51">
        <f t="shared" si="3"/>
        <v>29.6</v>
      </c>
      <c r="O48" s="51">
        <f t="shared" si="3"/>
        <v>29.6</v>
      </c>
      <c r="P48" s="52"/>
    </row>
    <row r="49" spans="1:16" x14ac:dyDescent="0.2">
      <c r="A49" s="180">
        <v>4</v>
      </c>
      <c r="B49" s="176" t="s">
        <v>33</v>
      </c>
      <c r="C49" s="171"/>
      <c r="D49" s="38">
        <f>SUM(D41:D48)</f>
        <v>4830.3166666666675</v>
      </c>
      <c r="E49" s="38">
        <f t="shared" ref="E49:O49" si="4">SUM(E41:E48)</f>
        <v>5811.666666666667</v>
      </c>
      <c r="F49" s="38">
        <f>SUM(F41:F48)</f>
        <v>6272.791666666667</v>
      </c>
      <c r="G49" s="38">
        <f t="shared" si="4"/>
        <v>6212.791666666667</v>
      </c>
      <c r="H49" s="38">
        <f t="shared" si="4"/>
        <v>6152.791666666667</v>
      </c>
      <c r="I49" s="38">
        <f t="shared" si="4"/>
        <v>6092.791666666667</v>
      </c>
      <c r="J49" s="38">
        <f t="shared" si="4"/>
        <v>6092.791666666667</v>
      </c>
      <c r="K49" s="38">
        <f t="shared" si="4"/>
        <v>6092.791666666667</v>
      </c>
      <c r="L49" s="38">
        <f t="shared" si="4"/>
        <v>6092.791666666667</v>
      </c>
      <c r="M49" s="38">
        <f t="shared" si="4"/>
        <v>6092.791666666667</v>
      </c>
      <c r="N49" s="38">
        <f t="shared" si="4"/>
        <v>6043.791666666667</v>
      </c>
      <c r="O49" s="38">
        <f t="shared" si="4"/>
        <v>6043.791666666667</v>
      </c>
    </row>
    <row r="50" spans="1:16" x14ac:dyDescent="0.2">
      <c r="A50" s="180"/>
      <c r="B50" s="176" t="s">
        <v>34</v>
      </c>
      <c r="C50" s="171"/>
      <c r="D50" s="38">
        <f>4910*0.95/12+E106/10+E107/5</f>
        <v>497.70833333333331</v>
      </c>
      <c r="E50" s="38">
        <f>4910*0.95/12+E106/10+E107/5</f>
        <v>497.70833333333331</v>
      </c>
      <c r="F50" s="38">
        <f>4910*0.95/12+E106/10+E107/5</f>
        <v>497.70833333333331</v>
      </c>
      <c r="G50" s="38">
        <f>4910*0.95/12+E106/10+E107/5</f>
        <v>497.70833333333331</v>
      </c>
      <c r="H50" s="38">
        <f>4910*0.95/12+E106/10+E107/5</f>
        <v>497.70833333333331</v>
      </c>
      <c r="I50" s="38">
        <f>4910*0.95/12+E106/10</f>
        <v>437.70833333333331</v>
      </c>
      <c r="J50" s="38">
        <f>4910*0.95/12+E106/10</f>
        <v>437.70833333333331</v>
      </c>
      <c r="K50" s="38">
        <f>4910*0.95/12+E106/10</f>
        <v>437.70833333333331</v>
      </c>
      <c r="L50" s="38">
        <f>4910*0.95/12+E106/10</f>
        <v>437.70833333333331</v>
      </c>
      <c r="M50" s="38">
        <f>4910*0.95/12+E106/10</f>
        <v>437.70833333333331</v>
      </c>
      <c r="N50" s="38">
        <f>4910*0.95/12</f>
        <v>388.70833333333331</v>
      </c>
      <c r="O50" s="38">
        <f>4910*0.95/12</f>
        <v>388.70833333333331</v>
      </c>
      <c r="P50" s="47"/>
    </row>
    <row r="51" spans="1:16" x14ac:dyDescent="0.2">
      <c r="A51" s="11">
        <v>5</v>
      </c>
      <c r="B51" s="166" t="s">
        <v>35</v>
      </c>
      <c r="C51" s="167"/>
      <c r="D51" s="39">
        <f>D49-D50-D48</f>
        <v>4080.4833333333345</v>
      </c>
      <c r="E51" s="39">
        <f t="shared" ref="E51:O51" si="5">E49-E50-E48</f>
        <v>5110.4833333333336</v>
      </c>
      <c r="F51" s="39">
        <f t="shared" si="5"/>
        <v>5625.4833333333336</v>
      </c>
      <c r="G51" s="39">
        <f t="shared" si="5"/>
        <v>5625.4833333333336</v>
      </c>
      <c r="H51" s="39">
        <f t="shared" si="5"/>
        <v>5625.4833333333336</v>
      </c>
      <c r="I51" s="39">
        <f t="shared" si="5"/>
        <v>5625.4833333333336</v>
      </c>
      <c r="J51" s="39">
        <f t="shared" si="5"/>
        <v>5625.4833333333336</v>
      </c>
      <c r="K51" s="39">
        <f t="shared" si="5"/>
        <v>5625.4833333333336</v>
      </c>
      <c r="L51" s="39">
        <f t="shared" si="5"/>
        <v>5625.4833333333336</v>
      </c>
      <c r="M51" s="39">
        <f t="shared" si="5"/>
        <v>5625.4833333333336</v>
      </c>
      <c r="N51" s="39">
        <f t="shared" si="5"/>
        <v>5625.4833333333336</v>
      </c>
      <c r="O51" s="39">
        <f t="shared" si="5"/>
        <v>5625.4833333333336</v>
      </c>
    </row>
    <row r="52" spans="1:1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6" ht="23.25" x14ac:dyDescent="0.2">
      <c r="A54" s="157" t="s">
        <v>62</v>
      </c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</row>
    <row r="55" spans="1:16" x14ac:dyDescent="0.2">
      <c r="A55" s="158" t="s">
        <v>15</v>
      </c>
      <c r="B55" s="160" t="s">
        <v>128</v>
      </c>
      <c r="C55" s="160"/>
      <c r="D55" s="161" t="s">
        <v>17</v>
      </c>
      <c r="E55" s="162"/>
      <c r="F55" s="163" t="s">
        <v>18</v>
      </c>
      <c r="G55" s="163"/>
      <c r="H55" s="163"/>
      <c r="I55" s="163"/>
      <c r="J55" s="163"/>
      <c r="K55" s="163"/>
      <c r="L55" s="163"/>
      <c r="M55" s="163"/>
      <c r="N55" s="163"/>
      <c r="O55" s="163"/>
    </row>
    <row r="56" spans="1:16" x14ac:dyDescent="0.2">
      <c r="A56" s="159"/>
      <c r="B56" s="160"/>
      <c r="C56" s="160"/>
      <c r="D56" s="13">
        <v>3</v>
      </c>
      <c r="E56" s="13">
        <v>4</v>
      </c>
      <c r="F56" s="13">
        <v>5</v>
      </c>
      <c r="G56" s="13">
        <v>6</v>
      </c>
      <c r="H56" s="13">
        <v>7</v>
      </c>
      <c r="I56" s="13">
        <v>8</v>
      </c>
      <c r="J56" s="13">
        <v>9</v>
      </c>
      <c r="K56" s="13">
        <v>10</v>
      </c>
      <c r="L56" s="13">
        <v>11</v>
      </c>
      <c r="M56" s="13">
        <v>12</v>
      </c>
      <c r="N56" s="13">
        <v>13</v>
      </c>
      <c r="O56" s="13">
        <v>14</v>
      </c>
    </row>
    <row r="57" spans="1:16" x14ac:dyDescent="0.2">
      <c r="A57" s="7">
        <v>1</v>
      </c>
      <c r="B57" s="164" t="s">
        <v>36</v>
      </c>
      <c r="C57" s="165"/>
      <c r="D57" s="7">
        <f>100*80*0.7</f>
        <v>5600</v>
      </c>
      <c r="E57" s="2">
        <f>100*80*0.9</f>
        <v>7200</v>
      </c>
      <c r="F57" s="7">
        <f>80*100</f>
        <v>8000</v>
      </c>
      <c r="G57" s="149">
        <f t="shared" ref="G57:O57" si="6">80*100</f>
        <v>8000</v>
      </c>
      <c r="H57" s="149">
        <f t="shared" si="6"/>
        <v>8000</v>
      </c>
      <c r="I57" s="149">
        <f t="shared" si="6"/>
        <v>8000</v>
      </c>
      <c r="J57" s="149">
        <f t="shared" si="6"/>
        <v>8000</v>
      </c>
      <c r="K57" s="149">
        <f t="shared" si="6"/>
        <v>8000</v>
      </c>
      <c r="L57" s="149">
        <f t="shared" si="6"/>
        <v>8000</v>
      </c>
      <c r="M57" s="149">
        <f t="shared" si="6"/>
        <v>8000</v>
      </c>
      <c r="N57" s="149">
        <f t="shared" si="6"/>
        <v>8000</v>
      </c>
      <c r="O57" s="149">
        <f t="shared" si="6"/>
        <v>8000</v>
      </c>
    </row>
    <row r="58" spans="1:16" x14ac:dyDescent="0.2">
      <c r="A58" s="8">
        <v>2</v>
      </c>
      <c r="B58" s="176" t="s">
        <v>37</v>
      </c>
      <c r="C58" s="171"/>
      <c r="D58" s="34">
        <f>D57/1.17*0.17*0.1</f>
        <v>81.367521367521391</v>
      </c>
      <c r="E58" s="34">
        <f t="shared" ref="E58:O58" si="7">E57/1.17*0.17*0.1</f>
        <v>104.61538461538463</v>
      </c>
      <c r="F58" s="34">
        <f>F57/1.17*0.17*0.1</f>
        <v>116.23931623931627</v>
      </c>
      <c r="G58" s="34">
        <f t="shared" si="7"/>
        <v>116.23931623931627</v>
      </c>
      <c r="H58" s="34">
        <f t="shared" si="7"/>
        <v>116.23931623931627</v>
      </c>
      <c r="I58" s="34">
        <f t="shared" si="7"/>
        <v>116.23931623931627</v>
      </c>
      <c r="J58" s="34">
        <f t="shared" si="7"/>
        <v>116.23931623931627</v>
      </c>
      <c r="K58" s="34">
        <f t="shared" si="7"/>
        <v>116.23931623931627</v>
      </c>
      <c r="L58" s="34">
        <f t="shared" si="7"/>
        <v>116.23931623931627</v>
      </c>
      <c r="M58" s="34">
        <f t="shared" si="7"/>
        <v>116.23931623931627</v>
      </c>
      <c r="N58" s="34">
        <f t="shared" si="7"/>
        <v>116.23931623931627</v>
      </c>
      <c r="O58" s="34">
        <f t="shared" si="7"/>
        <v>116.23931623931627</v>
      </c>
    </row>
    <row r="59" spans="1:16" x14ac:dyDescent="0.2">
      <c r="A59" s="8">
        <v>3</v>
      </c>
      <c r="B59" s="176" t="s">
        <v>33</v>
      </c>
      <c r="C59" s="171"/>
      <c r="D59" s="38">
        <f>D49</f>
        <v>4830.3166666666675</v>
      </c>
      <c r="E59" s="38">
        <f t="shared" ref="E59:O59" si="8">E49</f>
        <v>5811.666666666667</v>
      </c>
      <c r="F59" s="38">
        <f t="shared" si="8"/>
        <v>6272.791666666667</v>
      </c>
      <c r="G59" s="38">
        <f t="shared" si="8"/>
        <v>6212.791666666667</v>
      </c>
      <c r="H59" s="38">
        <f t="shared" si="8"/>
        <v>6152.791666666667</v>
      </c>
      <c r="I59" s="38">
        <f t="shared" si="8"/>
        <v>6092.791666666667</v>
      </c>
      <c r="J59" s="38">
        <f t="shared" si="8"/>
        <v>6092.791666666667</v>
      </c>
      <c r="K59" s="38">
        <f t="shared" si="8"/>
        <v>6092.791666666667</v>
      </c>
      <c r="L59" s="38">
        <f t="shared" si="8"/>
        <v>6092.791666666667</v>
      </c>
      <c r="M59" s="38">
        <f t="shared" si="8"/>
        <v>6092.791666666667</v>
      </c>
      <c r="N59" s="38">
        <f t="shared" si="8"/>
        <v>6043.791666666667</v>
      </c>
      <c r="O59" s="38">
        <f t="shared" si="8"/>
        <v>6043.791666666667</v>
      </c>
    </row>
    <row r="60" spans="1:16" x14ac:dyDescent="0.2">
      <c r="A60" s="8">
        <v>4</v>
      </c>
      <c r="B60" s="176" t="s">
        <v>38</v>
      </c>
      <c r="C60" s="171"/>
      <c r="D60" s="38">
        <f>D57-D58-D59</f>
        <v>688.31581196581101</v>
      </c>
      <c r="E60" s="38">
        <f t="shared" ref="E60:O60" si="9">E57-E58-E59</f>
        <v>1283.7179487179483</v>
      </c>
      <c r="F60" s="38">
        <f t="shared" si="9"/>
        <v>1610.9690170940166</v>
      </c>
      <c r="G60" s="38">
        <f t="shared" si="9"/>
        <v>1670.9690170940166</v>
      </c>
      <c r="H60" s="38">
        <f t="shared" si="9"/>
        <v>1730.9690170940166</v>
      </c>
      <c r="I60" s="38">
        <f t="shared" si="9"/>
        <v>1790.9690170940166</v>
      </c>
      <c r="J60" s="38">
        <f t="shared" si="9"/>
        <v>1790.9690170940166</v>
      </c>
      <c r="K60" s="38">
        <f t="shared" si="9"/>
        <v>1790.9690170940166</v>
      </c>
      <c r="L60" s="38">
        <f t="shared" si="9"/>
        <v>1790.9690170940166</v>
      </c>
      <c r="M60" s="38">
        <f t="shared" si="9"/>
        <v>1790.9690170940166</v>
      </c>
      <c r="N60" s="38">
        <f t="shared" si="9"/>
        <v>1839.9690170940166</v>
      </c>
      <c r="O60" s="38">
        <f t="shared" si="9"/>
        <v>1839.9690170940166</v>
      </c>
      <c r="P60" s="114"/>
    </row>
    <row r="61" spans="1:16" x14ac:dyDescent="0.2">
      <c r="A61" s="8">
        <v>5</v>
      </c>
      <c r="B61" s="176" t="s">
        <v>39</v>
      </c>
      <c r="C61" s="171"/>
      <c r="D61" s="38">
        <f>D60*0.33</f>
        <v>227.14421794871765</v>
      </c>
      <c r="E61" s="38">
        <f t="shared" ref="E61:O61" si="10">E60*0.33</f>
        <v>423.62692307692294</v>
      </c>
      <c r="F61" s="38">
        <f t="shared" si="10"/>
        <v>531.61977564102551</v>
      </c>
      <c r="G61" s="38">
        <f t="shared" si="10"/>
        <v>551.41977564102547</v>
      </c>
      <c r="H61" s="38">
        <f t="shared" si="10"/>
        <v>571.21977564102554</v>
      </c>
      <c r="I61" s="38">
        <f t="shared" si="10"/>
        <v>591.01977564102549</v>
      </c>
      <c r="J61" s="38">
        <f t="shared" si="10"/>
        <v>591.01977564102549</v>
      </c>
      <c r="K61" s="38">
        <f t="shared" si="10"/>
        <v>591.01977564102549</v>
      </c>
      <c r="L61" s="38">
        <f t="shared" si="10"/>
        <v>591.01977564102549</v>
      </c>
      <c r="M61" s="38">
        <f t="shared" si="10"/>
        <v>591.01977564102549</v>
      </c>
      <c r="N61" s="38">
        <f t="shared" si="10"/>
        <v>607.18977564102556</v>
      </c>
      <c r="O61" s="38">
        <f t="shared" si="10"/>
        <v>607.18977564102556</v>
      </c>
    </row>
    <row r="62" spans="1:16" x14ac:dyDescent="0.2">
      <c r="A62" s="8">
        <v>6</v>
      </c>
      <c r="B62" s="176" t="s">
        <v>40</v>
      </c>
      <c r="C62" s="171"/>
      <c r="D62" s="38">
        <f>D60-D61</f>
        <v>461.17159401709335</v>
      </c>
      <c r="E62" s="38">
        <f t="shared" ref="E62:O62" si="11">E60-E61</f>
        <v>860.09102564102534</v>
      </c>
      <c r="F62" s="38">
        <f t="shared" si="11"/>
        <v>1079.349241452991</v>
      </c>
      <c r="G62" s="38">
        <f t="shared" si="11"/>
        <v>1119.5492414529913</v>
      </c>
      <c r="H62" s="38">
        <f t="shared" si="11"/>
        <v>1159.7492414529911</v>
      </c>
      <c r="I62" s="38">
        <f t="shared" si="11"/>
        <v>1199.9492414529911</v>
      </c>
      <c r="J62" s="38">
        <f t="shared" si="11"/>
        <v>1199.9492414529911</v>
      </c>
      <c r="K62" s="38">
        <f t="shared" si="11"/>
        <v>1199.9492414529911</v>
      </c>
      <c r="L62" s="38">
        <f t="shared" si="11"/>
        <v>1199.9492414529911</v>
      </c>
      <c r="M62" s="38">
        <f t="shared" si="11"/>
        <v>1199.9492414529911</v>
      </c>
      <c r="N62" s="38">
        <f t="shared" si="11"/>
        <v>1232.7792414529911</v>
      </c>
      <c r="O62" s="38">
        <f t="shared" si="11"/>
        <v>1232.7792414529911</v>
      </c>
    </row>
    <row r="63" spans="1:16" x14ac:dyDescent="0.2">
      <c r="A63" s="8">
        <v>6.1</v>
      </c>
      <c r="B63" s="176" t="s">
        <v>41</v>
      </c>
      <c r="C63" s="171"/>
      <c r="D63" s="38">
        <f>D62*0.1</f>
        <v>46.117159401709337</v>
      </c>
      <c r="E63" s="38">
        <f t="shared" ref="E63:O63" si="12">E62*0.1</f>
        <v>86.009102564102534</v>
      </c>
      <c r="F63" s="38">
        <f t="shared" si="12"/>
        <v>107.93492414529911</v>
      </c>
      <c r="G63" s="38">
        <f t="shared" si="12"/>
        <v>111.95492414529913</v>
      </c>
      <c r="H63" s="38">
        <f t="shared" si="12"/>
        <v>115.97492414529911</v>
      </c>
      <c r="I63" s="38">
        <f t="shared" si="12"/>
        <v>119.99492414529912</v>
      </c>
      <c r="J63" s="38">
        <f t="shared" si="12"/>
        <v>119.99492414529912</v>
      </c>
      <c r="K63" s="38">
        <f t="shared" si="12"/>
        <v>119.99492414529912</v>
      </c>
      <c r="L63" s="38">
        <f t="shared" si="12"/>
        <v>119.99492414529912</v>
      </c>
      <c r="M63" s="38">
        <f t="shared" si="12"/>
        <v>119.99492414529912</v>
      </c>
      <c r="N63" s="38">
        <f t="shared" si="12"/>
        <v>123.27792414529911</v>
      </c>
      <c r="O63" s="38">
        <f t="shared" si="12"/>
        <v>123.27792414529911</v>
      </c>
    </row>
    <row r="64" spans="1:16" x14ac:dyDescent="0.2">
      <c r="A64" s="8">
        <v>6.2</v>
      </c>
      <c r="B64" s="176" t="s">
        <v>42</v>
      </c>
      <c r="C64" s="171"/>
      <c r="D64" s="8">
        <v>50</v>
      </c>
      <c r="E64" s="2">
        <v>100</v>
      </c>
      <c r="F64" s="8">
        <v>200</v>
      </c>
      <c r="G64" s="17">
        <v>200</v>
      </c>
      <c r="H64" s="17">
        <v>200</v>
      </c>
      <c r="I64" s="17">
        <v>200</v>
      </c>
      <c r="J64" s="17">
        <v>200</v>
      </c>
      <c r="K64" s="17">
        <v>200</v>
      </c>
      <c r="L64" s="17">
        <v>200</v>
      </c>
      <c r="M64" s="17">
        <v>200</v>
      </c>
      <c r="N64" s="17">
        <v>200</v>
      </c>
      <c r="O64" s="17">
        <v>200</v>
      </c>
    </row>
    <row r="65" spans="1:17" x14ac:dyDescent="0.2">
      <c r="A65" s="8">
        <v>6.3</v>
      </c>
      <c r="B65" s="176" t="s">
        <v>43</v>
      </c>
      <c r="C65" s="171"/>
      <c r="D65" s="38">
        <f>D62-D63-D64</f>
        <v>365.05443461538403</v>
      </c>
      <c r="E65" s="38">
        <f t="shared" ref="E65:O65" si="13">E62-E63-E64</f>
        <v>674.08192307692275</v>
      </c>
      <c r="F65" s="38">
        <f t="shared" si="13"/>
        <v>771.41431730769193</v>
      </c>
      <c r="G65" s="38">
        <f t="shared" si="13"/>
        <v>807.59431730769211</v>
      </c>
      <c r="H65" s="38">
        <f t="shared" si="13"/>
        <v>843.77431730769194</v>
      </c>
      <c r="I65" s="38">
        <f t="shared" si="13"/>
        <v>879.95431730769201</v>
      </c>
      <c r="J65" s="38">
        <f t="shared" si="13"/>
        <v>879.95431730769201</v>
      </c>
      <c r="K65" s="38">
        <f t="shared" si="13"/>
        <v>879.95431730769201</v>
      </c>
      <c r="L65" s="38">
        <f t="shared" si="13"/>
        <v>879.95431730769201</v>
      </c>
      <c r="M65" s="38">
        <f t="shared" si="13"/>
        <v>879.95431730769201</v>
      </c>
      <c r="N65" s="38">
        <f t="shared" si="13"/>
        <v>909.50131730769203</v>
      </c>
      <c r="O65" s="38">
        <f t="shared" si="13"/>
        <v>909.50131730769203</v>
      </c>
    </row>
    <row r="66" spans="1:17" x14ac:dyDescent="0.2">
      <c r="A66" s="11">
        <v>7</v>
      </c>
      <c r="B66" s="166" t="s">
        <v>44</v>
      </c>
      <c r="C66" s="167"/>
      <c r="D66" s="39">
        <f>D65</f>
        <v>365.05443461538403</v>
      </c>
      <c r="E66" s="53">
        <f>D66+E65</f>
        <v>1039.1363576923068</v>
      </c>
      <c r="F66" s="39">
        <f>E66+F65</f>
        <v>1810.5506749999986</v>
      </c>
      <c r="G66" s="39">
        <f t="shared" ref="G66:O66" si="14">F66+G65</f>
        <v>2618.1449923076907</v>
      </c>
      <c r="H66" s="39">
        <f t="shared" si="14"/>
        <v>3461.9193096153826</v>
      </c>
      <c r="I66" s="39">
        <f t="shared" si="14"/>
        <v>4341.8736269230749</v>
      </c>
      <c r="J66" s="39">
        <f t="shared" si="14"/>
        <v>5221.8279442307667</v>
      </c>
      <c r="K66" s="39">
        <f t="shared" si="14"/>
        <v>6101.7822615384584</v>
      </c>
      <c r="L66" s="39">
        <f t="shared" si="14"/>
        <v>6981.7365788461502</v>
      </c>
      <c r="M66" s="39">
        <f t="shared" si="14"/>
        <v>7861.690896153842</v>
      </c>
      <c r="N66" s="39">
        <f t="shared" si="14"/>
        <v>8771.1922134615343</v>
      </c>
      <c r="O66" s="39">
        <f t="shared" si="14"/>
        <v>9680.6935307692256</v>
      </c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7" ht="23.25" x14ac:dyDescent="0.2">
      <c r="A69" s="157" t="s">
        <v>181</v>
      </c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</row>
    <row r="70" spans="1:17" x14ac:dyDescent="0.2">
      <c r="A70" s="163" t="s">
        <v>15</v>
      </c>
      <c r="B70" s="160" t="s">
        <v>127</v>
      </c>
      <c r="C70" s="160"/>
      <c r="D70" s="163" t="s">
        <v>16</v>
      </c>
      <c r="E70" s="163"/>
      <c r="F70" s="163" t="s">
        <v>17</v>
      </c>
      <c r="G70" s="163"/>
      <c r="H70" s="163" t="s">
        <v>18</v>
      </c>
      <c r="I70" s="163"/>
      <c r="J70" s="163"/>
      <c r="K70" s="163"/>
      <c r="L70" s="163"/>
      <c r="M70" s="163"/>
      <c r="N70" s="163"/>
      <c r="O70" s="163"/>
      <c r="P70" s="163"/>
      <c r="Q70" s="163"/>
    </row>
    <row r="71" spans="1:17" x14ac:dyDescent="0.2">
      <c r="A71" s="163"/>
      <c r="B71" s="160"/>
      <c r="C71" s="160"/>
      <c r="D71" s="13">
        <v>1</v>
      </c>
      <c r="E71" s="13">
        <v>2</v>
      </c>
      <c r="F71" s="13">
        <v>3</v>
      </c>
      <c r="G71" s="13">
        <v>4</v>
      </c>
      <c r="H71" s="13">
        <v>5</v>
      </c>
      <c r="I71" s="13">
        <v>6</v>
      </c>
      <c r="J71" s="13">
        <v>7</v>
      </c>
      <c r="K71" s="13">
        <v>8</v>
      </c>
      <c r="L71" s="13">
        <v>9</v>
      </c>
      <c r="M71" s="13">
        <v>10</v>
      </c>
      <c r="N71" s="13">
        <v>11</v>
      </c>
      <c r="O71" s="13">
        <v>12</v>
      </c>
      <c r="P71" s="13">
        <v>13</v>
      </c>
      <c r="Q71" s="13">
        <v>14</v>
      </c>
    </row>
    <row r="72" spans="1:17" x14ac:dyDescent="0.2">
      <c r="A72" s="13">
        <v>1</v>
      </c>
      <c r="B72" s="185" t="s">
        <v>45</v>
      </c>
      <c r="C72" s="186"/>
      <c r="D72" s="7">
        <f>SUM(D73:D81)</f>
        <v>2000</v>
      </c>
      <c r="E72" s="7">
        <f>SUM(E73:E81)</f>
        <v>3700</v>
      </c>
      <c r="F72" s="37">
        <f t="shared" ref="F72:Q72" si="15">SUM(F73:F81)</f>
        <v>1689.1491452991443</v>
      </c>
      <c r="G72" s="37">
        <f t="shared" si="15"/>
        <v>2428.3012820512813</v>
      </c>
      <c r="H72" s="37">
        <f t="shared" si="15"/>
        <v>2108.6773504273501</v>
      </c>
      <c r="I72" s="37">
        <f t="shared" si="15"/>
        <v>2168.6773504273501</v>
      </c>
      <c r="J72" s="37">
        <f t="shared" si="15"/>
        <v>2228.6773504273501</v>
      </c>
      <c r="K72" s="37">
        <f t="shared" si="15"/>
        <v>2228.6773504273501</v>
      </c>
      <c r="L72" s="37">
        <f t="shared" si="15"/>
        <v>2228.6773504273501</v>
      </c>
      <c r="M72" s="37">
        <f t="shared" si="15"/>
        <v>2228.6773504273501</v>
      </c>
      <c r="N72" s="37">
        <f t="shared" si="15"/>
        <v>2228.6773504273501</v>
      </c>
      <c r="O72" s="37">
        <f t="shared" si="15"/>
        <v>2228.6773504273501</v>
      </c>
      <c r="P72" s="37">
        <f t="shared" si="15"/>
        <v>2228.6773504273501</v>
      </c>
      <c r="Q72" s="37">
        <f t="shared" si="15"/>
        <v>3624.1773504273501</v>
      </c>
    </row>
    <row r="73" spans="1:17" x14ac:dyDescent="0.2">
      <c r="A73" s="8">
        <v>1.1000000000000001</v>
      </c>
      <c r="B73" s="187" t="s">
        <v>38</v>
      </c>
      <c r="C73" s="165"/>
      <c r="D73" s="7"/>
      <c r="E73" s="7"/>
      <c r="F73" s="37">
        <f>D60</f>
        <v>688.31581196581101</v>
      </c>
      <c r="G73" s="37">
        <f t="shared" ref="G73:Q73" si="16">E60</f>
        <v>1283.7179487179483</v>
      </c>
      <c r="H73" s="37">
        <f t="shared" si="16"/>
        <v>1610.9690170940166</v>
      </c>
      <c r="I73" s="37">
        <f t="shared" si="16"/>
        <v>1670.9690170940166</v>
      </c>
      <c r="J73" s="37">
        <f t="shared" si="16"/>
        <v>1730.9690170940166</v>
      </c>
      <c r="K73" s="37">
        <f t="shared" si="16"/>
        <v>1790.9690170940166</v>
      </c>
      <c r="L73" s="37">
        <f t="shared" si="16"/>
        <v>1790.9690170940166</v>
      </c>
      <c r="M73" s="37">
        <f t="shared" si="16"/>
        <v>1790.9690170940166</v>
      </c>
      <c r="N73" s="37">
        <f t="shared" si="16"/>
        <v>1790.9690170940166</v>
      </c>
      <c r="O73" s="37">
        <f t="shared" si="16"/>
        <v>1790.9690170940166</v>
      </c>
      <c r="P73" s="37">
        <f t="shared" si="16"/>
        <v>1839.9690170940166</v>
      </c>
      <c r="Q73" s="37">
        <f t="shared" si="16"/>
        <v>1839.9690170940166</v>
      </c>
    </row>
    <row r="74" spans="1:17" ht="14.25" customHeight="1" x14ac:dyDescent="0.2">
      <c r="A74" s="8">
        <v>1.2</v>
      </c>
      <c r="B74" s="176" t="s">
        <v>46</v>
      </c>
      <c r="C74" s="171"/>
      <c r="D74" s="8"/>
      <c r="E74" s="8"/>
      <c r="F74" s="38">
        <f>D50</f>
        <v>497.70833333333331</v>
      </c>
      <c r="G74" s="38">
        <f t="shared" ref="G74:Q74" si="17">E50</f>
        <v>497.70833333333331</v>
      </c>
      <c r="H74" s="38">
        <f t="shared" si="17"/>
        <v>497.70833333333331</v>
      </c>
      <c r="I74" s="38">
        <f t="shared" si="17"/>
        <v>497.70833333333331</v>
      </c>
      <c r="J74" s="38">
        <f t="shared" si="17"/>
        <v>497.70833333333331</v>
      </c>
      <c r="K74" s="38">
        <f t="shared" si="17"/>
        <v>437.70833333333331</v>
      </c>
      <c r="L74" s="38">
        <f t="shared" si="17"/>
        <v>437.70833333333331</v>
      </c>
      <c r="M74" s="38">
        <f t="shared" si="17"/>
        <v>437.70833333333331</v>
      </c>
      <c r="N74" s="38">
        <f t="shared" si="17"/>
        <v>437.70833333333331</v>
      </c>
      <c r="O74" s="38">
        <f t="shared" si="17"/>
        <v>437.70833333333331</v>
      </c>
      <c r="P74" s="38">
        <f t="shared" si="17"/>
        <v>388.70833333333331</v>
      </c>
      <c r="Q74" s="38">
        <f t="shared" si="17"/>
        <v>388.70833333333331</v>
      </c>
    </row>
    <row r="75" spans="1:17" ht="14.25" customHeight="1" x14ac:dyDescent="0.2">
      <c r="A75" s="8">
        <v>1.3</v>
      </c>
      <c r="B75" s="176" t="s">
        <v>47</v>
      </c>
      <c r="C75" s="171"/>
      <c r="D75" s="44">
        <f>D11</f>
        <v>1000</v>
      </c>
      <c r="E75" s="45">
        <f>E11</f>
        <v>3000</v>
      </c>
      <c r="F75" s="8"/>
      <c r="G75" s="8"/>
      <c r="H75" s="8"/>
      <c r="I75" s="22"/>
      <c r="J75" s="8"/>
      <c r="K75" s="8"/>
      <c r="L75" s="8"/>
      <c r="M75" s="8"/>
      <c r="N75" s="8"/>
      <c r="O75" s="8"/>
      <c r="P75" s="8"/>
      <c r="Q75" s="6"/>
    </row>
    <row r="76" spans="1:17" ht="14.25" customHeight="1" x14ac:dyDescent="0.2">
      <c r="A76" s="8">
        <v>1.4</v>
      </c>
      <c r="B76" s="176" t="s">
        <v>48</v>
      </c>
      <c r="C76" s="171"/>
      <c r="D76" s="8"/>
      <c r="E76" s="8"/>
      <c r="F76" s="38">
        <f>F12</f>
        <v>303.125</v>
      </c>
      <c r="G76" s="38">
        <f>G12</f>
        <v>436.875</v>
      </c>
      <c r="H76" s="8"/>
      <c r="I76" s="22"/>
      <c r="J76" s="8"/>
      <c r="K76" s="8"/>
      <c r="L76" s="8"/>
      <c r="M76" s="8"/>
      <c r="N76" s="8"/>
      <c r="O76" s="8"/>
      <c r="P76" s="8"/>
      <c r="Q76" s="6"/>
    </row>
    <row r="77" spans="1:17" ht="14.25" customHeight="1" x14ac:dyDescent="0.2">
      <c r="A77" s="8">
        <v>1.5</v>
      </c>
      <c r="B77" s="176" t="s">
        <v>49</v>
      </c>
      <c r="C77" s="171"/>
      <c r="D77" s="8"/>
      <c r="E77" s="8"/>
      <c r="F77" s="8"/>
      <c r="G77" s="8"/>
      <c r="H77" s="8"/>
      <c r="I77" s="22"/>
      <c r="J77" s="8"/>
      <c r="K77" s="8"/>
      <c r="L77" s="8"/>
      <c r="M77" s="8"/>
      <c r="N77" s="8"/>
      <c r="O77" s="8"/>
      <c r="P77" s="8"/>
      <c r="Q77" s="6"/>
    </row>
    <row r="78" spans="1:17" ht="14.25" customHeight="1" x14ac:dyDescent="0.2">
      <c r="A78" s="8">
        <v>1.6</v>
      </c>
      <c r="B78" s="176" t="s">
        <v>27</v>
      </c>
      <c r="C78" s="171"/>
      <c r="D78" s="8">
        <v>1000</v>
      </c>
      <c r="E78" s="8">
        <v>700</v>
      </c>
      <c r="F78" s="8">
        <v>200</v>
      </c>
      <c r="G78" s="8">
        <v>210</v>
      </c>
      <c r="H78" s="8"/>
      <c r="I78" s="22"/>
      <c r="J78" s="8"/>
      <c r="K78" s="8"/>
      <c r="L78" s="8"/>
      <c r="M78" s="8"/>
      <c r="N78" s="8"/>
      <c r="O78" s="8"/>
      <c r="P78" s="8"/>
      <c r="Q78" s="6"/>
    </row>
    <row r="79" spans="1:17" ht="14.25" customHeight="1" x14ac:dyDescent="0.2">
      <c r="A79" s="8">
        <v>1.7</v>
      </c>
      <c r="B79" s="176" t="s">
        <v>29</v>
      </c>
      <c r="C79" s="171"/>
      <c r="D79" s="8"/>
      <c r="E79" s="8"/>
      <c r="F79" s="8"/>
      <c r="G79" s="8"/>
      <c r="H79" s="8"/>
      <c r="I79" s="22"/>
      <c r="J79" s="8"/>
      <c r="K79" s="8"/>
      <c r="L79" s="8"/>
      <c r="M79" s="8"/>
      <c r="N79" s="8"/>
      <c r="O79" s="8"/>
      <c r="P79" s="8"/>
      <c r="Q79" s="6"/>
    </row>
    <row r="80" spans="1:17" ht="14.25" customHeight="1" x14ac:dyDescent="0.2">
      <c r="A80" s="8">
        <v>1.8</v>
      </c>
      <c r="B80" s="176" t="s">
        <v>50</v>
      </c>
      <c r="C80" s="171"/>
      <c r="D80" s="8"/>
      <c r="E80" s="8"/>
      <c r="F80" s="8"/>
      <c r="G80" s="8"/>
      <c r="H80" s="8"/>
      <c r="I80" s="22"/>
      <c r="J80" s="8"/>
      <c r="K80" s="8"/>
      <c r="L80" s="8"/>
      <c r="M80" s="8"/>
      <c r="N80" s="8"/>
      <c r="O80" s="8"/>
      <c r="P80" s="8"/>
      <c r="Q80" s="6">
        <f>4910*0.05</f>
        <v>245.5</v>
      </c>
    </row>
    <row r="81" spans="1:17" ht="14.25" customHeight="1" x14ac:dyDescent="0.2">
      <c r="A81" s="11">
        <v>1.9</v>
      </c>
      <c r="B81" s="176" t="s">
        <v>51</v>
      </c>
      <c r="C81" s="171"/>
      <c r="D81" s="11"/>
      <c r="E81" s="11"/>
      <c r="F81" s="11"/>
      <c r="G81" s="11"/>
      <c r="H81" s="11"/>
      <c r="I81" s="23"/>
      <c r="J81" s="11"/>
      <c r="K81" s="11"/>
      <c r="L81" s="11"/>
      <c r="M81" s="11"/>
      <c r="N81" s="11"/>
      <c r="O81" s="11"/>
      <c r="P81" s="11"/>
      <c r="Q81" s="10">
        <f>H7</f>
        <v>1150</v>
      </c>
    </row>
    <row r="82" spans="1:17" ht="14.25" customHeight="1" x14ac:dyDescent="0.2">
      <c r="A82" s="8">
        <v>2</v>
      </c>
      <c r="B82" s="164" t="s">
        <v>52</v>
      </c>
      <c r="C82" s="165"/>
      <c r="D82" s="8">
        <f>SUM(D83:D90)</f>
        <v>2000</v>
      </c>
      <c r="E82" s="8">
        <f t="shared" ref="E82:Q82" si="18">SUM(E83:E90)</f>
        <v>3700</v>
      </c>
      <c r="F82" s="34">
        <f t="shared" si="18"/>
        <v>1680.2692179487176</v>
      </c>
      <c r="G82" s="34">
        <f t="shared" si="18"/>
        <v>2270.501923076923</v>
      </c>
      <c r="H82" s="34">
        <f t="shared" si="18"/>
        <v>1731.6197756410256</v>
      </c>
      <c r="I82" s="34">
        <f t="shared" si="18"/>
        <v>2151.4197756410254</v>
      </c>
      <c r="J82" s="34">
        <f t="shared" si="18"/>
        <v>1571.2197756410255</v>
      </c>
      <c r="K82" s="35">
        <f t="shared" si="18"/>
        <v>1591.0197756410255</v>
      </c>
      <c r="L82" s="35">
        <f t="shared" si="18"/>
        <v>1591.0197756410255</v>
      </c>
      <c r="M82" s="35">
        <f t="shared" si="18"/>
        <v>1591.0197756410255</v>
      </c>
      <c r="N82" s="35">
        <f t="shared" si="18"/>
        <v>1591.0197756410255</v>
      </c>
      <c r="O82" s="35">
        <f t="shared" si="18"/>
        <v>1591.0197756410255</v>
      </c>
      <c r="P82" s="35">
        <f t="shared" si="18"/>
        <v>1607.1897756410256</v>
      </c>
      <c r="Q82" s="35">
        <f t="shared" si="18"/>
        <v>2347.1897756410253</v>
      </c>
    </row>
    <row r="83" spans="1:17" ht="14.25" customHeight="1" x14ac:dyDescent="0.2">
      <c r="A83" s="3">
        <v>2.1</v>
      </c>
      <c r="B83" s="184" t="s">
        <v>118</v>
      </c>
      <c r="C83" s="182"/>
      <c r="D83" s="5">
        <f>D5</f>
        <v>2000</v>
      </c>
      <c r="E83" s="7">
        <f>E5</f>
        <v>3700</v>
      </c>
      <c r="F83" s="7"/>
      <c r="G83" s="7"/>
      <c r="H83" s="7"/>
      <c r="I83" s="7"/>
      <c r="J83" s="7"/>
      <c r="K83" s="8"/>
      <c r="L83" s="2"/>
      <c r="M83" s="8"/>
      <c r="N83" s="2"/>
      <c r="O83" s="8"/>
      <c r="Q83" s="28"/>
    </row>
    <row r="84" spans="1:17" x14ac:dyDescent="0.2">
      <c r="A84" s="4">
        <v>2.2000000000000002</v>
      </c>
      <c r="B84" s="172" t="s">
        <v>53</v>
      </c>
      <c r="C84" s="173"/>
      <c r="D84" s="6"/>
      <c r="E84" s="6"/>
      <c r="F84" s="8"/>
      <c r="G84" s="8"/>
      <c r="H84" s="8"/>
      <c r="I84" s="8"/>
      <c r="J84" s="8"/>
      <c r="K84" s="8"/>
      <c r="L84" s="2"/>
      <c r="M84" s="8"/>
      <c r="N84" s="2"/>
      <c r="O84" s="8"/>
      <c r="Q84" s="28"/>
    </row>
    <row r="85" spans="1:17" x14ac:dyDescent="0.2">
      <c r="A85" s="4">
        <v>2.2999999999999998</v>
      </c>
      <c r="B85" s="172" t="s">
        <v>54</v>
      </c>
      <c r="C85" s="173"/>
      <c r="D85" s="6"/>
      <c r="E85" s="8"/>
      <c r="F85" s="38">
        <f>F7</f>
        <v>503.125</v>
      </c>
      <c r="G85" s="38">
        <f>G7</f>
        <v>646.875</v>
      </c>
      <c r="H85" s="8"/>
      <c r="I85" s="8"/>
      <c r="J85" s="8"/>
      <c r="K85" s="8"/>
      <c r="L85" s="2"/>
      <c r="M85" s="8"/>
      <c r="N85" s="2"/>
      <c r="O85" s="8"/>
      <c r="Q85" s="28"/>
    </row>
    <row r="86" spans="1:17" x14ac:dyDescent="0.2">
      <c r="A86" s="4">
        <v>2.4</v>
      </c>
      <c r="B86" s="172" t="s">
        <v>39</v>
      </c>
      <c r="C86" s="173"/>
      <c r="D86" s="6"/>
      <c r="E86" s="8"/>
      <c r="F86" s="38">
        <f>D61</f>
        <v>227.14421794871765</v>
      </c>
      <c r="G86" s="38">
        <f t="shared" ref="G86:Q86" si="19">E61</f>
        <v>423.62692307692294</v>
      </c>
      <c r="H86" s="38">
        <f t="shared" si="19"/>
        <v>531.61977564102551</v>
      </c>
      <c r="I86" s="38">
        <f t="shared" si="19"/>
        <v>551.41977564102547</v>
      </c>
      <c r="J86" s="38">
        <f t="shared" si="19"/>
        <v>571.21977564102554</v>
      </c>
      <c r="K86" s="38">
        <f t="shared" si="19"/>
        <v>591.01977564102549</v>
      </c>
      <c r="L86" s="38">
        <f t="shared" si="19"/>
        <v>591.01977564102549</v>
      </c>
      <c r="M86" s="38">
        <f t="shared" si="19"/>
        <v>591.01977564102549</v>
      </c>
      <c r="N86" s="38">
        <f t="shared" si="19"/>
        <v>591.01977564102549</v>
      </c>
      <c r="O86" s="38">
        <f t="shared" si="19"/>
        <v>591.01977564102549</v>
      </c>
      <c r="P86" s="38">
        <f t="shared" si="19"/>
        <v>607.18977564102556</v>
      </c>
      <c r="Q86" s="38">
        <f t="shared" si="19"/>
        <v>607.18977564102556</v>
      </c>
    </row>
    <row r="87" spans="1:17" x14ac:dyDescent="0.2">
      <c r="A87" s="4">
        <v>2.5</v>
      </c>
      <c r="B87" s="172" t="s">
        <v>42</v>
      </c>
      <c r="C87" s="173"/>
      <c r="D87" s="6"/>
      <c r="E87" s="8"/>
      <c r="F87" s="8">
        <f>D64</f>
        <v>50</v>
      </c>
      <c r="G87" s="8">
        <f t="shared" ref="G87:H87" si="20">E64</f>
        <v>100</v>
      </c>
      <c r="H87" s="8">
        <f t="shared" si="20"/>
        <v>200</v>
      </c>
      <c r="I87" s="8">
        <v>600</v>
      </c>
      <c r="J87" s="8">
        <v>1000</v>
      </c>
      <c r="K87" s="8">
        <v>1000</v>
      </c>
      <c r="L87" s="8">
        <v>1000</v>
      </c>
      <c r="M87" s="17">
        <v>1000</v>
      </c>
      <c r="N87" s="17">
        <v>1000</v>
      </c>
      <c r="O87" s="17">
        <v>1000</v>
      </c>
      <c r="P87" s="17">
        <v>1000</v>
      </c>
      <c r="Q87" s="17">
        <v>1000</v>
      </c>
    </row>
    <row r="88" spans="1:17" x14ac:dyDescent="0.2">
      <c r="A88" s="4">
        <v>2.6</v>
      </c>
      <c r="B88" s="172" t="s">
        <v>55</v>
      </c>
      <c r="C88" s="173"/>
      <c r="D88" s="6"/>
      <c r="E88" s="8"/>
      <c r="F88" s="8">
        <f>F27</f>
        <v>900</v>
      </c>
      <c r="G88" s="8">
        <f>G27</f>
        <v>1100</v>
      </c>
      <c r="H88" s="8">
        <f>H27</f>
        <v>1000</v>
      </c>
      <c r="I88" s="8">
        <f>I27</f>
        <v>1000</v>
      </c>
      <c r="J88" s="8"/>
      <c r="K88" s="8"/>
      <c r="L88" s="2"/>
      <c r="M88" s="8"/>
      <c r="N88" s="2"/>
      <c r="O88" s="8"/>
      <c r="Q88" s="28"/>
    </row>
    <row r="89" spans="1:17" x14ac:dyDescent="0.2">
      <c r="A89" s="4">
        <v>2.7</v>
      </c>
      <c r="B89" s="172" t="s">
        <v>56</v>
      </c>
      <c r="C89" s="173"/>
      <c r="D89" s="6"/>
      <c r="E89" s="8"/>
      <c r="F89" s="8"/>
      <c r="G89" s="8"/>
      <c r="H89" s="8"/>
      <c r="I89" s="8"/>
      <c r="J89" s="8"/>
      <c r="K89" s="8"/>
      <c r="L89" s="2"/>
      <c r="M89" s="8"/>
      <c r="N89" s="2"/>
      <c r="O89" s="8"/>
      <c r="P89" s="2"/>
      <c r="Q89" s="8">
        <f>Q28</f>
        <v>740</v>
      </c>
    </row>
    <row r="90" spans="1:17" x14ac:dyDescent="0.2">
      <c r="A90" s="9">
        <v>2.8</v>
      </c>
      <c r="B90" s="174" t="s">
        <v>57</v>
      </c>
      <c r="C90" s="175"/>
      <c r="D90" s="10"/>
      <c r="E90" s="11"/>
      <c r="F90" s="11"/>
      <c r="G90" s="11"/>
      <c r="H90" s="11"/>
      <c r="I90" s="11"/>
      <c r="J90" s="11"/>
      <c r="K90" s="11"/>
      <c r="L90" s="12"/>
      <c r="M90" s="11"/>
      <c r="N90" s="12"/>
      <c r="O90" s="11"/>
      <c r="P90" s="12"/>
      <c r="Q90" s="11"/>
    </row>
    <row r="91" spans="1:17" x14ac:dyDescent="0.2">
      <c r="A91" s="13">
        <v>3</v>
      </c>
      <c r="B91" s="188" t="s">
        <v>58</v>
      </c>
      <c r="C91" s="188"/>
      <c r="D91" s="13">
        <f>D72-D82</f>
        <v>0</v>
      </c>
      <c r="E91" s="13">
        <f t="shared" ref="E91:Q91" si="21">E72-E82</f>
        <v>0</v>
      </c>
      <c r="F91" s="35">
        <f>F72-F82</f>
        <v>8.8799273504266694</v>
      </c>
      <c r="G91" s="35">
        <f t="shared" si="21"/>
        <v>157.79935897435826</v>
      </c>
      <c r="H91" s="35">
        <f t="shared" si="21"/>
        <v>377.05757478632449</v>
      </c>
      <c r="I91" s="35">
        <f t="shared" si="21"/>
        <v>17.257574786324767</v>
      </c>
      <c r="J91" s="35">
        <f t="shared" si="21"/>
        <v>657.45757478632459</v>
      </c>
      <c r="K91" s="35">
        <f t="shared" si="21"/>
        <v>637.65757478632463</v>
      </c>
      <c r="L91" s="35">
        <f t="shared" si="21"/>
        <v>637.65757478632463</v>
      </c>
      <c r="M91" s="35">
        <f t="shared" si="21"/>
        <v>637.65757478632463</v>
      </c>
      <c r="N91" s="35">
        <f t="shared" si="21"/>
        <v>637.65757478632463</v>
      </c>
      <c r="O91" s="35">
        <f t="shared" si="21"/>
        <v>637.65757478632463</v>
      </c>
      <c r="P91" s="35">
        <f t="shared" si="21"/>
        <v>621.48757478632456</v>
      </c>
      <c r="Q91" s="35">
        <f t="shared" si="21"/>
        <v>1276.9875747863248</v>
      </c>
    </row>
    <row r="92" spans="1:17" x14ac:dyDescent="0.2">
      <c r="A92" s="13">
        <v>4</v>
      </c>
      <c r="B92" s="188" t="s">
        <v>59</v>
      </c>
      <c r="C92" s="188"/>
      <c r="D92" s="13">
        <f>D91</f>
        <v>0</v>
      </c>
      <c r="E92" s="13">
        <f>D92+E91</f>
        <v>0</v>
      </c>
      <c r="F92" s="35">
        <f>E92+F91</f>
        <v>8.8799273504266694</v>
      </c>
      <c r="G92" s="35">
        <f t="shared" ref="G92:Q92" si="22">F92+G91</f>
        <v>166.67928632478493</v>
      </c>
      <c r="H92" s="35">
        <f t="shared" si="22"/>
        <v>543.73686111110942</v>
      </c>
      <c r="I92" s="35">
        <f t="shared" si="22"/>
        <v>560.99443589743419</v>
      </c>
      <c r="J92" s="35">
        <f t="shared" si="22"/>
        <v>1218.4520106837588</v>
      </c>
      <c r="K92" s="35">
        <f t="shared" si="22"/>
        <v>1856.1095854700834</v>
      </c>
      <c r="L92" s="35">
        <f t="shared" si="22"/>
        <v>2493.7671602564078</v>
      </c>
      <c r="M92" s="35">
        <f t="shared" si="22"/>
        <v>3131.4247350427322</v>
      </c>
      <c r="N92" s="35">
        <f t="shared" si="22"/>
        <v>3769.0823098290566</v>
      </c>
      <c r="O92" s="35">
        <f t="shared" si="22"/>
        <v>4406.739884615381</v>
      </c>
      <c r="P92" s="35">
        <f t="shared" si="22"/>
        <v>5028.2274594017053</v>
      </c>
      <c r="Q92" s="35">
        <f t="shared" si="22"/>
        <v>6305.2150341880297</v>
      </c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23.25" x14ac:dyDescent="0.2">
      <c r="A95" s="157" t="s">
        <v>61</v>
      </c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</row>
    <row r="96" spans="1:17" x14ac:dyDescent="0.2">
      <c r="A96" s="163" t="s">
        <v>15</v>
      </c>
      <c r="B96" s="160" t="s">
        <v>128</v>
      </c>
      <c r="C96" s="160"/>
      <c r="D96" s="163" t="s">
        <v>16</v>
      </c>
      <c r="E96" s="163"/>
      <c r="F96" s="163" t="s">
        <v>17</v>
      </c>
      <c r="G96" s="163"/>
      <c r="H96" s="163" t="s">
        <v>18</v>
      </c>
      <c r="I96" s="163"/>
      <c r="J96" s="163"/>
      <c r="K96" s="163"/>
      <c r="L96" s="163"/>
      <c r="M96" s="163"/>
      <c r="N96" s="163"/>
      <c r="O96" s="163"/>
      <c r="P96" s="163"/>
      <c r="Q96" s="163"/>
    </row>
    <row r="97" spans="1:18" x14ac:dyDescent="0.2">
      <c r="A97" s="163"/>
      <c r="B97" s="160"/>
      <c r="C97" s="160"/>
      <c r="D97" s="13">
        <v>1</v>
      </c>
      <c r="E97" s="13">
        <v>2</v>
      </c>
      <c r="F97" s="13">
        <v>3</v>
      </c>
      <c r="G97" s="13">
        <v>4</v>
      </c>
      <c r="H97" s="13">
        <v>5</v>
      </c>
      <c r="I97" s="13">
        <v>6</v>
      </c>
      <c r="J97" s="13">
        <v>7</v>
      </c>
      <c r="K97" s="13">
        <v>8</v>
      </c>
      <c r="L97" s="13">
        <v>9</v>
      </c>
      <c r="M97" s="13">
        <v>10</v>
      </c>
      <c r="N97" s="13">
        <v>11</v>
      </c>
      <c r="O97" s="13">
        <v>12</v>
      </c>
      <c r="P97" s="13">
        <v>13</v>
      </c>
      <c r="Q97" s="13">
        <v>14</v>
      </c>
    </row>
    <row r="98" spans="1:18" x14ac:dyDescent="0.2">
      <c r="A98" s="13">
        <v>1</v>
      </c>
      <c r="B98" s="185" t="s">
        <v>60</v>
      </c>
      <c r="C98" s="186"/>
      <c r="D98" s="7">
        <f>SUM(D99:D106)</f>
        <v>2000</v>
      </c>
      <c r="E98" s="43">
        <f>SUM(E99:E107)</f>
        <v>5700</v>
      </c>
      <c r="F98" s="57">
        <f>SUM(F99:F107)</f>
        <v>6664.2965940170925</v>
      </c>
      <c r="G98" s="57">
        <f t="shared" ref="G98:O98" si="23">SUM(G99:G107)</f>
        <v>7241.2626196581177</v>
      </c>
      <c r="H98" s="57">
        <f t="shared" si="23"/>
        <v>7020.6118611111096</v>
      </c>
      <c r="I98" s="57">
        <f>SUM(I99:I107)</f>
        <v>6940.1611025641023</v>
      </c>
      <c r="J98" s="35">
        <f t="shared" si="23"/>
        <v>6899.9103440170929</v>
      </c>
      <c r="K98" s="57">
        <f t="shared" si="23"/>
        <v>7899.8595854700834</v>
      </c>
      <c r="L98" s="57">
        <f t="shared" si="23"/>
        <v>8899.8088269230739</v>
      </c>
      <c r="M98" s="57">
        <f t="shared" si="23"/>
        <v>9899.7580683760643</v>
      </c>
      <c r="N98" s="57">
        <f t="shared" si="23"/>
        <v>10899.707309829057</v>
      </c>
      <c r="O98" s="57">
        <f t="shared" si="23"/>
        <v>11899.656551282045</v>
      </c>
      <c r="P98" s="57">
        <f>SUM(P99:P107)</f>
        <v>12932.435792735039</v>
      </c>
      <c r="Q98" s="148">
        <f>SUM(Q99:Q107)</f>
        <v>13105.21503418803</v>
      </c>
      <c r="R98" s="49"/>
    </row>
    <row r="99" spans="1:18" x14ac:dyDescent="0.2">
      <c r="A99" s="8">
        <v>1.1000000000000001</v>
      </c>
      <c r="B99" s="187" t="s">
        <v>66</v>
      </c>
      <c r="C99" s="165"/>
      <c r="D99" s="7"/>
      <c r="E99" s="7"/>
      <c r="F99" s="57">
        <f>SUM(F100:F103)</f>
        <v>731.00246367521299</v>
      </c>
      <c r="G99" s="57">
        <f>SUM(G100:G103)</f>
        <v>1268.3396431623926</v>
      </c>
      <c r="H99" s="57">
        <f t="shared" ref="H99:P99" si="24">SUM(H100:H103)</f>
        <v>1406.8684305555546</v>
      </c>
      <c r="I99" s="57">
        <f t="shared" si="24"/>
        <v>1615.4972179487174</v>
      </c>
      <c r="J99" s="57">
        <f t="shared" si="24"/>
        <v>1844.2260053418793</v>
      </c>
      <c r="K99" s="57">
        <f t="shared" si="24"/>
        <v>2563.0547927350417</v>
      </c>
      <c r="L99" s="57">
        <f t="shared" si="24"/>
        <v>3281.8835801282034</v>
      </c>
      <c r="M99" s="57">
        <f t="shared" si="24"/>
        <v>4000.7123675213652</v>
      </c>
      <c r="N99" s="57">
        <f t="shared" si="24"/>
        <v>4719.5411549145283</v>
      </c>
      <c r="O99" s="57">
        <f t="shared" si="24"/>
        <v>5438.3699423076896</v>
      </c>
      <c r="P99" s="57">
        <f t="shared" si="24"/>
        <v>6149.1137297008527</v>
      </c>
      <c r="Q99" s="5"/>
    </row>
    <row r="100" spans="1:18" x14ac:dyDescent="0.2">
      <c r="A100" s="8" t="s">
        <v>67</v>
      </c>
      <c r="B100" s="176" t="s">
        <v>68</v>
      </c>
      <c r="C100" s="171"/>
      <c r="D100" s="8"/>
      <c r="E100" s="8"/>
      <c r="F100" s="38">
        <v>672.12253632478632</v>
      </c>
      <c r="G100" s="38">
        <v>981.66035683760765</v>
      </c>
      <c r="H100" s="38">
        <v>743.13156944444518</v>
      </c>
      <c r="I100" s="38">
        <v>934.50278205128325</v>
      </c>
      <c r="J100" s="38">
        <v>505.7739946581205</v>
      </c>
      <c r="K100" s="38">
        <v>586.9452072649583</v>
      </c>
      <c r="L100" s="38">
        <v>668.11641987179564</v>
      </c>
      <c r="M100" s="38">
        <v>749.28763247863299</v>
      </c>
      <c r="N100" s="38">
        <v>830.45884508547169</v>
      </c>
      <c r="O100" s="38">
        <v>911.63005769230858</v>
      </c>
      <c r="P100" s="38">
        <v>1000.8862702991473</v>
      </c>
      <c r="Q100" s="6">
        <v>6800</v>
      </c>
    </row>
    <row r="101" spans="1:18" x14ac:dyDescent="0.2">
      <c r="A101" s="8" t="s">
        <v>69</v>
      </c>
      <c r="B101" s="176" t="s">
        <v>59</v>
      </c>
      <c r="C101" s="171"/>
      <c r="D101" s="8"/>
      <c r="E101" s="8"/>
      <c r="F101" s="38">
        <f>F92</f>
        <v>8.8799273504266694</v>
      </c>
      <c r="G101" s="38">
        <f t="shared" ref="G101:P101" si="25">G92</f>
        <v>166.67928632478493</v>
      </c>
      <c r="H101" s="38">
        <f t="shared" si="25"/>
        <v>543.73686111110942</v>
      </c>
      <c r="I101" s="38">
        <f t="shared" si="25"/>
        <v>560.99443589743419</v>
      </c>
      <c r="J101" s="38">
        <f t="shared" si="25"/>
        <v>1218.4520106837588</v>
      </c>
      <c r="K101" s="38">
        <f t="shared" si="25"/>
        <v>1856.1095854700834</v>
      </c>
      <c r="L101" s="38">
        <f t="shared" si="25"/>
        <v>2493.7671602564078</v>
      </c>
      <c r="M101" s="38">
        <f t="shared" si="25"/>
        <v>3131.4247350427322</v>
      </c>
      <c r="N101" s="38">
        <f t="shared" si="25"/>
        <v>3769.0823098290566</v>
      </c>
      <c r="O101" s="38">
        <f t="shared" si="25"/>
        <v>4406.739884615381</v>
      </c>
      <c r="P101" s="38">
        <f t="shared" si="25"/>
        <v>5028.2274594017053</v>
      </c>
      <c r="Q101" s="58">
        <f>Q92</f>
        <v>6305.2150341880297</v>
      </c>
    </row>
    <row r="102" spans="1:18" x14ac:dyDescent="0.2">
      <c r="A102" s="8" t="s">
        <v>70</v>
      </c>
      <c r="B102" s="176" t="s">
        <v>72</v>
      </c>
      <c r="C102" s="171"/>
      <c r="D102" s="8"/>
      <c r="E102" s="8"/>
      <c r="F102" s="8">
        <v>50</v>
      </c>
      <c r="G102" s="8">
        <v>120</v>
      </c>
      <c r="H102" s="8">
        <v>120</v>
      </c>
      <c r="I102" s="8">
        <v>120</v>
      </c>
      <c r="J102" s="8">
        <v>120</v>
      </c>
      <c r="K102" s="8">
        <v>120</v>
      </c>
      <c r="L102" s="8">
        <v>120</v>
      </c>
      <c r="M102" s="8">
        <v>120</v>
      </c>
      <c r="N102" s="8">
        <v>120</v>
      </c>
      <c r="O102" s="17">
        <v>120</v>
      </c>
      <c r="P102" s="17">
        <v>120</v>
      </c>
      <c r="Q102" s="6"/>
    </row>
    <row r="103" spans="1:18" x14ac:dyDescent="0.2">
      <c r="A103" s="8" t="s">
        <v>71</v>
      </c>
      <c r="B103" s="176" t="s">
        <v>73</v>
      </c>
      <c r="C103" s="171"/>
      <c r="D103" s="8"/>
      <c r="E103" s="8"/>
      <c r="F103" s="38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6"/>
    </row>
    <row r="104" spans="1:18" x14ac:dyDescent="0.2">
      <c r="A104" s="8">
        <v>1.2</v>
      </c>
      <c r="B104" s="176" t="s">
        <v>74</v>
      </c>
      <c r="C104" s="171"/>
      <c r="D104" s="44">
        <f>D4</f>
        <v>2000</v>
      </c>
      <c r="E104" s="8"/>
      <c r="F104" s="8"/>
      <c r="G104" s="8"/>
      <c r="H104" s="8"/>
      <c r="I104" s="22"/>
      <c r="J104" s="8"/>
      <c r="K104" s="8"/>
      <c r="L104" s="8"/>
      <c r="M104" s="8"/>
      <c r="N104" s="8"/>
      <c r="O104" s="17"/>
      <c r="P104" s="17"/>
      <c r="Q104" s="6"/>
    </row>
    <row r="105" spans="1:18" x14ac:dyDescent="0.2">
      <c r="A105" s="8">
        <v>1.3</v>
      </c>
      <c r="B105" s="176" t="s">
        <v>75</v>
      </c>
      <c r="C105" s="171"/>
      <c r="D105" s="8"/>
      <c r="E105" s="44">
        <v>4910</v>
      </c>
      <c r="F105" s="34">
        <f>4910-4910*0.95/12</f>
        <v>4521.291666666667</v>
      </c>
      <c r="G105" s="34">
        <f>4910-4910*0.95/12*2</f>
        <v>4132.583333333333</v>
      </c>
      <c r="H105" s="34">
        <f>4910-4910*0.95/12*3</f>
        <v>3743.875</v>
      </c>
      <c r="I105" s="34">
        <f>4910-4910*0.95/12*4</f>
        <v>3355.166666666667</v>
      </c>
      <c r="J105" s="34">
        <f>4910-4910*0.95/12*5</f>
        <v>2966.4583333333335</v>
      </c>
      <c r="K105" s="34">
        <f>4910-4910*0.95/12*6</f>
        <v>2577.75</v>
      </c>
      <c r="L105" s="34">
        <f>4910-4910*0.95/12*7</f>
        <v>2189.041666666667</v>
      </c>
      <c r="M105" s="34">
        <f>4910-4910*0.95/12*8</f>
        <v>1800.3333333333335</v>
      </c>
      <c r="N105" s="34">
        <f>4910-4910*0.95/12*9</f>
        <v>1411.625</v>
      </c>
      <c r="O105" s="34">
        <f>4910-4910*0.95/12*10</f>
        <v>1022.916666666667</v>
      </c>
      <c r="P105" s="34">
        <f>4910-4910*0.95/12*11</f>
        <v>634.20833333333394</v>
      </c>
      <c r="Q105" s="34"/>
    </row>
    <row r="106" spans="1:18" x14ac:dyDescent="0.2">
      <c r="A106" s="8">
        <v>1.4</v>
      </c>
      <c r="B106" s="176" t="s">
        <v>76</v>
      </c>
      <c r="C106" s="171"/>
      <c r="D106" s="8"/>
      <c r="E106" s="8">
        <v>490</v>
      </c>
      <c r="F106" s="8">
        <f>490-490*0.1</f>
        <v>441</v>
      </c>
      <c r="G106" s="8">
        <f>490-490*0.2</f>
        <v>392</v>
      </c>
      <c r="H106" s="8">
        <f>490-490*0.3</f>
        <v>343</v>
      </c>
      <c r="I106" s="8">
        <f>490-490*0.4</f>
        <v>294</v>
      </c>
      <c r="J106" s="8">
        <f>490-490*0.5</f>
        <v>245</v>
      </c>
      <c r="K106" s="8">
        <f>490-490*0.6</f>
        <v>196</v>
      </c>
      <c r="L106" s="8">
        <f>490-490*0.7</f>
        <v>147</v>
      </c>
      <c r="M106" s="8">
        <f>490-490*0.8</f>
        <v>98</v>
      </c>
      <c r="N106" s="8">
        <f>490-490*0.9</f>
        <v>49</v>
      </c>
      <c r="O106" s="17"/>
      <c r="P106" s="17"/>
      <c r="Q106" s="6"/>
    </row>
    <row r="107" spans="1:18" x14ac:dyDescent="0.2">
      <c r="A107" s="11">
        <v>1.5</v>
      </c>
      <c r="B107" s="177" t="s">
        <v>119</v>
      </c>
      <c r="C107" s="167"/>
      <c r="D107" s="11"/>
      <c r="E107" s="11">
        <v>300</v>
      </c>
      <c r="F107" s="11">
        <f>300-300/5</f>
        <v>240</v>
      </c>
      <c r="G107" s="11">
        <f>300-300/5*2</f>
        <v>180</v>
      </c>
      <c r="H107" s="11">
        <f>300-300/5*3</f>
        <v>120</v>
      </c>
      <c r="I107" s="11">
        <f>300-300/5*4</f>
        <v>60</v>
      </c>
      <c r="J107" s="11"/>
      <c r="K107" s="8"/>
      <c r="L107" s="8"/>
      <c r="M107" s="8"/>
      <c r="N107" s="8"/>
      <c r="O107" s="17"/>
      <c r="P107" s="17"/>
      <c r="Q107" s="6"/>
    </row>
    <row r="108" spans="1:18" x14ac:dyDescent="0.2">
      <c r="A108" s="8">
        <v>2</v>
      </c>
      <c r="B108" s="176" t="s">
        <v>77</v>
      </c>
      <c r="C108" s="171"/>
      <c r="D108" s="8">
        <f>D114+SUM(D116:D119)</f>
        <v>2000</v>
      </c>
      <c r="E108" s="8">
        <f>E114+SUM(E116:E119)</f>
        <v>5700</v>
      </c>
      <c r="F108" s="38">
        <f>F114+SUM(F116:F119)</f>
        <v>6664.2965940170934</v>
      </c>
      <c r="G108" s="38">
        <f t="shared" ref="G108:P108" si="26">G114+SUM(G116:G119)</f>
        <v>7241.2626196581186</v>
      </c>
      <c r="H108" s="38">
        <f>H114+SUM(H116:H119)</f>
        <v>7020.6118611111096</v>
      </c>
      <c r="I108" s="38">
        <f t="shared" si="26"/>
        <v>6940.1611025641014</v>
      </c>
      <c r="J108" s="38">
        <f t="shared" si="26"/>
        <v>6899.910344017092</v>
      </c>
      <c r="K108" s="36">
        <f t="shared" si="26"/>
        <v>7899.8595854700834</v>
      </c>
      <c r="L108" s="36">
        <f t="shared" si="26"/>
        <v>8899.8088269230739</v>
      </c>
      <c r="M108" s="36">
        <f t="shared" si="26"/>
        <v>9899.7580683760643</v>
      </c>
      <c r="N108" s="36">
        <f t="shared" si="26"/>
        <v>10899.707309829057</v>
      </c>
      <c r="O108" s="36">
        <f t="shared" si="26"/>
        <v>11899.656551282047</v>
      </c>
      <c r="P108" s="36">
        <f t="shared" si="26"/>
        <v>12932.435792735039</v>
      </c>
      <c r="Q108" s="15">
        <f>Q114+SUM(Q116:Q119)</f>
        <v>13105.21503418803</v>
      </c>
    </row>
    <row r="109" spans="1:18" x14ac:dyDescent="0.2">
      <c r="A109" s="3">
        <v>2.1</v>
      </c>
      <c r="B109" s="184" t="s">
        <v>78</v>
      </c>
      <c r="C109" s="182"/>
      <c r="D109" s="5"/>
      <c r="E109" s="7"/>
      <c r="F109" s="57">
        <f>SUM(F110:F112)</f>
        <v>353.125</v>
      </c>
      <c r="G109" s="7">
        <f t="shared" ref="G109:P109" si="27">SUM(G110:G112)</f>
        <v>860</v>
      </c>
      <c r="H109" s="7">
        <f t="shared" si="27"/>
        <v>860</v>
      </c>
      <c r="I109" s="7">
        <f t="shared" si="27"/>
        <v>860</v>
      </c>
      <c r="J109" s="7">
        <f t="shared" si="27"/>
        <v>860</v>
      </c>
      <c r="K109" s="7">
        <f t="shared" si="27"/>
        <v>860</v>
      </c>
      <c r="L109" s="7">
        <f t="shared" si="27"/>
        <v>860</v>
      </c>
      <c r="M109" s="7">
        <f t="shared" si="27"/>
        <v>860</v>
      </c>
      <c r="N109" s="7">
        <f t="shared" si="27"/>
        <v>860</v>
      </c>
      <c r="O109" s="7">
        <f t="shared" si="27"/>
        <v>860</v>
      </c>
      <c r="P109" s="7">
        <f t="shared" si="27"/>
        <v>860</v>
      </c>
      <c r="Q109" s="17"/>
    </row>
    <row r="110" spans="1:18" x14ac:dyDescent="0.2">
      <c r="A110" s="4" t="s">
        <v>79</v>
      </c>
      <c r="B110" s="172" t="s">
        <v>80</v>
      </c>
      <c r="C110" s="173"/>
      <c r="D110" s="6"/>
      <c r="E110" s="6"/>
      <c r="F110" s="8">
        <f>F102</f>
        <v>50</v>
      </c>
      <c r="G110" s="8">
        <f t="shared" ref="G110:P110" si="28">G102</f>
        <v>120</v>
      </c>
      <c r="H110" s="8">
        <f t="shared" si="28"/>
        <v>120</v>
      </c>
      <c r="I110" s="8">
        <f t="shared" si="28"/>
        <v>120</v>
      </c>
      <c r="J110" s="8">
        <f t="shared" si="28"/>
        <v>120</v>
      </c>
      <c r="K110" s="8">
        <f t="shared" si="28"/>
        <v>120</v>
      </c>
      <c r="L110" s="8">
        <f t="shared" si="28"/>
        <v>120</v>
      </c>
      <c r="M110" s="8">
        <f t="shared" si="28"/>
        <v>120</v>
      </c>
      <c r="N110" s="8">
        <f t="shared" si="28"/>
        <v>120</v>
      </c>
      <c r="O110" s="17">
        <f t="shared" si="28"/>
        <v>120</v>
      </c>
      <c r="P110" s="17">
        <f t="shared" si="28"/>
        <v>120</v>
      </c>
      <c r="Q110" s="17"/>
    </row>
    <row r="111" spans="1:18" x14ac:dyDescent="0.2">
      <c r="A111" s="4" t="s">
        <v>81</v>
      </c>
      <c r="B111" s="172" t="s">
        <v>48</v>
      </c>
      <c r="C111" s="173"/>
      <c r="D111" s="6"/>
      <c r="E111" s="8"/>
      <c r="F111" s="38">
        <f>G22</f>
        <v>303.125</v>
      </c>
      <c r="G111" s="44">
        <f t="shared" ref="G111:P111" si="29">H22</f>
        <v>740</v>
      </c>
      <c r="H111" s="44">
        <f t="shared" si="29"/>
        <v>740</v>
      </c>
      <c r="I111" s="44">
        <f t="shared" si="29"/>
        <v>740</v>
      </c>
      <c r="J111" s="44">
        <f t="shared" si="29"/>
        <v>740</v>
      </c>
      <c r="K111" s="44">
        <f t="shared" si="29"/>
        <v>740</v>
      </c>
      <c r="L111" s="44">
        <f t="shared" si="29"/>
        <v>740</v>
      </c>
      <c r="M111" s="44">
        <f t="shared" si="29"/>
        <v>740</v>
      </c>
      <c r="N111" s="44">
        <f t="shared" si="29"/>
        <v>740</v>
      </c>
      <c r="O111" s="44">
        <f t="shared" si="29"/>
        <v>740</v>
      </c>
      <c r="P111" s="44">
        <f t="shared" si="29"/>
        <v>740</v>
      </c>
      <c r="Q111" s="17"/>
    </row>
    <row r="112" spans="1:18" x14ac:dyDescent="0.2">
      <c r="A112" s="4" t="s">
        <v>82</v>
      </c>
      <c r="B112" s="172" t="s">
        <v>49</v>
      </c>
      <c r="C112" s="173"/>
      <c r="D112" s="6"/>
      <c r="E112" s="8"/>
      <c r="F112" s="8"/>
      <c r="G112" s="8"/>
      <c r="H112" s="8"/>
      <c r="I112" s="8"/>
      <c r="J112" s="8"/>
      <c r="K112" s="8"/>
      <c r="L112" s="2"/>
      <c r="M112" s="8"/>
      <c r="N112" s="2"/>
      <c r="O112" s="17"/>
      <c r="P112" s="2"/>
      <c r="Q112" s="17"/>
    </row>
    <row r="113" spans="1:18" x14ac:dyDescent="0.2">
      <c r="A113" s="4">
        <v>2.2000000000000002</v>
      </c>
      <c r="B113" s="172" t="s">
        <v>47</v>
      </c>
      <c r="C113" s="173"/>
      <c r="D113" s="45">
        <f>D11</f>
        <v>1000</v>
      </c>
      <c r="E113" s="44">
        <f>E11+D11</f>
        <v>4000</v>
      </c>
      <c r="F113" s="8">
        <f>F21</f>
        <v>4000</v>
      </c>
      <c r="G113" s="17">
        <f t="shared" ref="G113:I113" si="30">G21</f>
        <v>3100</v>
      </c>
      <c r="H113" s="17">
        <f t="shared" si="30"/>
        <v>2000</v>
      </c>
      <c r="I113" s="17">
        <f t="shared" si="30"/>
        <v>1000</v>
      </c>
      <c r="J113" s="17"/>
      <c r="K113" s="8"/>
      <c r="L113" s="2"/>
      <c r="M113" s="8"/>
      <c r="N113" s="2"/>
      <c r="O113" s="17"/>
      <c r="P113" s="2"/>
      <c r="Q113" s="17"/>
    </row>
    <row r="114" spans="1:18" x14ac:dyDescent="0.2">
      <c r="A114" s="4"/>
      <c r="B114" s="172" t="s">
        <v>83</v>
      </c>
      <c r="C114" s="173"/>
      <c r="D114" s="6">
        <f>D113+D109</f>
        <v>1000</v>
      </c>
      <c r="E114" s="6">
        <f t="shared" ref="E114:P114" si="31">E113+E109</f>
        <v>4000</v>
      </c>
      <c r="F114" s="58">
        <f t="shared" si="31"/>
        <v>4353.125</v>
      </c>
      <c r="G114" s="6">
        <f t="shared" si="31"/>
        <v>3960</v>
      </c>
      <c r="H114" s="6">
        <f t="shared" si="31"/>
        <v>2860</v>
      </c>
      <c r="I114" s="6">
        <f>I113+I109</f>
        <v>1860</v>
      </c>
      <c r="J114" s="6">
        <f t="shared" si="31"/>
        <v>860</v>
      </c>
      <c r="K114" s="6">
        <f t="shared" si="31"/>
        <v>860</v>
      </c>
      <c r="L114" s="6">
        <f>L113+L109</f>
        <v>860</v>
      </c>
      <c r="M114" s="6">
        <f t="shared" si="31"/>
        <v>860</v>
      </c>
      <c r="N114" s="6">
        <f t="shared" si="31"/>
        <v>860</v>
      </c>
      <c r="O114" s="6">
        <f t="shared" si="31"/>
        <v>860</v>
      </c>
      <c r="P114" s="6">
        <f t="shared" si="31"/>
        <v>860</v>
      </c>
      <c r="Q114" s="6"/>
    </row>
    <row r="115" spans="1:18" x14ac:dyDescent="0.2">
      <c r="A115" s="4">
        <v>2.2999999999999998</v>
      </c>
      <c r="B115" s="172" t="s">
        <v>84</v>
      </c>
      <c r="C115" s="173"/>
      <c r="D115" s="6"/>
      <c r="E115" s="8"/>
      <c r="F115" s="8"/>
      <c r="G115" s="8"/>
      <c r="H115" s="8"/>
      <c r="I115" s="8"/>
      <c r="J115" s="8"/>
      <c r="K115" s="8"/>
      <c r="L115" s="2"/>
      <c r="M115" s="8"/>
      <c r="N115" s="2"/>
      <c r="O115" s="17"/>
      <c r="P115" s="2"/>
      <c r="Q115" s="17"/>
    </row>
    <row r="116" spans="1:18" x14ac:dyDescent="0.2">
      <c r="A116" s="4" t="s">
        <v>85</v>
      </c>
      <c r="B116" s="172" t="s">
        <v>86</v>
      </c>
      <c r="C116" s="173"/>
      <c r="D116" s="45">
        <f>D9</f>
        <v>1000</v>
      </c>
      <c r="E116" s="44">
        <f>E9+D9</f>
        <v>1700</v>
      </c>
      <c r="F116" s="8">
        <f>E116+F9</f>
        <v>1900</v>
      </c>
      <c r="G116" s="8">
        <f>F116+G9</f>
        <v>2110</v>
      </c>
      <c r="H116" s="17">
        <f>F116+G9</f>
        <v>2110</v>
      </c>
      <c r="I116" s="17">
        <f>H116+I9</f>
        <v>2110</v>
      </c>
      <c r="J116" s="17">
        <f t="shared" ref="J116:Q116" si="32">I116+J9</f>
        <v>2110</v>
      </c>
      <c r="K116" s="17">
        <f t="shared" si="32"/>
        <v>2110</v>
      </c>
      <c r="L116" s="17">
        <f t="shared" si="32"/>
        <v>2110</v>
      </c>
      <c r="M116" s="17">
        <f t="shared" si="32"/>
        <v>2110</v>
      </c>
      <c r="N116" s="17">
        <f t="shared" si="32"/>
        <v>2110</v>
      </c>
      <c r="O116" s="17">
        <f t="shared" si="32"/>
        <v>2110</v>
      </c>
      <c r="P116" s="17">
        <f t="shared" si="32"/>
        <v>2110</v>
      </c>
      <c r="Q116" s="17">
        <f t="shared" si="32"/>
        <v>2110</v>
      </c>
    </row>
    <row r="117" spans="1:18" x14ac:dyDescent="0.2">
      <c r="A117" s="4" t="s">
        <v>88</v>
      </c>
      <c r="B117" s="172" t="s">
        <v>87</v>
      </c>
      <c r="C117" s="173"/>
      <c r="D117" s="6"/>
      <c r="E117" s="8"/>
      <c r="F117" s="8"/>
      <c r="G117" s="8"/>
      <c r="H117" s="8"/>
      <c r="I117" s="8"/>
      <c r="J117" s="8"/>
      <c r="K117" s="8"/>
      <c r="L117" s="2"/>
      <c r="M117" s="8"/>
      <c r="N117" s="2"/>
      <c r="O117" s="8"/>
      <c r="Q117" s="28"/>
    </row>
    <row r="118" spans="1:18" x14ac:dyDescent="0.2">
      <c r="A118" s="4" t="s">
        <v>89</v>
      </c>
      <c r="B118" s="172" t="s">
        <v>90</v>
      </c>
      <c r="C118" s="173"/>
      <c r="D118" s="6"/>
      <c r="E118" s="8"/>
      <c r="F118" s="38">
        <f>D63</f>
        <v>46.117159401709337</v>
      </c>
      <c r="G118" s="38">
        <f>F118+E63</f>
        <v>132.12626196581186</v>
      </c>
      <c r="H118" s="38">
        <f t="shared" ref="H118:Q118" si="33">G118+F63</f>
        <v>240.06118611111097</v>
      </c>
      <c r="I118" s="38">
        <f t="shared" si="33"/>
        <v>352.01611025641012</v>
      </c>
      <c r="J118" s="38">
        <f t="shared" si="33"/>
        <v>467.99103440170921</v>
      </c>
      <c r="K118" s="38">
        <f t="shared" si="33"/>
        <v>587.98595854700829</v>
      </c>
      <c r="L118" s="38">
        <f t="shared" si="33"/>
        <v>707.98088269230743</v>
      </c>
      <c r="M118" s="38">
        <f t="shared" si="33"/>
        <v>827.97580683760657</v>
      </c>
      <c r="N118" s="38">
        <f t="shared" si="33"/>
        <v>947.97073098290571</v>
      </c>
      <c r="O118" s="38">
        <f t="shared" si="33"/>
        <v>1067.9656551282048</v>
      </c>
      <c r="P118" s="38">
        <f t="shared" si="33"/>
        <v>1191.2435792735039</v>
      </c>
      <c r="Q118" s="38">
        <f t="shared" si="33"/>
        <v>1314.5215034188029</v>
      </c>
    </row>
    <row r="119" spans="1:18" x14ac:dyDescent="0.2">
      <c r="A119" s="9" t="s">
        <v>91</v>
      </c>
      <c r="B119" s="174" t="s">
        <v>44</v>
      </c>
      <c r="C119" s="175"/>
      <c r="D119" s="10"/>
      <c r="E119" s="11"/>
      <c r="F119" s="39">
        <f>D66</f>
        <v>365.05443461538403</v>
      </c>
      <c r="G119" s="39">
        <f t="shared" ref="G119:Q119" si="34">E66</f>
        <v>1039.1363576923068</v>
      </c>
      <c r="H119" s="39">
        <f t="shared" si="34"/>
        <v>1810.5506749999986</v>
      </c>
      <c r="I119" s="39">
        <f t="shared" si="34"/>
        <v>2618.1449923076907</v>
      </c>
      <c r="J119" s="39">
        <f t="shared" si="34"/>
        <v>3461.9193096153826</v>
      </c>
      <c r="K119" s="39">
        <f t="shared" si="34"/>
        <v>4341.8736269230749</v>
      </c>
      <c r="L119" s="39">
        <f t="shared" si="34"/>
        <v>5221.8279442307667</v>
      </c>
      <c r="M119" s="39">
        <f t="shared" si="34"/>
        <v>6101.7822615384584</v>
      </c>
      <c r="N119" s="39">
        <f t="shared" si="34"/>
        <v>6981.7365788461502</v>
      </c>
      <c r="O119" s="39">
        <f t="shared" si="34"/>
        <v>7861.690896153842</v>
      </c>
      <c r="P119" s="39">
        <f t="shared" si="34"/>
        <v>8771.1922134615343</v>
      </c>
      <c r="Q119" s="39">
        <f t="shared" si="34"/>
        <v>9680.6935307692256</v>
      </c>
    </row>
    <row r="120" spans="1:18" x14ac:dyDescent="0.2">
      <c r="A120" s="32"/>
      <c r="B120" s="164" t="s">
        <v>92</v>
      </c>
      <c r="C120" s="165"/>
      <c r="D120" s="59">
        <f>D114/D98</f>
        <v>0.5</v>
      </c>
      <c r="E120" s="60">
        <f>E114/E98</f>
        <v>0.70175438596491224</v>
      </c>
      <c r="F120" s="61">
        <f>F114/F98</f>
        <v>0.65320097006307332</v>
      </c>
      <c r="G120" s="60">
        <f t="shared" ref="G120:P120" si="35">G114/G98</f>
        <v>0.54686595528929505</v>
      </c>
      <c r="H120" s="59">
        <f t="shared" si="35"/>
        <v>0.40737190099373549</v>
      </c>
      <c r="I120" s="59">
        <f t="shared" si="35"/>
        <v>0.26800530600259509</v>
      </c>
      <c r="J120" s="59">
        <f t="shared" si="35"/>
        <v>0.12463930067521897</v>
      </c>
      <c r="K120" s="59">
        <f t="shared" si="35"/>
        <v>0.10886269441823572</v>
      </c>
      <c r="L120" s="59">
        <f t="shared" si="35"/>
        <v>9.6631289134929355E-2</v>
      </c>
      <c r="M120" s="59">
        <f t="shared" si="35"/>
        <v>8.6870809777382027E-2</v>
      </c>
      <c r="N120" s="59">
        <f t="shared" si="35"/>
        <v>7.8901201248264316E-2</v>
      </c>
      <c r="O120" s="59">
        <f t="shared" si="35"/>
        <v>7.2270993393279512E-2</v>
      </c>
      <c r="P120" s="59">
        <f t="shared" si="35"/>
        <v>6.6499460255052337E-2</v>
      </c>
      <c r="Q120" s="60"/>
    </row>
    <row r="121" spans="1:18" x14ac:dyDescent="0.2">
      <c r="A121" s="30"/>
      <c r="B121" s="176" t="s">
        <v>93</v>
      </c>
      <c r="C121" s="171"/>
      <c r="D121" s="62"/>
      <c r="E121" s="63"/>
      <c r="F121" s="63">
        <f>F99/F109</f>
        <v>2.0700954723545855</v>
      </c>
      <c r="G121" s="63">
        <f t="shared" ref="G121:P121" si="36">G99/G109</f>
        <v>1.4748135385609216</v>
      </c>
      <c r="H121" s="63">
        <f t="shared" si="36"/>
        <v>1.6358935239018078</v>
      </c>
      <c r="I121" s="63">
        <f t="shared" si="36"/>
        <v>1.8784851371496714</v>
      </c>
      <c r="J121" s="63">
        <f t="shared" si="36"/>
        <v>2.1444488434207898</v>
      </c>
      <c r="K121" s="63">
        <f t="shared" si="36"/>
        <v>2.9802962706221416</v>
      </c>
      <c r="L121" s="63">
        <f t="shared" si="36"/>
        <v>3.8161436978234922</v>
      </c>
      <c r="M121" s="63">
        <f t="shared" si="36"/>
        <v>4.6519911250248436</v>
      </c>
      <c r="N121" s="63">
        <f t="shared" si="36"/>
        <v>5.4878385522261954</v>
      </c>
      <c r="O121" s="63">
        <f t="shared" si="36"/>
        <v>6.3236859794275464</v>
      </c>
      <c r="P121" s="63">
        <f t="shared" si="36"/>
        <v>7.1501322438382005</v>
      </c>
      <c r="Q121" s="63"/>
    </row>
    <row r="122" spans="1:18" x14ac:dyDescent="0.2">
      <c r="A122" s="31"/>
      <c r="B122" s="166" t="s">
        <v>94</v>
      </c>
      <c r="C122" s="167"/>
      <c r="D122" s="64"/>
      <c r="E122" s="65"/>
      <c r="F122" s="65">
        <f>(F99-F103)/F109</f>
        <v>2.0700954723545855</v>
      </c>
      <c r="G122" s="65">
        <f t="shared" ref="G122:P122" si="37">(G99-G103)/G109</f>
        <v>1.4748135385609216</v>
      </c>
      <c r="H122" s="65">
        <f t="shared" si="37"/>
        <v>1.6358935239018078</v>
      </c>
      <c r="I122" s="65">
        <f t="shared" si="37"/>
        <v>1.8784851371496714</v>
      </c>
      <c r="J122" s="65">
        <f t="shared" si="37"/>
        <v>2.1444488434207898</v>
      </c>
      <c r="K122" s="65">
        <f t="shared" si="37"/>
        <v>2.9802962706221416</v>
      </c>
      <c r="L122" s="65">
        <f t="shared" si="37"/>
        <v>3.8161436978234922</v>
      </c>
      <c r="M122" s="65">
        <f t="shared" si="37"/>
        <v>4.6519911250248436</v>
      </c>
      <c r="N122" s="65">
        <f t="shared" si="37"/>
        <v>5.4878385522261954</v>
      </c>
      <c r="O122" s="65">
        <f t="shared" si="37"/>
        <v>6.3236859794275464</v>
      </c>
      <c r="P122" s="65">
        <f t="shared" si="37"/>
        <v>7.1501322438382005</v>
      </c>
      <c r="Q122" s="65"/>
    </row>
    <row r="123" spans="1:1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8" ht="23.25" x14ac:dyDescent="0.2">
      <c r="A125" s="157" t="s">
        <v>95</v>
      </c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</row>
    <row r="126" spans="1:18" x14ac:dyDescent="0.2">
      <c r="A126" s="163" t="s">
        <v>15</v>
      </c>
      <c r="B126" s="160" t="s">
        <v>128</v>
      </c>
      <c r="C126" s="160"/>
      <c r="D126" s="163" t="s">
        <v>16</v>
      </c>
      <c r="E126" s="163"/>
      <c r="F126" s="163" t="s">
        <v>17</v>
      </c>
      <c r="G126" s="163"/>
      <c r="H126" s="163" t="s">
        <v>18</v>
      </c>
      <c r="I126" s="163"/>
      <c r="J126" s="163"/>
      <c r="K126" s="163"/>
      <c r="L126" s="163"/>
      <c r="M126" s="163"/>
      <c r="N126" s="163"/>
      <c r="O126" s="163"/>
      <c r="P126" s="163"/>
      <c r="Q126" s="163"/>
    </row>
    <row r="127" spans="1:18" x14ac:dyDescent="0.2">
      <c r="A127" s="163"/>
      <c r="B127" s="160"/>
      <c r="C127" s="160"/>
      <c r="D127" s="13">
        <v>1</v>
      </c>
      <c r="E127" s="13">
        <v>2</v>
      </c>
      <c r="F127" s="13">
        <v>3</v>
      </c>
      <c r="G127" s="13">
        <v>4</v>
      </c>
      <c r="H127" s="13">
        <v>5</v>
      </c>
      <c r="I127" s="13">
        <v>6</v>
      </c>
      <c r="J127" s="13">
        <v>7</v>
      </c>
      <c r="K127" s="13">
        <v>8</v>
      </c>
      <c r="L127" s="13">
        <v>9</v>
      </c>
      <c r="M127" s="13">
        <v>10</v>
      </c>
      <c r="N127" s="13">
        <v>11</v>
      </c>
      <c r="O127" s="13">
        <v>12</v>
      </c>
      <c r="P127" s="13">
        <v>13</v>
      </c>
      <c r="Q127" s="13">
        <v>14</v>
      </c>
    </row>
    <row r="128" spans="1:18" x14ac:dyDescent="0.2">
      <c r="A128" s="4">
        <v>1</v>
      </c>
      <c r="B128" s="168" t="s">
        <v>96</v>
      </c>
      <c r="C128" s="169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x14ac:dyDescent="0.2">
      <c r="A129" s="8">
        <v>1.1000000000000001</v>
      </c>
      <c r="B129" s="170" t="s">
        <v>36</v>
      </c>
      <c r="C129" s="171"/>
      <c r="D129" s="8"/>
      <c r="E129" s="8"/>
      <c r="F129" s="8">
        <f>D57</f>
        <v>5600</v>
      </c>
      <c r="G129" s="140">
        <f t="shared" ref="G129:Q129" si="38">E57</f>
        <v>7200</v>
      </c>
      <c r="H129" s="140">
        <f t="shared" si="38"/>
        <v>8000</v>
      </c>
      <c r="I129" s="140">
        <f t="shared" si="38"/>
        <v>8000</v>
      </c>
      <c r="J129" s="140">
        <f t="shared" si="38"/>
        <v>8000</v>
      </c>
      <c r="K129" s="140">
        <f t="shared" si="38"/>
        <v>8000</v>
      </c>
      <c r="L129" s="140">
        <f t="shared" si="38"/>
        <v>8000</v>
      </c>
      <c r="M129" s="140">
        <f t="shared" si="38"/>
        <v>8000</v>
      </c>
      <c r="N129" s="140">
        <f t="shared" si="38"/>
        <v>8000</v>
      </c>
      <c r="O129" s="140">
        <f t="shared" si="38"/>
        <v>8000</v>
      </c>
      <c r="P129" s="140">
        <f t="shared" si="38"/>
        <v>8000</v>
      </c>
      <c r="Q129" s="140">
        <f t="shared" si="38"/>
        <v>8000</v>
      </c>
    </row>
    <row r="130" spans="1:18" x14ac:dyDescent="0.2">
      <c r="A130" s="8">
        <v>1.2</v>
      </c>
      <c r="B130" s="176" t="s">
        <v>97</v>
      </c>
      <c r="C130" s="171"/>
      <c r="D130" s="8"/>
      <c r="E130" s="8"/>
      <c r="F130" s="8"/>
      <c r="G130" s="8"/>
      <c r="H130" s="8"/>
      <c r="I130" s="22"/>
      <c r="J130" s="8"/>
      <c r="K130" s="8"/>
      <c r="L130" s="8"/>
      <c r="M130" s="8"/>
      <c r="N130" s="8"/>
      <c r="O130" s="8"/>
      <c r="P130" s="28"/>
      <c r="Q130" s="6">
        <f>Q80</f>
        <v>245.5</v>
      </c>
    </row>
    <row r="131" spans="1:18" x14ac:dyDescent="0.2">
      <c r="A131" s="11">
        <v>1.3</v>
      </c>
      <c r="B131" s="166" t="s">
        <v>51</v>
      </c>
      <c r="C131" s="167"/>
      <c r="D131" s="11"/>
      <c r="E131" s="11"/>
      <c r="F131" s="11"/>
      <c r="G131" s="11"/>
      <c r="H131" s="11"/>
      <c r="I131" s="23"/>
      <c r="J131" s="11"/>
      <c r="K131" s="11"/>
      <c r="L131" s="11"/>
      <c r="M131" s="11"/>
      <c r="N131" s="11"/>
      <c r="O131" s="11"/>
      <c r="P131" s="29"/>
      <c r="Q131" s="10">
        <f>Q81</f>
        <v>1150</v>
      </c>
    </row>
    <row r="132" spans="1:18" x14ac:dyDescent="0.2">
      <c r="A132" s="8">
        <v>2</v>
      </c>
      <c r="B132" s="176" t="s">
        <v>98</v>
      </c>
      <c r="C132" s="171"/>
      <c r="D132" s="8"/>
      <c r="E132" s="8"/>
      <c r="F132" s="8"/>
      <c r="G132" s="8"/>
      <c r="H132" s="8"/>
      <c r="I132" s="22"/>
      <c r="J132" s="8"/>
      <c r="K132" s="8"/>
      <c r="L132" s="8"/>
      <c r="M132" s="8"/>
      <c r="N132" s="8"/>
      <c r="O132" s="8"/>
      <c r="P132" s="28"/>
      <c r="Q132" s="26"/>
    </row>
    <row r="133" spans="1:18" x14ac:dyDescent="0.2">
      <c r="A133" s="8">
        <v>2.1</v>
      </c>
      <c r="B133" s="176" t="s">
        <v>114</v>
      </c>
      <c r="C133" s="171"/>
      <c r="D133" s="8">
        <f>D5</f>
        <v>2000</v>
      </c>
      <c r="E133" s="140">
        <f>E5</f>
        <v>3700</v>
      </c>
      <c r="F133" s="8"/>
      <c r="G133" s="8"/>
      <c r="H133" s="8"/>
      <c r="I133" s="22"/>
      <c r="J133" s="8"/>
      <c r="K133" s="8"/>
      <c r="L133" s="8"/>
      <c r="M133" s="8"/>
      <c r="N133" s="8"/>
      <c r="O133" s="8"/>
      <c r="P133" s="28"/>
      <c r="Q133" s="26"/>
    </row>
    <row r="134" spans="1:18" x14ac:dyDescent="0.2">
      <c r="A134" s="8">
        <v>2.2000000000000002</v>
      </c>
      <c r="B134" s="176" t="s">
        <v>99</v>
      </c>
      <c r="C134" s="171"/>
      <c r="D134" s="8"/>
      <c r="E134" s="8"/>
      <c r="F134" s="38">
        <f>F7</f>
        <v>503.125</v>
      </c>
      <c r="G134" s="38">
        <f>G7</f>
        <v>646.875</v>
      </c>
      <c r="H134" s="8"/>
      <c r="I134" s="22"/>
      <c r="J134" s="8"/>
      <c r="K134" s="8"/>
      <c r="L134" s="8"/>
      <c r="M134" s="8"/>
      <c r="N134" s="8"/>
      <c r="O134" s="8"/>
      <c r="P134" s="28"/>
      <c r="Q134" s="26"/>
    </row>
    <row r="135" spans="1:18" x14ac:dyDescent="0.2">
      <c r="A135" s="8">
        <v>2.2999999999999998</v>
      </c>
      <c r="B135" s="176" t="s">
        <v>35</v>
      </c>
      <c r="C135" s="171"/>
      <c r="D135" s="8"/>
      <c r="E135" s="8"/>
      <c r="F135" s="38">
        <f>D51</f>
        <v>4080.4833333333345</v>
      </c>
      <c r="G135" s="38">
        <f t="shared" ref="G135:Q135" si="39">E51</f>
        <v>5110.4833333333336</v>
      </c>
      <c r="H135" s="38">
        <f t="shared" si="39"/>
        <v>5625.4833333333336</v>
      </c>
      <c r="I135" s="38">
        <f t="shared" si="39"/>
        <v>5625.4833333333336</v>
      </c>
      <c r="J135" s="38">
        <f t="shared" si="39"/>
        <v>5625.4833333333336</v>
      </c>
      <c r="K135" s="38">
        <f t="shared" si="39"/>
        <v>5625.4833333333336</v>
      </c>
      <c r="L135" s="38">
        <f t="shared" si="39"/>
        <v>5625.4833333333336</v>
      </c>
      <c r="M135" s="38">
        <f t="shared" si="39"/>
        <v>5625.4833333333336</v>
      </c>
      <c r="N135" s="38">
        <f t="shared" si="39"/>
        <v>5625.4833333333336</v>
      </c>
      <c r="O135" s="38">
        <f t="shared" si="39"/>
        <v>5625.4833333333336</v>
      </c>
      <c r="P135" s="38">
        <f t="shared" si="39"/>
        <v>5625.4833333333336</v>
      </c>
      <c r="Q135" s="38">
        <f t="shared" si="39"/>
        <v>5625.4833333333336</v>
      </c>
    </row>
    <row r="136" spans="1:18" x14ac:dyDescent="0.2">
      <c r="A136" s="8">
        <v>2.4</v>
      </c>
      <c r="B136" s="176" t="s">
        <v>37</v>
      </c>
      <c r="C136" s="171"/>
      <c r="D136" s="8"/>
      <c r="E136" s="8"/>
      <c r="F136" s="34">
        <f>D58</f>
        <v>81.367521367521391</v>
      </c>
      <c r="G136" s="34">
        <f t="shared" ref="G136:Q136" si="40">E58</f>
        <v>104.61538461538463</v>
      </c>
      <c r="H136" s="34">
        <f t="shared" si="40"/>
        <v>116.23931623931627</v>
      </c>
      <c r="I136" s="34">
        <f t="shared" si="40"/>
        <v>116.23931623931627</v>
      </c>
      <c r="J136" s="34">
        <f t="shared" si="40"/>
        <v>116.23931623931627</v>
      </c>
      <c r="K136" s="34">
        <f t="shared" si="40"/>
        <v>116.23931623931627</v>
      </c>
      <c r="L136" s="34">
        <f t="shared" si="40"/>
        <v>116.23931623931627</v>
      </c>
      <c r="M136" s="34">
        <f t="shared" si="40"/>
        <v>116.23931623931627</v>
      </c>
      <c r="N136" s="34">
        <f t="shared" si="40"/>
        <v>116.23931623931627</v>
      </c>
      <c r="O136" s="34">
        <f t="shared" si="40"/>
        <v>116.23931623931627</v>
      </c>
      <c r="P136" s="34">
        <f t="shared" si="40"/>
        <v>116.23931623931627</v>
      </c>
      <c r="Q136" s="34">
        <f t="shared" si="40"/>
        <v>116.23931623931627</v>
      </c>
    </row>
    <row r="137" spans="1:18" x14ac:dyDescent="0.2">
      <c r="A137" s="8">
        <v>2.5</v>
      </c>
      <c r="B137" s="176" t="s">
        <v>39</v>
      </c>
      <c r="C137" s="171"/>
      <c r="D137" s="8"/>
      <c r="E137" s="8"/>
      <c r="F137" s="38">
        <f>D61</f>
        <v>227.14421794871765</v>
      </c>
      <c r="G137" s="38">
        <f t="shared" ref="G137:Q137" si="41">E61</f>
        <v>423.62692307692294</v>
      </c>
      <c r="H137" s="38">
        <f t="shared" si="41"/>
        <v>531.61977564102551</v>
      </c>
      <c r="I137" s="38">
        <f t="shared" si="41"/>
        <v>551.41977564102547</v>
      </c>
      <c r="J137" s="39">
        <f t="shared" si="41"/>
        <v>571.21977564102554</v>
      </c>
      <c r="K137" s="39">
        <f t="shared" si="41"/>
        <v>591.01977564102549</v>
      </c>
      <c r="L137" s="39">
        <f t="shared" si="41"/>
        <v>591.01977564102549</v>
      </c>
      <c r="M137" s="39">
        <f t="shared" si="41"/>
        <v>591.01977564102549</v>
      </c>
      <c r="N137" s="39">
        <f t="shared" si="41"/>
        <v>591.01977564102549</v>
      </c>
      <c r="O137" s="39">
        <f t="shared" si="41"/>
        <v>591.01977564102549</v>
      </c>
      <c r="P137" s="39">
        <f t="shared" si="41"/>
        <v>607.18977564102556</v>
      </c>
      <c r="Q137" s="39">
        <f t="shared" si="41"/>
        <v>607.18977564102556</v>
      </c>
    </row>
    <row r="138" spans="1:18" x14ac:dyDescent="0.2">
      <c r="A138" s="3">
        <v>3</v>
      </c>
      <c r="B138" s="184" t="s">
        <v>100</v>
      </c>
      <c r="C138" s="182"/>
      <c r="D138" s="46">
        <f>SUM(D129:D131)-SUM(D133:D136)</f>
        <v>-2000</v>
      </c>
      <c r="E138" s="46">
        <f t="shared" ref="E138:Q138" si="42">SUM(E129:E131)-SUM(E133:E136)</f>
        <v>-3700</v>
      </c>
      <c r="F138" s="67">
        <f t="shared" si="42"/>
        <v>935.02414529914404</v>
      </c>
      <c r="G138" s="67">
        <f t="shared" si="42"/>
        <v>1338.0262820512817</v>
      </c>
      <c r="H138" s="67">
        <f t="shared" si="42"/>
        <v>2258.27735042735</v>
      </c>
      <c r="I138" s="67">
        <f t="shared" si="42"/>
        <v>2258.27735042735</v>
      </c>
      <c r="J138" s="67">
        <f t="shared" si="42"/>
        <v>2258.27735042735</v>
      </c>
      <c r="K138" s="67">
        <f t="shared" si="42"/>
        <v>2258.27735042735</v>
      </c>
      <c r="L138" s="67">
        <f t="shared" si="42"/>
        <v>2258.27735042735</v>
      </c>
      <c r="M138" s="67">
        <f t="shared" si="42"/>
        <v>2258.27735042735</v>
      </c>
      <c r="N138" s="67">
        <f t="shared" si="42"/>
        <v>2258.27735042735</v>
      </c>
      <c r="O138" s="67">
        <f t="shared" si="42"/>
        <v>2258.27735042735</v>
      </c>
      <c r="P138" s="67">
        <f t="shared" si="42"/>
        <v>2258.27735042735</v>
      </c>
      <c r="Q138" s="67">
        <f t="shared" si="42"/>
        <v>3653.77735042735</v>
      </c>
      <c r="R138" s="117"/>
    </row>
    <row r="139" spans="1:18" x14ac:dyDescent="0.2">
      <c r="A139" s="4">
        <v>4</v>
      </c>
      <c r="B139" s="172" t="s">
        <v>101</v>
      </c>
      <c r="C139" s="173"/>
      <c r="D139" s="45">
        <f>SUM(D129:D131)-SUM(D133:D137)</f>
        <v>-2000</v>
      </c>
      <c r="E139" s="45">
        <f t="shared" ref="E139:Q139" si="43">SUM(E129:E131)-SUM(E133:E137)</f>
        <v>-3700</v>
      </c>
      <c r="F139" s="58">
        <f t="shared" si="43"/>
        <v>707.87992735042644</v>
      </c>
      <c r="G139" s="58">
        <f t="shared" si="43"/>
        <v>914.39935897435862</v>
      </c>
      <c r="H139" s="58">
        <f t="shared" si="43"/>
        <v>1726.6575747863244</v>
      </c>
      <c r="I139" s="58">
        <f t="shared" si="43"/>
        <v>1706.8575747863242</v>
      </c>
      <c r="J139" s="58">
        <f t="shared" si="43"/>
        <v>1687.057574786324</v>
      </c>
      <c r="K139" s="58">
        <f t="shared" si="43"/>
        <v>1667.2575747863248</v>
      </c>
      <c r="L139" s="58">
        <f t="shared" si="43"/>
        <v>1667.2575747863248</v>
      </c>
      <c r="M139" s="58">
        <f t="shared" si="43"/>
        <v>1667.2575747863248</v>
      </c>
      <c r="N139" s="58">
        <f t="shared" si="43"/>
        <v>1667.2575747863248</v>
      </c>
      <c r="O139" s="58">
        <f t="shared" si="43"/>
        <v>1667.2575747863248</v>
      </c>
      <c r="P139" s="58">
        <f t="shared" si="43"/>
        <v>1651.0875747863247</v>
      </c>
      <c r="Q139" s="58">
        <f t="shared" si="43"/>
        <v>3046.5875747863247</v>
      </c>
    </row>
    <row r="140" spans="1:18" x14ac:dyDescent="0.2">
      <c r="A140" s="8">
        <v>5</v>
      </c>
      <c r="B140" s="178" t="s">
        <v>104</v>
      </c>
      <c r="C140" s="173"/>
      <c r="D140" s="45">
        <f>D139</f>
        <v>-2000</v>
      </c>
      <c r="E140" s="44">
        <f>D140+E139</f>
        <v>-5700</v>
      </c>
      <c r="F140" s="34">
        <f t="shared" ref="F140:Q140" si="44">E140+F139</f>
        <v>-4992.1200726495736</v>
      </c>
      <c r="G140" s="34">
        <f t="shared" si="44"/>
        <v>-4077.7207136752149</v>
      </c>
      <c r="H140" s="34">
        <f t="shared" si="44"/>
        <v>-2351.0631388888905</v>
      </c>
      <c r="I140" s="34">
        <f t="shared" si="44"/>
        <v>-644.20556410256631</v>
      </c>
      <c r="J140" s="34">
        <f t="shared" si="44"/>
        <v>1042.8520106837577</v>
      </c>
      <c r="K140" s="34">
        <f t="shared" si="44"/>
        <v>2710.1095854700825</v>
      </c>
      <c r="L140" s="34">
        <f t="shared" si="44"/>
        <v>4377.3671602564073</v>
      </c>
      <c r="M140" s="34">
        <f t="shared" si="44"/>
        <v>6044.624735042732</v>
      </c>
      <c r="N140" s="34">
        <f t="shared" si="44"/>
        <v>7711.8823098290568</v>
      </c>
      <c r="O140" s="34">
        <f t="shared" si="44"/>
        <v>9379.1398846153825</v>
      </c>
      <c r="P140" s="34">
        <f t="shared" si="44"/>
        <v>11030.227459401707</v>
      </c>
      <c r="Q140" s="34">
        <f t="shared" si="44"/>
        <v>14076.815034188032</v>
      </c>
    </row>
    <row r="141" spans="1:18" x14ac:dyDescent="0.2">
      <c r="A141" s="4">
        <v>6</v>
      </c>
      <c r="B141" s="172" t="s">
        <v>103</v>
      </c>
      <c r="C141" s="173"/>
      <c r="D141" s="70">
        <f>1/(1+0.15)^D127</f>
        <v>0.86956521739130443</v>
      </c>
      <c r="E141" s="70">
        <f t="shared" ref="E141:Q141" si="45">1/(1+0.15)^E127</f>
        <v>0.7561436672967865</v>
      </c>
      <c r="F141" s="70">
        <f t="shared" si="45"/>
        <v>0.65751623243198831</v>
      </c>
      <c r="G141" s="70">
        <f t="shared" si="45"/>
        <v>0.57175324559303342</v>
      </c>
      <c r="H141" s="70">
        <f t="shared" si="45"/>
        <v>0.49717673529828987</v>
      </c>
      <c r="I141" s="70">
        <f t="shared" si="45"/>
        <v>0.43232759591155645</v>
      </c>
      <c r="J141" s="70">
        <f t="shared" si="45"/>
        <v>0.37593703992309269</v>
      </c>
      <c r="K141" s="70">
        <f t="shared" si="45"/>
        <v>0.32690177384616753</v>
      </c>
      <c r="L141" s="70">
        <f t="shared" si="45"/>
        <v>0.28426241204014574</v>
      </c>
      <c r="M141" s="70">
        <f t="shared" si="45"/>
        <v>0.24718470612186585</v>
      </c>
      <c r="N141" s="70">
        <f t="shared" si="45"/>
        <v>0.21494322271466598</v>
      </c>
      <c r="O141" s="70">
        <f t="shared" si="45"/>
        <v>0.18690715018666609</v>
      </c>
      <c r="P141" s="70">
        <f t="shared" si="45"/>
        <v>0.16252795668405748</v>
      </c>
      <c r="Q141" s="71">
        <f t="shared" si="45"/>
        <v>0.14132865798613695</v>
      </c>
      <c r="R141" s="72"/>
    </row>
    <row r="142" spans="1:18" x14ac:dyDescent="0.2">
      <c r="A142" s="4">
        <v>7</v>
      </c>
      <c r="B142" s="172" t="s">
        <v>105</v>
      </c>
      <c r="C142" s="173"/>
      <c r="D142" s="58">
        <f>D139*D141</f>
        <v>-1739.130434782609</v>
      </c>
      <c r="E142" s="58">
        <f t="shared" ref="E142:Q142" si="46">E139*E141</f>
        <v>-2797.7315689981101</v>
      </c>
      <c r="F142" s="58">
        <f t="shared" si="46"/>
        <v>465.442542845682</v>
      </c>
      <c r="G142" s="58">
        <f t="shared" si="46"/>
        <v>522.81080126177881</v>
      </c>
      <c r="H142" s="58">
        <f t="shared" si="46"/>
        <v>858.45397601032755</v>
      </c>
      <c r="I142" s="58">
        <f t="shared" si="46"/>
        <v>737.92163187080121</v>
      </c>
      <c r="J142" s="58">
        <f t="shared" si="46"/>
        <v>634.22743084500223</v>
      </c>
      <c r="K142" s="58">
        <f t="shared" si="46"/>
        <v>545.02945865610889</v>
      </c>
      <c r="L142" s="58">
        <f t="shared" si="46"/>
        <v>473.93865970096437</v>
      </c>
      <c r="M142" s="58">
        <f t="shared" si="46"/>
        <v>412.12057365301246</v>
      </c>
      <c r="N142" s="58">
        <f t="shared" si="46"/>
        <v>358.36571622001088</v>
      </c>
      <c r="O142" s="58">
        <f t="shared" si="46"/>
        <v>311.6223619304443</v>
      </c>
      <c r="P142" s="58">
        <f t="shared" si="46"/>
        <v>268.34788983645728</v>
      </c>
      <c r="Q142" s="58">
        <f t="shared" si="46"/>
        <v>430.57013338179092</v>
      </c>
    </row>
    <row r="143" spans="1:18" x14ac:dyDescent="0.2">
      <c r="A143" s="9">
        <v>8</v>
      </c>
      <c r="B143" s="174" t="s">
        <v>106</v>
      </c>
      <c r="C143" s="175"/>
      <c r="D143" s="68">
        <f>D140*D141</f>
        <v>-1739.130434782609</v>
      </c>
      <c r="E143" s="68">
        <f t="shared" ref="E143:Q143" si="47">E140*E141</f>
        <v>-4310.0189035916828</v>
      </c>
      <c r="F143" s="68">
        <f t="shared" si="47"/>
        <v>-3282.3999820166514</v>
      </c>
      <c r="G143" s="68">
        <f t="shared" si="47"/>
        <v>-2331.4500526657448</v>
      </c>
      <c r="H143" s="68">
        <f t="shared" si="47"/>
        <v>-1168.8938958729284</v>
      </c>
      <c r="I143" s="68">
        <f t="shared" si="47"/>
        <v>-278.50784280131057</v>
      </c>
      <c r="J143" s="68">
        <f t="shared" si="47"/>
        <v>392.04669797429733</v>
      </c>
      <c r="K143" s="68">
        <f t="shared" si="47"/>
        <v>885.93963080767173</v>
      </c>
      <c r="L143" s="68">
        <f t="shared" si="47"/>
        <v>1244.3209473598095</v>
      </c>
      <c r="M143" s="68">
        <f t="shared" si="47"/>
        <v>1494.1387887484989</v>
      </c>
      <c r="N143" s="68">
        <f t="shared" si="47"/>
        <v>1657.6168368708798</v>
      </c>
      <c r="O143" s="68">
        <f t="shared" si="47"/>
        <v>1753.0283070355574</v>
      </c>
      <c r="P143" s="68">
        <f t="shared" si="47"/>
        <v>1792.7203307369421</v>
      </c>
      <c r="Q143" s="68">
        <f t="shared" si="47"/>
        <v>1989.457377500871</v>
      </c>
    </row>
    <row r="144" spans="1:18" x14ac:dyDescent="0.2">
      <c r="A144" s="14"/>
      <c r="B144" s="178"/>
      <c r="C144" s="178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25"/>
      <c r="Q144" s="25"/>
    </row>
    <row r="145" spans="1:19" x14ac:dyDescent="0.2">
      <c r="A145" s="14"/>
      <c r="B145" s="178"/>
      <c r="C145" s="178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25"/>
      <c r="Q145" s="25"/>
    </row>
    <row r="146" spans="1:19" ht="23.25" x14ac:dyDescent="0.2">
      <c r="A146" s="157" t="s">
        <v>107</v>
      </c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</row>
    <row r="147" spans="1:19" x14ac:dyDescent="0.2">
      <c r="A147" s="163" t="s">
        <v>15</v>
      </c>
      <c r="B147" s="160" t="s">
        <v>128</v>
      </c>
      <c r="C147" s="160"/>
      <c r="D147" s="163" t="s">
        <v>16</v>
      </c>
      <c r="E147" s="163"/>
      <c r="F147" s="163" t="s">
        <v>17</v>
      </c>
      <c r="G147" s="163"/>
      <c r="H147" s="163" t="s">
        <v>18</v>
      </c>
      <c r="I147" s="163"/>
      <c r="J147" s="163"/>
      <c r="K147" s="163"/>
      <c r="L147" s="163"/>
      <c r="M147" s="163"/>
      <c r="N147" s="163"/>
      <c r="O147" s="163"/>
      <c r="P147" s="163"/>
      <c r="Q147" s="163"/>
    </row>
    <row r="148" spans="1:19" x14ac:dyDescent="0.2">
      <c r="A148" s="163"/>
      <c r="B148" s="160"/>
      <c r="C148" s="160"/>
      <c r="D148" s="13">
        <v>1</v>
      </c>
      <c r="E148" s="13">
        <v>2</v>
      </c>
      <c r="F148" s="13">
        <v>3</v>
      </c>
      <c r="G148" s="13">
        <v>4</v>
      </c>
      <c r="H148" s="13">
        <v>5</v>
      </c>
      <c r="I148" s="13">
        <v>6</v>
      </c>
      <c r="J148" s="13">
        <v>7</v>
      </c>
      <c r="K148" s="13">
        <v>8</v>
      </c>
      <c r="L148" s="13">
        <v>9</v>
      </c>
      <c r="M148" s="13">
        <v>10</v>
      </c>
      <c r="N148" s="13">
        <v>11</v>
      </c>
      <c r="O148" s="13">
        <v>12</v>
      </c>
      <c r="P148" s="13">
        <v>13</v>
      </c>
      <c r="Q148" s="13">
        <v>14</v>
      </c>
    </row>
    <row r="149" spans="1:19" x14ac:dyDescent="0.2">
      <c r="A149" s="4">
        <v>1</v>
      </c>
      <c r="B149" s="168" t="s">
        <v>96</v>
      </c>
      <c r="C149" s="16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7"/>
    </row>
    <row r="150" spans="1:19" x14ac:dyDescent="0.2">
      <c r="A150" s="8">
        <v>1.1000000000000001</v>
      </c>
      <c r="B150" s="170" t="s">
        <v>36</v>
      </c>
      <c r="C150" s="171"/>
      <c r="D150" s="8"/>
      <c r="E150" s="8"/>
      <c r="F150" s="8">
        <f>D57</f>
        <v>5600</v>
      </c>
      <c r="G150" s="108">
        <f t="shared" ref="G150:Q150" si="48">E57</f>
        <v>7200</v>
      </c>
      <c r="H150" s="108">
        <f t="shared" si="48"/>
        <v>8000</v>
      </c>
      <c r="I150" s="108">
        <f t="shared" si="48"/>
        <v>8000</v>
      </c>
      <c r="J150" s="108">
        <f t="shared" si="48"/>
        <v>8000</v>
      </c>
      <c r="K150" s="108">
        <f t="shared" si="48"/>
        <v>8000</v>
      </c>
      <c r="L150" s="108">
        <f t="shared" si="48"/>
        <v>8000</v>
      </c>
      <c r="M150" s="108">
        <f t="shared" si="48"/>
        <v>8000</v>
      </c>
      <c r="N150" s="108">
        <f t="shared" si="48"/>
        <v>8000</v>
      </c>
      <c r="O150" s="108">
        <f t="shared" si="48"/>
        <v>8000</v>
      </c>
      <c r="P150" s="108">
        <f t="shared" si="48"/>
        <v>8000</v>
      </c>
      <c r="Q150" s="108">
        <f t="shared" si="48"/>
        <v>8000</v>
      </c>
    </row>
    <row r="151" spans="1:19" x14ac:dyDescent="0.2">
      <c r="A151" s="8">
        <v>1.2</v>
      </c>
      <c r="B151" s="176" t="s">
        <v>97</v>
      </c>
      <c r="C151" s="171"/>
      <c r="D151" s="8"/>
      <c r="E151" s="8"/>
      <c r="F151" s="8"/>
      <c r="G151" s="8"/>
      <c r="H151" s="8"/>
      <c r="I151" s="22"/>
      <c r="J151" s="8"/>
      <c r="K151" s="8"/>
      <c r="L151" s="8"/>
      <c r="M151" s="8"/>
      <c r="N151" s="8"/>
      <c r="O151" s="8"/>
      <c r="P151" s="28"/>
      <c r="Q151" s="6">
        <f>Q80</f>
        <v>245.5</v>
      </c>
    </row>
    <row r="152" spans="1:19" x14ac:dyDescent="0.2">
      <c r="A152" s="11">
        <v>1.3</v>
      </c>
      <c r="B152" s="166" t="s">
        <v>51</v>
      </c>
      <c r="C152" s="167"/>
      <c r="D152" s="11"/>
      <c r="E152" s="11"/>
      <c r="F152" s="11"/>
      <c r="G152" s="11"/>
      <c r="H152" s="11"/>
      <c r="I152" s="23"/>
      <c r="J152" s="11"/>
      <c r="K152" s="11"/>
      <c r="L152" s="11"/>
      <c r="M152" s="11"/>
      <c r="N152" s="11"/>
      <c r="O152" s="11"/>
      <c r="P152" s="29"/>
      <c r="Q152" s="10">
        <f>Q81</f>
        <v>1150</v>
      </c>
    </row>
    <row r="153" spans="1:19" x14ac:dyDescent="0.2">
      <c r="A153" s="8">
        <v>2</v>
      </c>
      <c r="B153" s="176" t="s">
        <v>98</v>
      </c>
      <c r="C153" s="171"/>
      <c r="D153" s="8"/>
      <c r="E153" s="8"/>
      <c r="F153" s="8"/>
      <c r="G153" s="8"/>
      <c r="H153" s="8"/>
      <c r="I153" s="22"/>
      <c r="J153" s="8"/>
      <c r="K153" s="8"/>
      <c r="L153" s="8"/>
      <c r="M153" s="8"/>
      <c r="N153" s="8"/>
      <c r="O153" s="8"/>
      <c r="P153" s="28"/>
      <c r="Q153" s="26"/>
    </row>
    <row r="154" spans="1:19" x14ac:dyDescent="0.2">
      <c r="A154" s="8">
        <v>2.1</v>
      </c>
      <c r="B154" s="176" t="s">
        <v>108</v>
      </c>
      <c r="C154" s="171"/>
      <c r="D154" s="8">
        <f>D9</f>
        <v>1000</v>
      </c>
      <c r="E154" s="54">
        <f t="shared" ref="E154:G154" si="49">E9</f>
        <v>700</v>
      </c>
      <c r="F154" s="54">
        <f t="shared" si="49"/>
        <v>200</v>
      </c>
      <c r="G154" s="54">
        <f t="shared" si="49"/>
        <v>210</v>
      </c>
      <c r="H154" s="8"/>
      <c r="I154" s="22"/>
      <c r="J154" s="8"/>
      <c r="K154" s="8"/>
      <c r="L154" s="8"/>
      <c r="M154" s="8"/>
      <c r="N154" s="8"/>
      <c r="O154" s="8"/>
      <c r="P154" s="28"/>
      <c r="Q154" s="26"/>
    </row>
    <row r="155" spans="1:19" x14ac:dyDescent="0.2">
      <c r="A155" s="180">
        <v>2.2000000000000002</v>
      </c>
      <c r="B155" s="176" t="s">
        <v>47</v>
      </c>
      <c r="C155" s="19" t="s">
        <v>109</v>
      </c>
      <c r="D155" s="8"/>
      <c r="E155" s="8"/>
      <c r="F155" s="8">
        <f>F27</f>
        <v>900</v>
      </c>
      <c r="G155" s="54">
        <f t="shared" ref="G155:I155" si="50">G27</f>
        <v>1100</v>
      </c>
      <c r="H155" s="54">
        <f t="shared" si="50"/>
        <v>1000</v>
      </c>
      <c r="I155" s="54">
        <f t="shared" si="50"/>
        <v>1000</v>
      </c>
      <c r="J155" s="8"/>
      <c r="K155" s="8"/>
      <c r="L155" s="8"/>
      <c r="M155" s="8"/>
      <c r="N155" s="8"/>
      <c r="O155" s="8"/>
      <c r="P155" s="28"/>
      <c r="Q155" s="26"/>
    </row>
    <row r="156" spans="1:19" x14ac:dyDescent="0.2">
      <c r="A156" s="180"/>
      <c r="B156" s="176"/>
      <c r="C156" s="33" t="s">
        <v>110</v>
      </c>
      <c r="D156" s="8"/>
      <c r="E156" s="8"/>
      <c r="F156" s="8">
        <f>F25</f>
        <v>240</v>
      </c>
      <c r="G156" s="54">
        <f t="shared" ref="G156:I156" si="51">G25</f>
        <v>186</v>
      </c>
      <c r="H156" s="54">
        <f t="shared" si="51"/>
        <v>120</v>
      </c>
      <c r="I156" s="54">
        <f t="shared" si="51"/>
        <v>60</v>
      </c>
      <c r="J156" s="8"/>
      <c r="K156" s="8"/>
      <c r="L156" s="8"/>
      <c r="M156" s="8"/>
      <c r="N156" s="8"/>
      <c r="O156" s="8"/>
      <c r="P156" s="28"/>
      <c r="Q156" s="26"/>
    </row>
    <row r="157" spans="1:19" x14ac:dyDescent="0.2">
      <c r="A157" s="180">
        <v>2.2999999999999998</v>
      </c>
      <c r="B157" s="176" t="s">
        <v>48</v>
      </c>
      <c r="C157" s="19" t="s">
        <v>109</v>
      </c>
      <c r="D157" s="8"/>
      <c r="E157" s="8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4">
        <f>Q28</f>
        <v>740</v>
      </c>
      <c r="R157" s="52"/>
      <c r="S157" s="25"/>
    </row>
    <row r="158" spans="1:19" x14ac:dyDescent="0.2">
      <c r="A158" s="180"/>
      <c r="B158" s="176"/>
      <c r="C158" s="33" t="s">
        <v>110</v>
      </c>
      <c r="D158" s="8"/>
      <c r="E158" s="8"/>
      <c r="F158" s="50">
        <f t="shared" ref="F158:Q158" si="52">F26</f>
        <v>12.125</v>
      </c>
      <c r="G158" s="50">
        <f t="shared" si="52"/>
        <v>17.475000000000001</v>
      </c>
      <c r="H158" s="50">
        <f t="shared" si="52"/>
        <v>29.6</v>
      </c>
      <c r="I158" s="50">
        <f t="shared" si="52"/>
        <v>29.6</v>
      </c>
      <c r="J158" s="50">
        <f t="shared" si="52"/>
        <v>29.6</v>
      </c>
      <c r="K158" s="50">
        <f t="shared" si="52"/>
        <v>29.6</v>
      </c>
      <c r="L158" s="50">
        <f t="shared" si="52"/>
        <v>29.6</v>
      </c>
      <c r="M158" s="50">
        <f t="shared" si="52"/>
        <v>29.6</v>
      </c>
      <c r="N158" s="50">
        <f t="shared" si="52"/>
        <v>29.6</v>
      </c>
      <c r="O158" s="50">
        <f t="shared" si="52"/>
        <v>29.6</v>
      </c>
      <c r="P158" s="50">
        <f t="shared" si="52"/>
        <v>29.6</v>
      </c>
      <c r="Q158" s="50">
        <f t="shared" si="52"/>
        <v>29.6</v>
      </c>
      <c r="R158" s="138"/>
    </row>
    <row r="159" spans="1:19" x14ac:dyDescent="0.2">
      <c r="A159" s="180">
        <v>2.4</v>
      </c>
      <c r="B159" s="176" t="s">
        <v>49</v>
      </c>
      <c r="C159" s="19" t="s">
        <v>109</v>
      </c>
      <c r="D159" s="8"/>
      <c r="E159" s="8"/>
      <c r="F159" s="8"/>
      <c r="G159" s="8"/>
      <c r="H159" s="8"/>
      <c r="I159" s="22"/>
      <c r="J159" s="8"/>
      <c r="K159" s="8"/>
      <c r="L159" s="8"/>
      <c r="M159" s="8"/>
      <c r="N159" s="8"/>
      <c r="O159" s="8"/>
      <c r="P159" s="28"/>
      <c r="Q159" s="26"/>
    </row>
    <row r="160" spans="1:19" x14ac:dyDescent="0.2">
      <c r="A160" s="180"/>
      <c r="B160" s="176"/>
      <c r="C160" s="33" t="s">
        <v>110</v>
      </c>
      <c r="D160" s="8"/>
      <c r="E160" s="8"/>
      <c r="F160" s="8"/>
      <c r="G160" s="8"/>
      <c r="H160" s="8"/>
      <c r="I160" s="22"/>
      <c r="J160" s="8"/>
      <c r="K160" s="8"/>
      <c r="L160" s="8"/>
      <c r="M160" s="8"/>
      <c r="N160" s="8"/>
      <c r="O160" s="8"/>
      <c r="P160" s="28"/>
      <c r="Q160" s="26"/>
    </row>
    <row r="161" spans="1:18" x14ac:dyDescent="0.2">
      <c r="A161" s="8">
        <v>2.5</v>
      </c>
      <c r="B161" s="176" t="s">
        <v>35</v>
      </c>
      <c r="C161" s="171"/>
      <c r="D161" s="8"/>
      <c r="E161" s="8"/>
      <c r="F161" s="38">
        <f>D51</f>
        <v>4080.4833333333345</v>
      </c>
      <c r="G161" s="38">
        <f t="shared" ref="G161:Q161" si="53">E51</f>
        <v>5110.4833333333336</v>
      </c>
      <c r="H161" s="38">
        <f t="shared" si="53"/>
        <v>5625.4833333333336</v>
      </c>
      <c r="I161" s="38">
        <f t="shared" si="53"/>
        <v>5625.4833333333336</v>
      </c>
      <c r="J161" s="38">
        <f t="shared" si="53"/>
        <v>5625.4833333333336</v>
      </c>
      <c r="K161" s="38">
        <f t="shared" si="53"/>
        <v>5625.4833333333336</v>
      </c>
      <c r="L161" s="38">
        <f t="shared" si="53"/>
        <v>5625.4833333333336</v>
      </c>
      <c r="M161" s="38">
        <f t="shared" si="53"/>
        <v>5625.4833333333336</v>
      </c>
      <c r="N161" s="38">
        <f t="shared" si="53"/>
        <v>5625.4833333333336</v>
      </c>
      <c r="O161" s="38">
        <f t="shared" si="53"/>
        <v>5625.4833333333336</v>
      </c>
      <c r="P161" s="38">
        <f t="shared" si="53"/>
        <v>5625.4833333333336</v>
      </c>
      <c r="Q161" s="38">
        <f t="shared" si="53"/>
        <v>5625.4833333333336</v>
      </c>
    </row>
    <row r="162" spans="1:18" x14ac:dyDescent="0.2">
      <c r="A162" s="8">
        <v>2.6</v>
      </c>
      <c r="B162" s="176" t="s">
        <v>37</v>
      </c>
      <c r="C162" s="171"/>
      <c r="D162" s="8"/>
      <c r="E162" s="8"/>
      <c r="F162" s="34">
        <f>D58</f>
        <v>81.367521367521391</v>
      </c>
      <c r="G162" s="34">
        <f t="shared" ref="G162:Q162" si="54">E58</f>
        <v>104.61538461538463</v>
      </c>
      <c r="H162" s="34">
        <f t="shared" si="54"/>
        <v>116.23931623931627</v>
      </c>
      <c r="I162" s="34">
        <f t="shared" si="54"/>
        <v>116.23931623931627</v>
      </c>
      <c r="J162" s="34">
        <f t="shared" si="54"/>
        <v>116.23931623931627</v>
      </c>
      <c r="K162" s="34">
        <f t="shared" si="54"/>
        <v>116.23931623931627</v>
      </c>
      <c r="L162" s="34">
        <f t="shared" si="54"/>
        <v>116.23931623931627</v>
      </c>
      <c r="M162" s="34">
        <f t="shared" si="54"/>
        <v>116.23931623931627</v>
      </c>
      <c r="N162" s="34">
        <f t="shared" si="54"/>
        <v>116.23931623931627</v>
      </c>
      <c r="O162" s="34">
        <f t="shared" si="54"/>
        <v>116.23931623931627</v>
      </c>
      <c r="P162" s="34">
        <f t="shared" si="54"/>
        <v>116.23931623931627</v>
      </c>
      <c r="Q162" s="34">
        <f t="shared" si="54"/>
        <v>116.23931623931627</v>
      </c>
    </row>
    <row r="163" spans="1:18" x14ac:dyDescent="0.2">
      <c r="A163" s="8">
        <v>2.7</v>
      </c>
      <c r="B163" s="166" t="s">
        <v>39</v>
      </c>
      <c r="C163" s="167"/>
      <c r="D163" s="8"/>
      <c r="E163" s="8"/>
      <c r="F163" s="38">
        <f>D61</f>
        <v>227.14421794871765</v>
      </c>
      <c r="G163" s="38">
        <f t="shared" ref="G163:Q163" si="55">E61</f>
        <v>423.62692307692294</v>
      </c>
      <c r="H163" s="38">
        <f t="shared" si="55"/>
        <v>531.61977564102551</v>
      </c>
      <c r="I163" s="38">
        <f t="shared" si="55"/>
        <v>551.41977564102547</v>
      </c>
      <c r="J163" s="39">
        <f t="shared" si="55"/>
        <v>571.21977564102554</v>
      </c>
      <c r="K163" s="39">
        <f t="shared" si="55"/>
        <v>591.01977564102549</v>
      </c>
      <c r="L163" s="39">
        <f t="shared" si="55"/>
        <v>591.01977564102549</v>
      </c>
      <c r="M163" s="39">
        <f t="shared" si="55"/>
        <v>591.01977564102549</v>
      </c>
      <c r="N163" s="39">
        <f t="shared" si="55"/>
        <v>591.01977564102549</v>
      </c>
      <c r="O163" s="39">
        <f t="shared" si="55"/>
        <v>591.01977564102549</v>
      </c>
      <c r="P163" s="39">
        <f t="shared" si="55"/>
        <v>607.18977564102556</v>
      </c>
      <c r="Q163" s="39">
        <f t="shared" si="55"/>
        <v>607.18977564102556</v>
      </c>
    </row>
    <row r="164" spans="1:18" ht="14.25" customHeight="1" x14ac:dyDescent="0.2">
      <c r="A164" s="7">
        <v>3</v>
      </c>
      <c r="B164" s="181" t="s">
        <v>111</v>
      </c>
      <c r="C164" s="182"/>
      <c r="D164" s="5">
        <f>SUM(D150:D152)-SUM(D154:D163)</f>
        <v>-1000</v>
      </c>
      <c r="E164" s="5">
        <f t="shared" ref="E164:Q164" si="56">SUM(E150:E152)-SUM(E154:E163)</f>
        <v>-700</v>
      </c>
      <c r="F164" s="67">
        <f>SUM(F150:F152)-SUM(F154:F163)</f>
        <v>-141.12007264957356</v>
      </c>
      <c r="G164" s="67">
        <f t="shared" si="56"/>
        <v>47.799358974358256</v>
      </c>
      <c r="H164" s="67">
        <f t="shared" si="56"/>
        <v>577.05757478632404</v>
      </c>
      <c r="I164" s="67">
        <f t="shared" si="56"/>
        <v>617.25757478632386</v>
      </c>
      <c r="J164" s="67">
        <f t="shared" si="56"/>
        <v>1657.4575747863237</v>
      </c>
      <c r="K164" s="67">
        <f t="shared" si="56"/>
        <v>1637.6575747863244</v>
      </c>
      <c r="L164" s="67">
        <f t="shared" si="56"/>
        <v>1637.6575747863244</v>
      </c>
      <c r="M164" s="67">
        <f t="shared" si="56"/>
        <v>1637.6575747863244</v>
      </c>
      <c r="N164" s="67">
        <f t="shared" si="56"/>
        <v>1637.6575747863244</v>
      </c>
      <c r="O164" s="67">
        <f t="shared" si="56"/>
        <v>1637.6575747863244</v>
      </c>
      <c r="P164" s="67">
        <f t="shared" si="56"/>
        <v>1621.4875747863243</v>
      </c>
      <c r="Q164" s="67">
        <f t="shared" si="56"/>
        <v>2276.9875747863243</v>
      </c>
      <c r="R164" s="136"/>
    </row>
    <row r="165" spans="1:18" x14ac:dyDescent="0.2">
      <c r="A165" s="8">
        <v>4</v>
      </c>
      <c r="B165" s="178" t="s">
        <v>102</v>
      </c>
      <c r="C165" s="173"/>
      <c r="D165" s="6">
        <f>D164</f>
        <v>-1000</v>
      </c>
      <c r="E165" s="8">
        <f>D165+E164</f>
        <v>-1700</v>
      </c>
      <c r="F165" s="34">
        <f>E165+F164</f>
        <v>-1841.1200726495736</v>
      </c>
      <c r="G165" s="34">
        <f t="shared" ref="G165:Q165" si="57">F165+G164</f>
        <v>-1793.3207136752153</v>
      </c>
      <c r="H165" s="34">
        <f t="shared" si="57"/>
        <v>-1216.2631388888913</v>
      </c>
      <c r="I165" s="34">
        <f t="shared" si="57"/>
        <v>-599.0055641025674</v>
      </c>
      <c r="J165" s="34">
        <f t="shared" si="57"/>
        <v>1058.4520106837563</v>
      </c>
      <c r="K165" s="34">
        <f t="shared" si="57"/>
        <v>2696.1095854700807</v>
      </c>
      <c r="L165" s="34">
        <f t="shared" si="57"/>
        <v>4333.7671602564051</v>
      </c>
      <c r="M165" s="34">
        <f t="shared" si="57"/>
        <v>5971.4247350427295</v>
      </c>
      <c r="N165" s="34">
        <f t="shared" si="57"/>
        <v>7609.0823098290539</v>
      </c>
      <c r="O165" s="34">
        <f t="shared" si="57"/>
        <v>9246.7398846153774</v>
      </c>
      <c r="P165" s="34">
        <f t="shared" si="57"/>
        <v>10868.227459401702</v>
      </c>
      <c r="Q165" s="34">
        <f t="shared" si="57"/>
        <v>13145.215034188026</v>
      </c>
    </row>
    <row r="166" spans="1:18" x14ac:dyDescent="0.2">
      <c r="A166" s="8">
        <v>5</v>
      </c>
      <c r="B166" s="178" t="s">
        <v>103</v>
      </c>
      <c r="C166" s="173"/>
      <c r="D166" s="70">
        <f>1/(1+0.15)^D148</f>
        <v>0.86956521739130443</v>
      </c>
      <c r="E166" s="70">
        <f t="shared" ref="E166:Q166" si="58">1/(1+0.15)^E148</f>
        <v>0.7561436672967865</v>
      </c>
      <c r="F166" s="70">
        <f t="shared" si="58"/>
        <v>0.65751623243198831</v>
      </c>
      <c r="G166" s="70">
        <f t="shared" si="58"/>
        <v>0.57175324559303342</v>
      </c>
      <c r="H166" s="70">
        <f t="shared" si="58"/>
        <v>0.49717673529828987</v>
      </c>
      <c r="I166" s="70">
        <f t="shared" si="58"/>
        <v>0.43232759591155645</v>
      </c>
      <c r="J166" s="70">
        <f t="shared" si="58"/>
        <v>0.37593703992309269</v>
      </c>
      <c r="K166" s="70">
        <f t="shared" si="58"/>
        <v>0.32690177384616753</v>
      </c>
      <c r="L166" s="70">
        <f t="shared" si="58"/>
        <v>0.28426241204014574</v>
      </c>
      <c r="M166" s="70">
        <f t="shared" si="58"/>
        <v>0.24718470612186585</v>
      </c>
      <c r="N166" s="70">
        <f t="shared" si="58"/>
        <v>0.21494322271466598</v>
      </c>
      <c r="O166" s="70">
        <f t="shared" si="58"/>
        <v>0.18690715018666609</v>
      </c>
      <c r="P166" s="70">
        <f t="shared" si="58"/>
        <v>0.16252795668405748</v>
      </c>
      <c r="Q166" s="70">
        <f t="shared" si="58"/>
        <v>0.14132865798613695</v>
      </c>
    </row>
    <row r="167" spans="1:18" x14ac:dyDescent="0.2">
      <c r="A167" s="8">
        <v>6</v>
      </c>
      <c r="B167" s="178" t="s">
        <v>112</v>
      </c>
      <c r="C167" s="173"/>
      <c r="D167" s="58">
        <f>D164*D166</f>
        <v>-869.56521739130449</v>
      </c>
      <c r="E167" s="58">
        <f t="shared" ref="E167:Q167" si="59">E164*E166</f>
        <v>-529.30056710775057</v>
      </c>
      <c r="F167" s="58">
        <f t="shared" si="59"/>
        <v>-92.788738489076081</v>
      </c>
      <c r="G167" s="58">
        <f t="shared" si="59"/>
        <v>27.329438630855822</v>
      </c>
      <c r="H167" s="58">
        <f t="shared" si="59"/>
        <v>286.89960111141335</v>
      </c>
      <c r="I167" s="58">
        <f t="shared" si="59"/>
        <v>266.85748336556918</v>
      </c>
      <c r="J167" s="58">
        <f t="shared" si="59"/>
        <v>623.09969446327852</v>
      </c>
      <c r="K167" s="58">
        <f t="shared" si="59"/>
        <v>535.35316615026215</v>
      </c>
      <c r="L167" s="58">
        <f t="shared" si="59"/>
        <v>465.52449230457592</v>
      </c>
      <c r="M167" s="58">
        <f t="shared" si="59"/>
        <v>404.80390635180515</v>
      </c>
      <c r="N167" s="58">
        <f t="shared" si="59"/>
        <v>352.00339682765667</v>
      </c>
      <c r="O167" s="58">
        <f t="shared" si="59"/>
        <v>306.08991028491891</v>
      </c>
      <c r="P167" s="58">
        <f t="shared" si="59"/>
        <v>263.53706231860912</v>
      </c>
      <c r="Q167" s="58">
        <f t="shared" si="59"/>
        <v>321.80359819565984</v>
      </c>
    </row>
    <row r="168" spans="1:18" x14ac:dyDescent="0.2">
      <c r="A168" s="11">
        <v>7</v>
      </c>
      <c r="B168" s="179" t="s">
        <v>113</v>
      </c>
      <c r="C168" s="175"/>
      <c r="D168" s="68">
        <f>D166*D165</f>
        <v>-869.56521739130449</v>
      </c>
      <c r="E168" s="68">
        <f t="shared" ref="E168:Q168" si="60">E166*E165</f>
        <v>-1285.4442344045372</v>
      </c>
      <c r="F168" s="68">
        <f t="shared" si="60"/>
        <v>-1210.5663336234561</v>
      </c>
      <c r="G168" s="68">
        <f t="shared" si="60"/>
        <v>-1025.3369384330194</v>
      </c>
      <c r="H168" s="68">
        <f t="shared" si="60"/>
        <v>-604.69773665642947</v>
      </c>
      <c r="I168" s="68">
        <f t="shared" si="60"/>
        <v>-258.9666354661087</v>
      </c>
      <c r="J168" s="68">
        <f t="shared" si="60"/>
        <v>397.91131579709702</v>
      </c>
      <c r="K168" s="68">
        <f t="shared" si="60"/>
        <v>881.36300597382478</v>
      </c>
      <c r="L168" s="68">
        <f t="shared" si="60"/>
        <v>1231.9271061948584</v>
      </c>
      <c r="M168" s="68">
        <f t="shared" si="60"/>
        <v>1476.0448682603778</v>
      </c>
      <c r="N168" s="68">
        <f t="shared" si="60"/>
        <v>1635.5206735758113</v>
      </c>
      <c r="O168" s="68">
        <f t="shared" si="60"/>
        <v>1728.2818003508419</v>
      </c>
      <c r="P168" s="68">
        <f t="shared" si="60"/>
        <v>1766.3908017541239</v>
      </c>
      <c r="Q168" s="68">
        <f t="shared" si="60"/>
        <v>1857.7955997209849</v>
      </c>
    </row>
    <row r="169" spans="1:18" x14ac:dyDescent="0.2">
      <c r="A169" s="14"/>
      <c r="B169" s="178"/>
      <c r="C169" s="178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25"/>
      <c r="Q169" s="25"/>
    </row>
    <row r="170" spans="1:1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8" ht="23.25" x14ac:dyDescent="0.2">
      <c r="A171" s="157" t="s">
        <v>129</v>
      </c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</row>
    <row r="172" spans="1:18" x14ac:dyDescent="0.2">
      <c r="A172" s="163" t="s">
        <v>0</v>
      </c>
      <c r="B172" s="160" t="s">
        <v>128</v>
      </c>
      <c r="C172" s="160"/>
      <c r="D172" s="163" t="s">
        <v>13</v>
      </c>
      <c r="E172" s="163"/>
      <c r="F172" s="163" t="s">
        <v>18</v>
      </c>
      <c r="G172" s="163"/>
      <c r="H172" s="163"/>
      <c r="I172" s="163"/>
      <c r="J172" s="163"/>
      <c r="K172" s="163"/>
      <c r="L172" s="163"/>
      <c r="M172" s="163"/>
      <c r="N172" s="163"/>
      <c r="O172" s="163"/>
    </row>
    <row r="173" spans="1:18" x14ac:dyDescent="0.2">
      <c r="A173" s="163"/>
      <c r="B173" s="160"/>
      <c r="C173" s="160"/>
      <c r="D173" s="55">
        <v>3</v>
      </c>
      <c r="E173" s="55">
        <v>4</v>
      </c>
      <c r="F173" s="55">
        <v>5</v>
      </c>
      <c r="G173" s="55">
        <v>6</v>
      </c>
      <c r="H173" s="55">
        <v>7</v>
      </c>
      <c r="I173" s="55">
        <v>8</v>
      </c>
      <c r="J173" s="55">
        <v>9</v>
      </c>
      <c r="K173" s="55">
        <v>10</v>
      </c>
      <c r="L173" s="55">
        <v>11</v>
      </c>
      <c r="M173" s="55">
        <v>12</v>
      </c>
      <c r="N173" s="55">
        <v>13</v>
      </c>
      <c r="O173" s="55">
        <v>14</v>
      </c>
    </row>
    <row r="174" spans="1:18" x14ac:dyDescent="0.2">
      <c r="A174" s="4">
        <v>1</v>
      </c>
      <c r="B174" s="168" t="s">
        <v>121</v>
      </c>
      <c r="C174" s="169"/>
      <c r="D174" s="4">
        <v>4910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7"/>
    </row>
    <row r="175" spans="1:18" x14ac:dyDescent="0.2">
      <c r="A175" s="54">
        <v>1.1000000000000001</v>
      </c>
      <c r="B175" s="170" t="s">
        <v>120</v>
      </c>
      <c r="C175" s="171"/>
      <c r="D175" s="34">
        <f>4910*0.95/12</f>
        <v>388.70833333333331</v>
      </c>
      <c r="E175" s="34">
        <f t="shared" ref="E175:O175" si="61">4910*0.95/12</f>
        <v>388.70833333333331</v>
      </c>
      <c r="F175" s="34">
        <f t="shared" si="61"/>
        <v>388.70833333333331</v>
      </c>
      <c r="G175" s="34">
        <f t="shared" si="61"/>
        <v>388.70833333333331</v>
      </c>
      <c r="H175" s="34">
        <f t="shared" si="61"/>
        <v>388.70833333333331</v>
      </c>
      <c r="I175" s="34">
        <f t="shared" si="61"/>
        <v>388.70833333333331</v>
      </c>
      <c r="J175" s="34">
        <f t="shared" si="61"/>
        <v>388.70833333333331</v>
      </c>
      <c r="K175" s="34">
        <f t="shared" si="61"/>
        <v>388.70833333333331</v>
      </c>
      <c r="L175" s="34">
        <f t="shared" si="61"/>
        <v>388.70833333333331</v>
      </c>
      <c r="M175" s="34">
        <f t="shared" si="61"/>
        <v>388.70833333333331</v>
      </c>
      <c r="N175" s="34">
        <f t="shared" si="61"/>
        <v>388.70833333333331</v>
      </c>
      <c r="O175" s="34">
        <f t="shared" si="61"/>
        <v>388.70833333333331</v>
      </c>
    </row>
    <row r="176" spans="1:18" x14ac:dyDescent="0.2">
      <c r="A176" s="56">
        <v>1.2</v>
      </c>
      <c r="B176" s="166" t="s">
        <v>75</v>
      </c>
      <c r="C176" s="167"/>
      <c r="D176" s="69">
        <f>4910-D175</f>
        <v>4521.291666666667</v>
      </c>
      <c r="E176" s="69">
        <f>D176-E175</f>
        <v>4132.5833333333339</v>
      </c>
      <c r="F176" s="69">
        <f t="shared" ref="F176:O176" si="62">E176-F175</f>
        <v>3743.8750000000005</v>
      </c>
      <c r="G176" s="69">
        <f t="shared" si="62"/>
        <v>3355.166666666667</v>
      </c>
      <c r="H176" s="69">
        <f t="shared" si="62"/>
        <v>2966.4583333333335</v>
      </c>
      <c r="I176" s="69">
        <f t="shared" si="62"/>
        <v>2577.75</v>
      </c>
      <c r="J176" s="69">
        <f t="shared" si="62"/>
        <v>2189.0416666666665</v>
      </c>
      <c r="K176" s="69">
        <f t="shared" si="62"/>
        <v>1800.3333333333333</v>
      </c>
      <c r="L176" s="69">
        <f t="shared" si="62"/>
        <v>1411.625</v>
      </c>
      <c r="M176" s="69">
        <f t="shared" si="62"/>
        <v>1022.9166666666667</v>
      </c>
      <c r="N176" s="69">
        <f t="shared" si="62"/>
        <v>634.20833333333348</v>
      </c>
      <c r="O176" s="69">
        <f t="shared" si="62"/>
        <v>245.50000000000017</v>
      </c>
    </row>
    <row r="177" spans="1: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23.25" x14ac:dyDescent="0.2">
      <c r="A179" s="157" t="s">
        <v>130</v>
      </c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</row>
    <row r="180" spans="1:15" x14ac:dyDescent="0.2">
      <c r="A180" s="163" t="s">
        <v>0</v>
      </c>
      <c r="B180" s="160" t="s">
        <v>128</v>
      </c>
      <c r="C180" s="160"/>
      <c r="D180" s="163" t="s">
        <v>13</v>
      </c>
      <c r="E180" s="163"/>
      <c r="F180" s="163" t="s">
        <v>18</v>
      </c>
      <c r="G180" s="163"/>
      <c r="H180" s="163"/>
      <c r="I180" s="163"/>
      <c r="J180" s="163"/>
      <c r="K180" s="163"/>
      <c r="L180" s="163"/>
      <c r="M180" s="163"/>
      <c r="N180" s="163"/>
      <c r="O180" s="163"/>
    </row>
    <row r="181" spans="1:15" x14ac:dyDescent="0.2">
      <c r="A181" s="163"/>
      <c r="B181" s="160"/>
      <c r="C181" s="160"/>
      <c r="D181" s="55">
        <v>3</v>
      </c>
      <c r="E181" s="55">
        <v>4</v>
      </c>
      <c r="F181" s="55">
        <v>5</v>
      </c>
      <c r="G181" s="55">
        <v>6</v>
      </c>
      <c r="H181" s="55">
        <v>7</v>
      </c>
      <c r="I181" s="55">
        <v>8</v>
      </c>
      <c r="J181" s="55">
        <v>9</v>
      </c>
      <c r="K181" s="55">
        <v>10</v>
      </c>
      <c r="L181" s="55">
        <v>11</v>
      </c>
      <c r="M181" s="55">
        <v>12</v>
      </c>
      <c r="N181" s="55">
        <v>13</v>
      </c>
      <c r="O181" s="55">
        <v>14</v>
      </c>
    </row>
    <row r="182" spans="1:15" x14ac:dyDescent="0.2">
      <c r="A182" s="4">
        <v>1</v>
      </c>
      <c r="B182" s="168" t="s">
        <v>122</v>
      </c>
      <c r="C182" s="169"/>
      <c r="D182" s="4">
        <v>490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7"/>
    </row>
    <row r="183" spans="1:15" x14ac:dyDescent="0.2">
      <c r="A183" s="54">
        <v>1.1000000000000001</v>
      </c>
      <c r="B183" s="172" t="s">
        <v>123</v>
      </c>
      <c r="C183" s="173"/>
      <c r="D183" s="4">
        <f>490/10</f>
        <v>49</v>
      </c>
      <c r="E183" s="4">
        <f t="shared" ref="E183:M183" si="63">490/10</f>
        <v>49</v>
      </c>
      <c r="F183" s="4">
        <f t="shared" si="63"/>
        <v>49</v>
      </c>
      <c r="G183" s="4">
        <f t="shared" si="63"/>
        <v>49</v>
      </c>
      <c r="H183" s="4">
        <f t="shared" si="63"/>
        <v>49</v>
      </c>
      <c r="I183" s="4">
        <f t="shared" si="63"/>
        <v>49</v>
      </c>
      <c r="J183" s="4">
        <f t="shared" si="63"/>
        <v>49</v>
      </c>
      <c r="K183" s="4">
        <f t="shared" si="63"/>
        <v>49</v>
      </c>
      <c r="L183" s="4">
        <f t="shared" si="63"/>
        <v>49</v>
      </c>
      <c r="M183" s="4">
        <f t="shared" si="63"/>
        <v>49</v>
      </c>
      <c r="N183" s="4"/>
      <c r="O183" s="54"/>
    </row>
    <row r="184" spans="1:15" x14ac:dyDescent="0.2">
      <c r="A184" s="56">
        <v>1.2</v>
      </c>
      <c r="B184" s="174" t="s">
        <v>124</v>
      </c>
      <c r="C184" s="175"/>
      <c r="D184" s="9">
        <f>D182-D183</f>
        <v>441</v>
      </c>
      <c r="E184" s="9">
        <f>D184-E183</f>
        <v>392</v>
      </c>
      <c r="F184" s="9">
        <f t="shared" ref="F184:M184" si="64">E184-F183</f>
        <v>343</v>
      </c>
      <c r="G184" s="9">
        <f t="shared" si="64"/>
        <v>294</v>
      </c>
      <c r="H184" s="9">
        <f t="shared" si="64"/>
        <v>245</v>
      </c>
      <c r="I184" s="9">
        <f t="shared" si="64"/>
        <v>196</v>
      </c>
      <c r="J184" s="9">
        <f t="shared" si="64"/>
        <v>147</v>
      </c>
      <c r="K184" s="9">
        <f t="shared" si="64"/>
        <v>98</v>
      </c>
      <c r="L184" s="9">
        <f t="shared" si="64"/>
        <v>49</v>
      </c>
      <c r="M184" s="9">
        <f t="shared" si="64"/>
        <v>0</v>
      </c>
      <c r="N184" s="9"/>
      <c r="O184" s="56"/>
    </row>
    <row r="185" spans="1:15" x14ac:dyDescent="0.2">
      <c r="A185" s="54">
        <v>2</v>
      </c>
      <c r="B185" s="170" t="s">
        <v>125</v>
      </c>
      <c r="C185" s="171"/>
      <c r="D185" s="44">
        <v>300</v>
      </c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</row>
    <row r="186" spans="1:15" x14ac:dyDescent="0.2">
      <c r="A186" s="54">
        <v>2.2000000000000002</v>
      </c>
      <c r="B186" s="176" t="s">
        <v>126</v>
      </c>
      <c r="C186" s="171"/>
      <c r="D186" s="44">
        <f>300/5</f>
        <v>60</v>
      </c>
      <c r="E186" s="44">
        <f t="shared" ref="E186:H186" si="65">300/5</f>
        <v>60</v>
      </c>
      <c r="F186" s="44">
        <f t="shared" si="65"/>
        <v>60</v>
      </c>
      <c r="G186" s="44">
        <f t="shared" si="65"/>
        <v>60</v>
      </c>
      <c r="H186" s="44">
        <f t="shared" si="65"/>
        <v>60</v>
      </c>
      <c r="I186" s="34"/>
      <c r="J186" s="34"/>
      <c r="K186" s="34"/>
      <c r="L186" s="34"/>
      <c r="M186" s="34"/>
      <c r="N186" s="34"/>
      <c r="O186" s="34"/>
    </row>
    <row r="187" spans="1:15" x14ac:dyDescent="0.2">
      <c r="A187" s="56">
        <v>2.2999999999999998</v>
      </c>
      <c r="B187" s="166" t="s">
        <v>119</v>
      </c>
      <c r="C187" s="167"/>
      <c r="D187" s="73">
        <f>D185-D186</f>
        <v>240</v>
      </c>
      <c r="E187" s="73">
        <f>D187-E186</f>
        <v>180</v>
      </c>
      <c r="F187" s="73">
        <f t="shared" ref="F187:H187" si="66">E187-F186</f>
        <v>120</v>
      </c>
      <c r="G187" s="73">
        <f t="shared" si="66"/>
        <v>60</v>
      </c>
      <c r="H187" s="73">
        <f t="shared" si="66"/>
        <v>0</v>
      </c>
      <c r="I187" s="73"/>
      <c r="J187" s="73"/>
      <c r="K187" s="73"/>
      <c r="L187" s="73"/>
      <c r="M187" s="73"/>
      <c r="N187" s="73"/>
      <c r="O187" s="73"/>
    </row>
    <row r="188" spans="1:15" x14ac:dyDescent="0.2">
      <c r="A188" s="2"/>
      <c r="B188" s="2"/>
      <c r="C188" s="2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</row>
    <row r="189" spans="1: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23.25" x14ac:dyDescent="0.2">
      <c r="A190" s="157" t="s">
        <v>131</v>
      </c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</row>
    <row r="191" spans="1:15" x14ac:dyDescent="0.2">
      <c r="A191" s="158" t="s">
        <v>0</v>
      </c>
      <c r="B191" s="160" t="s">
        <v>128</v>
      </c>
      <c r="C191" s="160"/>
      <c r="D191" s="161" t="s">
        <v>13</v>
      </c>
      <c r="E191" s="162"/>
      <c r="F191" s="163" t="s">
        <v>18</v>
      </c>
      <c r="G191" s="163"/>
      <c r="H191" s="163"/>
      <c r="I191" s="163"/>
      <c r="J191" s="163"/>
      <c r="K191" s="163"/>
      <c r="L191" s="163"/>
      <c r="M191" s="163"/>
      <c r="N191" s="163"/>
      <c r="O191" s="163"/>
    </row>
    <row r="192" spans="1:15" x14ac:dyDescent="0.2">
      <c r="A192" s="159"/>
      <c r="B192" s="160"/>
      <c r="C192" s="160"/>
      <c r="D192" s="55">
        <v>3</v>
      </c>
      <c r="E192" s="55">
        <v>4</v>
      </c>
      <c r="F192" s="55">
        <v>5</v>
      </c>
      <c r="G192" s="55">
        <v>6</v>
      </c>
      <c r="H192" s="55">
        <v>7</v>
      </c>
      <c r="I192" s="55">
        <v>8</v>
      </c>
      <c r="J192" s="55">
        <v>9</v>
      </c>
      <c r="K192" s="55">
        <v>10</v>
      </c>
      <c r="L192" s="55">
        <v>11</v>
      </c>
      <c r="M192" s="55">
        <v>12</v>
      </c>
      <c r="N192" s="55">
        <v>13</v>
      </c>
      <c r="O192" s="55">
        <v>14</v>
      </c>
    </row>
    <row r="193" spans="1:15" x14ac:dyDescent="0.2">
      <c r="A193" s="7">
        <v>1</v>
      </c>
      <c r="B193" s="164" t="s">
        <v>36</v>
      </c>
      <c r="C193" s="165"/>
      <c r="D193" s="7">
        <f>100*80*0.7</f>
        <v>5600</v>
      </c>
      <c r="E193" s="2">
        <f>100*80*0.9</f>
        <v>7200</v>
      </c>
      <c r="F193" s="7">
        <f>80*100</f>
        <v>8000</v>
      </c>
      <c r="G193" s="7">
        <f t="shared" ref="G193:O193" si="67">80*100</f>
        <v>8000</v>
      </c>
      <c r="H193" s="7">
        <f t="shared" si="67"/>
        <v>8000</v>
      </c>
      <c r="I193" s="7">
        <f t="shared" si="67"/>
        <v>8000</v>
      </c>
      <c r="J193" s="7">
        <f t="shared" si="67"/>
        <v>8000</v>
      </c>
      <c r="K193" s="7">
        <f t="shared" si="67"/>
        <v>8000</v>
      </c>
      <c r="L193" s="7">
        <f t="shared" si="67"/>
        <v>8000</v>
      </c>
      <c r="M193" s="7">
        <f t="shared" si="67"/>
        <v>8000</v>
      </c>
      <c r="N193" s="7">
        <f t="shared" si="67"/>
        <v>8000</v>
      </c>
      <c r="O193" s="7">
        <f t="shared" si="67"/>
        <v>8000</v>
      </c>
    </row>
    <row r="194" spans="1:15" x14ac:dyDescent="0.2">
      <c r="A194" s="56">
        <v>2</v>
      </c>
      <c r="B194" s="166" t="s">
        <v>37</v>
      </c>
      <c r="C194" s="167"/>
      <c r="D194" s="69">
        <f>D193/1.17*0.17*0.1</f>
        <v>81.367521367521391</v>
      </c>
      <c r="E194" s="69">
        <f t="shared" ref="E194:O194" si="68">E193/1.17*0.17*0.1</f>
        <v>104.61538461538463</v>
      </c>
      <c r="F194" s="69">
        <f t="shared" si="68"/>
        <v>116.23931623931627</v>
      </c>
      <c r="G194" s="69">
        <f t="shared" si="68"/>
        <v>116.23931623931627</v>
      </c>
      <c r="H194" s="69">
        <f t="shared" si="68"/>
        <v>116.23931623931627</v>
      </c>
      <c r="I194" s="69">
        <f t="shared" si="68"/>
        <v>116.23931623931627</v>
      </c>
      <c r="J194" s="69">
        <f t="shared" si="68"/>
        <v>116.23931623931627</v>
      </c>
      <c r="K194" s="69">
        <f t="shared" si="68"/>
        <v>116.23931623931627</v>
      </c>
      <c r="L194" s="69">
        <f t="shared" si="68"/>
        <v>116.23931623931627</v>
      </c>
      <c r="M194" s="69">
        <f t="shared" si="68"/>
        <v>116.23931623931627</v>
      </c>
      <c r="N194" s="69">
        <f t="shared" si="68"/>
        <v>116.23931623931627</v>
      </c>
      <c r="O194" s="69">
        <f t="shared" si="68"/>
        <v>116.23931623931627</v>
      </c>
    </row>
    <row r="195" spans="1: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 spans="1:1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 spans="1:1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 spans="1:1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 spans="1:1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</sheetData>
  <mergeCells count="205">
    <mergeCell ref="A18:A19"/>
    <mergeCell ref="B18:C19"/>
    <mergeCell ref="D18:E18"/>
    <mergeCell ref="F18:G18"/>
    <mergeCell ref="H18:Q18"/>
    <mergeCell ref="A2:A3"/>
    <mergeCell ref="B2:C3"/>
    <mergeCell ref="B4:C4"/>
    <mergeCell ref="D2:E2"/>
    <mergeCell ref="H2:H3"/>
    <mergeCell ref="B5:C5"/>
    <mergeCell ref="B6:C6"/>
    <mergeCell ref="B7:C7"/>
    <mergeCell ref="B10:C10"/>
    <mergeCell ref="B11:C11"/>
    <mergeCell ref="B12:C12"/>
    <mergeCell ref="B13:C13"/>
    <mergeCell ref="F2:G2"/>
    <mergeCell ref="B8:C8"/>
    <mergeCell ref="B9:C9"/>
    <mergeCell ref="A39:A40"/>
    <mergeCell ref="A21:A22"/>
    <mergeCell ref="A23:A24"/>
    <mergeCell ref="A25:A26"/>
    <mergeCell ref="A27:A28"/>
    <mergeCell ref="B20:C20"/>
    <mergeCell ref="B21:B22"/>
    <mergeCell ref="B23:B24"/>
    <mergeCell ref="B25:B26"/>
    <mergeCell ref="B27:B28"/>
    <mergeCell ref="B41:C41"/>
    <mergeCell ref="B43:C43"/>
    <mergeCell ref="B45:C45"/>
    <mergeCell ref="B46:C46"/>
    <mergeCell ref="B47:C47"/>
    <mergeCell ref="B48:C48"/>
    <mergeCell ref="B49:C49"/>
    <mergeCell ref="B50:C50"/>
    <mergeCell ref="B29:C29"/>
    <mergeCell ref="B39:C40"/>
    <mergeCell ref="B42:C42"/>
    <mergeCell ref="B44:C44"/>
    <mergeCell ref="A70:A71"/>
    <mergeCell ref="B70:C71"/>
    <mergeCell ref="D70:E70"/>
    <mergeCell ref="F70:G70"/>
    <mergeCell ref="H70:Q70"/>
    <mergeCell ref="B62:C62"/>
    <mergeCell ref="B63:C63"/>
    <mergeCell ref="B65:C65"/>
    <mergeCell ref="B66:C66"/>
    <mergeCell ref="B64:C64"/>
    <mergeCell ref="B84:C84"/>
    <mergeCell ref="B85:C85"/>
    <mergeCell ref="B86:C86"/>
    <mergeCell ref="B87:C87"/>
    <mergeCell ref="B88:C88"/>
    <mergeCell ref="B72:C72"/>
    <mergeCell ref="B74:C74"/>
    <mergeCell ref="B75:C75"/>
    <mergeCell ref="B76:C76"/>
    <mergeCell ref="B77:C77"/>
    <mergeCell ref="B83:C83"/>
    <mergeCell ref="B78:C78"/>
    <mergeCell ref="B79:C79"/>
    <mergeCell ref="B80:C80"/>
    <mergeCell ref="B81:C81"/>
    <mergeCell ref="B82:C82"/>
    <mergeCell ref="B73:C73"/>
    <mergeCell ref="A1:H1"/>
    <mergeCell ref="A17:Q17"/>
    <mergeCell ref="A38:O38"/>
    <mergeCell ref="A54:O54"/>
    <mergeCell ref="A69:Q69"/>
    <mergeCell ref="B30:C30"/>
    <mergeCell ref="B31:C31"/>
    <mergeCell ref="B32:C32"/>
    <mergeCell ref="B33:C33"/>
    <mergeCell ref="B34:C34"/>
    <mergeCell ref="B35:C35"/>
    <mergeCell ref="B57:C57"/>
    <mergeCell ref="B58:C58"/>
    <mergeCell ref="B59:C59"/>
    <mergeCell ref="B60:C60"/>
    <mergeCell ref="B61:C61"/>
    <mergeCell ref="B51:C51"/>
    <mergeCell ref="D39:E39"/>
    <mergeCell ref="F39:O39"/>
    <mergeCell ref="A55:A56"/>
    <mergeCell ref="B55:C56"/>
    <mergeCell ref="D55:E55"/>
    <mergeCell ref="F55:O55"/>
    <mergeCell ref="A49:A50"/>
    <mergeCell ref="A95:Q95"/>
    <mergeCell ref="A96:A97"/>
    <mergeCell ref="B96:C97"/>
    <mergeCell ref="D96:E96"/>
    <mergeCell ref="F96:G96"/>
    <mergeCell ref="H96:Q96"/>
    <mergeCell ref="B89:C89"/>
    <mergeCell ref="B90:C90"/>
    <mergeCell ref="B91:C91"/>
    <mergeCell ref="B92:C92"/>
    <mergeCell ref="B103:C103"/>
    <mergeCell ref="B104:C104"/>
    <mergeCell ref="B105:C105"/>
    <mergeCell ref="B106:C106"/>
    <mergeCell ref="B98:C98"/>
    <mergeCell ref="B99:C99"/>
    <mergeCell ref="B100:C100"/>
    <mergeCell ref="B101:C101"/>
    <mergeCell ref="B102:C102"/>
    <mergeCell ref="B113:C113"/>
    <mergeCell ref="B114:C114"/>
    <mergeCell ref="B115:C115"/>
    <mergeCell ref="B119:C119"/>
    <mergeCell ref="B120:C120"/>
    <mergeCell ref="B108:C108"/>
    <mergeCell ref="B109:C109"/>
    <mergeCell ref="B110:C110"/>
    <mergeCell ref="B111:C111"/>
    <mergeCell ref="B112:C112"/>
    <mergeCell ref="B122:C122"/>
    <mergeCell ref="A126:A127"/>
    <mergeCell ref="B126:C127"/>
    <mergeCell ref="D126:E126"/>
    <mergeCell ref="F126:G126"/>
    <mergeCell ref="H126:Q126"/>
    <mergeCell ref="B121:C121"/>
    <mergeCell ref="B116:C116"/>
    <mergeCell ref="B117:C117"/>
    <mergeCell ref="B118:C118"/>
    <mergeCell ref="B133:C133"/>
    <mergeCell ref="B134:C134"/>
    <mergeCell ref="B135:C135"/>
    <mergeCell ref="B136:C136"/>
    <mergeCell ref="B137:C137"/>
    <mergeCell ref="B128:C128"/>
    <mergeCell ref="B129:C129"/>
    <mergeCell ref="B130:C130"/>
    <mergeCell ref="B131:C131"/>
    <mergeCell ref="B132:C132"/>
    <mergeCell ref="A147:A148"/>
    <mergeCell ref="B147:C148"/>
    <mergeCell ref="D147:E147"/>
    <mergeCell ref="F147:G147"/>
    <mergeCell ref="H147:Q147"/>
    <mergeCell ref="B143:C143"/>
    <mergeCell ref="B144:C144"/>
    <mergeCell ref="B145:C145"/>
    <mergeCell ref="B138:C138"/>
    <mergeCell ref="B139:C139"/>
    <mergeCell ref="B140:C140"/>
    <mergeCell ref="B141:C141"/>
    <mergeCell ref="B142:C142"/>
    <mergeCell ref="B107:C107"/>
    <mergeCell ref="B166:C166"/>
    <mergeCell ref="B167:C167"/>
    <mergeCell ref="B168:C168"/>
    <mergeCell ref="B169:C169"/>
    <mergeCell ref="A155:A156"/>
    <mergeCell ref="B155:B156"/>
    <mergeCell ref="B157:B158"/>
    <mergeCell ref="B159:B160"/>
    <mergeCell ref="A157:A158"/>
    <mergeCell ref="A159:A160"/>
    <mergeCell ref="B162:C162"/>
    <mergeCell ref="B163:C163"/>
    <mergeCell ref="B164:C164"/>
    <mergeCell ref="B165:C165"/>
    <mergeCell ref="B152:C152"/>
    <mergeCell ref="B153:C153"/>
    <mergeCell ref="B154:C154"/>
    <mergeCell ref="B161:C161"/>
    <mergeCell ref="B149:C149"/>
    <mergeCell ref="B150:C150"/>
    <mergeCell ref="B151:C151"/>
    <mergeCell ref="A125:Q125"/>
    <mergeCell ref="A146:Q146"/>
    <mergeCell ref="A179:O179"/>
    <mergeCell ref="A172:A173"/>
    <mergeCell ref="B172:C173"/>
    <mergeCell ref="D172:E172"/>
    <mergeCell ref="F172:O172"/>
    <mergeCell ref="B174:C174"/>
    <mergeCell ref="B175:C175"/>
    <mergeCell ref="B176:C176"/>
    <mergeCell ref="A171:O171"/>
    <mergeCell ref="A190:O190"/>
    <mergeCell ref="A191:A192"/>
    <mergeCell ref="B191:C192"/>
    <mergeCell ref="D191:E191"/>
    <mergeCell ref="F191:O191"/>
    <mergeCell ref="B193:C193"/>
    <mergeCell ref="B194:C194"/>
    <mergeCell ref="A180:A181"/>
    <mergeCell ref="B180:C181"/>
    <mergeCell ref="D180:E180"/>
    <mergeCell ref="F180:O180"/>
    <mergeCell ref="B182:C182"/>
    <mergeCell ref="B185:C185"/>
    <mergeCell ref="B187:C187"/>
    <mergeCell ref="B183:C183"/>
    <mergeCell ref="B184:C184"/>
    <mergeCell ref="B186:C186"/>
  </mergeCells>
  <phoneticPr fontId="1" type="noConversion"/>
  <pageMargins left="0.7" right="0.7" top="0.75" bottom="0.75" header="0.3" footer="0.3"/>
  <pageSetup paperSize="9" orientation="landscape" r:id="rId1"/>
  <ignoredErrors>
    <ignoredError sqref="H8 H1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963C-3434-4917-8163-EC57F49B1E82}">
  <dimension ref="A4:S192"/>
  <sheetViews>
    <sheetView topLeftCell="C129" workbookViewId="0">
      <selection activeCell="L180" sqref="L180"/>
    </sheetView>
  </sheetViews>
  <sheetFormatPr defaultRowHeight="14.25" x14ac:dyDescent="0.2"/>
  <cols>
    <col min="1" max="1" width="9.25" customWidth="1"/>
    <col min="2" max="2" width="4.25" customWidth="1"/>
    <col min="3" max="3" width="21.875" customWidth="1"/>
    <col min="4" max="4" width="10.375" customWidth="1"/>
    <col min="5" max="5" width="16.125" customWidth="1"/>
    <col min="6" max="6" width="22.625" customWidth="1"/>
    <col min="7" max="7" width="12.5" customWidth="1"/>
    <col min="8" max="18" width="8.5" customWidth="1"/>
    <col min="22" max="22" width="9.375" bestFit="1" customWidth="1"/>
  </cols>
  <sheetData>
    <row r="4" spans="2:19" x14ac:dyDescent="0.2">
      <c r="B4" s="193" t="s">
        <v>0</v>
      </c>
      <c r="C4" s="160" t="s">
        <v>136</v>
      </c>
      <c r="D4" s="160"/>
      <c r="E4" s="163" t="s">
        <v>2</v>
      </c>
      <c r="F4" s="163"/>
      <c r="G4" s="163" t="s">
        <v>13</v>
      </c>
      <c r="H4" s="163"/>
      <c r="I4" s="163" t="s">
        <v>18</v>
      </c>
      <c r="J4" s="163"/>
      <c r="K4" s="163"/>
      <c r="L4" s="163"/>
      <c r="M4" s="163"/>
      <c r="N4" s="163"/>
      <c r="O4" s="163"/>
      <c r="P4" s="163"/>
      <c r="Q4" s="163"/>
      <c r="R4" s="163"/>
    </row>
    <row r="5" spans="2:19" x14ac:dyDescent="0.2">
      <c r="B5" s="192"/>
      <c r="C5" s="204"/>
      <c r="D5" s="204"/>
      <c r="E5" s="7">
        <v>1</v>
      </c>
      <c r="F5" s="7">
        <v>2</v>
      </c>
      <c r="G5" s="7">
        <v>3</v>
      </c>
      <c r="H5" s="7">
        <v>4</v>
      </c>
      <c r="I5" s="7">
        <v>5</v>
      </c>
      <c r="J5" s="7">
        <v>6</v>
      </c>
      <c r="K5" s="7">
        <v>7</v>
      </c>
      <c r="L5" s="7">
        <v>8</v>
      </c>
      <c r="M5" s="7">
        <v>9</v>
      </c>
      <c r="N5" s="7">
        <v>10</v>
      </c>
      <c r="O5" s="7">
        <v>11</v>
      </c>
      <c r="P5" s="7">
        <v>12</v>
      </c>
      <c r="Q5" s="7">
        <v>13</v>
      </c>
      <c r="R5" s="7">
        <v>14</v>
      </c>
    </row>
    <row r="6" spans="2:19" ht="14.25" customHeight="1" x14ac:dyDescent="0.2">
      <c r="B6" s="3">
        <v>1</v>
      </c>
      <c r="C6" s="184" t="s">
        <v>132</v>
      </c>
      <c r="D6" s="182"/>
      <c r="E6" s="7">
        <v>-1000</v>
      </c>
      <c r="F6" s="76">
        <v>-700</v>
      </c>
      <c r="G6" s="57">
        <v>-141.12007264957356</v>
      </c>
      <c r="H6" s="77">
        <v>47.799358974358256</v>
      </c>
      <c r="I6" s="57">
        <v>577.05757478632404</v>
      </c>
      <c r="J6" s="77">
        <v>617.25757478632386</v>
      </c>
      <c r="K6" s="57">
        <v>1657.4575747863237</v>
      </c>
      <c r="L6" s="77">
        <v>1637.6575747863244</v>
      </c>
      <c r="M6" s="57">
        <v>1637.6575747863244</v>
      </c>
      <c r="N6" s="77">
        <v>1637.6575747863244</v>
      </c>
      <c r="O6" s="57">
        <v>1637.6575747863244</v>
      </c>
      <c r="P6" s="77">
        <v>1637.6575747863244</v>
      </c>
      <c r="Q6" s="57">
        <v>1621.4875747863243</v>
      </c>
      <c r="R6" s="67">
        <v>2276.9875747863243</v>
      </c>
    </row>
    <row r="7" spans="2:19" ht="14.25" customHeight="1" x14ac:dyDescent="0.2">
      <c r="B7" s="4">
        <v>2</v>
      </c>
      <c r="C7" s="172" t="s">
        <v>133</v>
      </c>
      <c r="D7" s="173"/>
      <c r="E7" s="54">
        <v>-1000</v>
      </c>
      <c r="F7" s="14">
        <v>-1700</v>
      </c>
      <c r="G7" s="34">
        <v>-1841.1200726495736</v>
      </c>
      <c r="H7" s="75">
        <v>-1793.3207136752153</v>
      </c>
      <c r="I7" s="34">
        <v>-1216.2631388888913</v>
      </c>
      <c r="J7" s="75">
        <v>-599.0055641025674</v>
      </c>
      <c r="K7" s="34">
        <v>1058.4520106837563</v>
      </c>
      <c r="L7" s="75">
        <v>2696.1095854700807</v>
      </c>
      <c r="M7" s="34">
        <v>4333.7671602564051</v>
      </c>
      <c r="N7" s="75">
        <v>5971.4247350427295</v>
      </c>
      <c r="O7" s="34">
        <v>7609.0823098290539</v>
      </c>
      <c r="P7" s="75">
        <v>9246.7398846153774</v>
      </c>
      <c r="Q7" s="34">
        <v>10868.227459401702</v>
      </c>
      <c r="R7" s="58">
        <v>13145.215034188026</v>
      </c>
    </row>
    <row r="8" spans="2:19" ht="14.25" customHeight="1" x14ac:dyDescent="0.2">
      <c r="B8" s="4">
        <v>3</v>
      </c>
      <c r="C8" s="176" t="s">
        <v>134</v>
      </c>
      <c r="D8" s="171"/>
      <c r="E8" s="78">
        <v>0.86956521739130443</v>
      </c>
      <c r="F8" s="79">
        <v>0.7561436672967865</v>
      </c>
      <c r="G8" s="78">
        <v>0.65751623243198831</v>
      </c>
      <c r="H8" s="79">
        <v>0.57175324559303342</v>
      </c>
      <c r="I8" s="78">
        <v>0.49717673529828987</v>
      </c>
      <c r="J8" s="79">
        <v>0.43232759591155645</v>
      </c>
      <c r="K8" s="78">
        <v>0.37593703992309269</v>
      </c>
      <c r="L8" s="79">
        <v>0.32690177384616753</v>
      </c>
      <c r="M8" s="78">
        <v>0.28426241204014574</v>
      </c>
      <c r="N8" s="79">
        <v>0.24718470612186585</v>
      </c>
      <c r="O8" s="78">
        <v>0.21494322271466598</v>
      </c>
      <c r="P8" s="79">
        <v>0.18690715018666609</v>
      </c>
      <c r="Q8" s="78">
        <v>0.16252795668405748</v>
      </c>
      <c r="R8" s="80">
        <v>0.14132865798613695</v>
      </c>
    </row>
    <row r="9" spans="2:19" ht="14.25" customHeight="1" x14ac:dyDescent="0.2">
      <c r="B9" s="4">
        <v>4</v>
      </c>
      <c r="C9" s="176" t="s">
        <v>135</v>
      </c>
      <c r="D9" s="171"/>
      <c r="E9" s="81">
        <v>-869.56521739130449</v>
      </c>
      <c r="F9" s="82">
        <v>-529.30056710775057</v>
      </c>
      <c r="G9" s="81">
        <v>-92.788738489076081</v>
      </c>
      <c r="H9" s="82">
        <v>27.329438630855822</v>
      </c>
      <c r="I9" s="81">
        <v>286.89960111141335</v>
      </c>
      <c r="J9" s="82">
        <v>266.85748336556918</v>
      </c>
      <c r="K9" s="81">
        <v>623.09969446327852</v>
      </c>
      <c r="L9" s="82">
        <v>535.35316615026215</v>
      </c>
      <c r="M9" s="81">
        <v>465.52449230457592</v>
      </c>
      <c r="N9" s="82">
        <v>404.80390635180515</v>
      </c>
      <c r="O9" s="81">
        <v>352.00339682765667</v>
      </c>
      <c r="P9" s="82">
        <v>306.08991028491891</v>
      </c>
      <c r="Q9" s="81">
        <v>263.53706231860912</v>
      </c>
      <c r="R9" s="83">
        <v>321.80359819565984</v>
      </c>
    </row>
    <row r="10" spans="2:19" x14ac:dyDescent="0.2">
      <c r="B10" s="4">
        <v>5</v>
      </c>
      <c r="C10" s="166" t="s">
        <v>219</v>
      </c>
      <c r="D10" s="167"/>
      <c r="E10" s="84">
        <v>-869.56521739130449</v>
      </c>
      <c r="F10" s="85">
        <v>-1285.4442344045372</v>
      </c>
      <c r="G10" s="84">
        <v>-1210.5663336234561</v>
      </c>
      <c r="H10" s="85">
        <v>-1025.3369384330194</v>
      </c>
      <c r="I10" s="84">
        <v>-604.69773665642947</v>
      </c>
      <c r="J10" s="85">
        <v>-258.9666354661087</v>
      </c>
      <c r="K10" s="84">
        <v>397.91131579709702</v>
      </c>
      <c r="L10" s="85">
        <v>881.36300597382478</v>
      </c>
      <c r="M10" s="84">
        <v>1231.9271061948584</v>
      </c>
      <c r="N10" s="85">
        <v>1476.0448682603778</v>
      </c>
      <c r="O10" s="84">
        <v>1635.5206735758113</v>
      </c>
      <c r="P10" s="85">
        <v>1728.2818003508419</v>
      </c>
      <c r="Q10" s="84">
        <v>1766.3908017541239</v>
      </c>
      <c r="R10" s="86">
        <v>1857.7955997209849</v>
      </c>
    </row>
    <row r="11" spans="2:19" x14ac:dyDescent="0.2">
      <c r="B11" s="76"/>
    </row>
    <row r="12" spans="2:19" x14ac:dyDescent="0.2">
      <c r="D12" t="s">
        <v>185</v>
      </c>
      <c r="E12" s="122">
        <f>IRR(E14:R14)</f>
        <v>0.30934793330953925</v>
      </c>
    </row>
    <row r="13" spans="2:19" x14ac:dyDescent="0.2">
      <c r="C13" s="205"/>
      <c r="D13" s="66" t="s">
        <v>153</v>
      </c>
      <c r="E13" s="66">
        <v>1</v>
      </c>
      <c r="F13" s="66">
        <v>2</v>
      </c>
      <c r="G13" s="66">
        <v>3</v>
      </c>
      <c r="H13" s="66">
        <v>4</v>
      </c>
      <c r="I13" s="66">
        <v>5</v>
      </c>
      <c r="J13" s="66">
        <v>6</v>
      </c>
      <c r="K13" s="66">
        <v>7</v>
      </c>
      <c r="L13" s="66">
        <v>8</v>
      </c>
      <c r="M13" s="66">
        <v>9</v>
      </c>
      <c r="N13" s="66">
        <v>10</v>
      </c>
      <c r="O13" s="66">
        <v>11</v>
      </c>
      <c r="P13" s="55">
        <v>12</v>
      </c>
      <c r="Q13" s="55">
        <v>13</v>
      </c>
      <c r="R13" s="55">
        <v>14</v>
      </c>
      <c r="S13" s="55" t="s">
        <v>137</v>
      </c>
    </row>
    <row r="14" spans="2:19" ht="14.25" customHeight="1" x14ac:dyDescent="0.2">
      <c r="C14" s="206"/>
      <c r="D14" s="87" t="s">
        <v>132</v>
      </c>
      <c r="E14" s="90">
        <v>-1000</v>
      </c>
      <c r="F14" s="90">
        <v>-700</v>
      </c>
      <c r="G14" s="90">
        <v>-141.12007264957356</v>
      </c>
      <c r="H14" s="90">
        <v>47.799358974358256</v>
      </c>
      <c r="I14" s="90">
        <v>577.05757478632404</v>
      </c>
      <c r="J14" s="90">
        <v>617.25757478632386</v>
      </c>
      <c r="K14" s="90">
        <v>1657.4575747863237</v>
      </c>
      <c r="L14" s="90">
        <v>1637.6575747863244</v>
      </c>
      <c r="M14" s="90">
        <v>1637.6575747863244</v>
      </c>
      <c r="N14" s="90">
        <v>1637.6575747863244</v>
      </c>
      <c r="O14" s="90">
        <v>1637.6575747863244</v>
      </c>
      <c r="P14" s="90">
        <v>1637.6575747863244</v>
      </c>
      <c r="Q14" s="90">
        <v>1621.4875747863243</v>
      </c>
      <c r="R14" s="90">
        <v>2276.9875747863243</v>
      </c>
      <c r="S14" s="91"/>
    </row>
    <row r="15" spans="2:19" hidden="1" x14ac:dyDescent="0.2">
      <c r="C15" s="196">
        <v>0.15</v>
      </c>
      <c r="D15" s="27" t="s">
        <v>139</v>
      </c>
      <c r="E15" s="90">
        <f t="shared" ref="E15:R15" si="0">1/(1+0.15)^E13</f>
        <v>0.86956521739130443</v>
      </c>
      <c r="F15" s="90">
        <f t="shared" si="0"/>
        <v>0.7561436672967865</v>
      </c>
      <c r="G15" s="90">
        <f t="shared" si="0"/>
        <v>0.65751623243198831</v>
      </c>
      <c r="H15" s="90">
        <f t="shared" si="0"/>
        <v>0.57175324559303342</v>
      </c>
      <c r="I15" s="90">
        <f t="shared" si="0"/>
        <v>0.49717673529828987</v>
      </c>
      <c r="J15" s="90">
        <f t="shared" si="0"/>
        <v>0.43232759591155645</v>
      </c>
      <c r="K15" s="90">
        <f t="shared" si="0"/>
        <v>0.37593703992309269</v>
      </c>
      <c r="L15" s="90">
        <f t="shared" si="0"/>
        <v>0.32690177384616753</v>
      </c>
      <c r="M15" s="90">
        <f t="shared" si="0"/>
        <v>0.28426241204014574</v>
      </c>
      <c r="N15" s="90">
        <f t="shared" si="0"/>
        <v>0.24718470612186585</v>
      </c>
      <c r="O15" s="90">
        <f t="shared" si="0"/>
        <v>0.21494322271466598</v>
      </c>
      <c r="P15" s="90">
        <f t="shared" si="0"/>
        <v>0.18690715018666609</v>
      </c>
      <c r="Q15" s="90">
        <f t="shared" si="0"/>
        <v>0.16252795668405748</v>
      </c>
      <c r="R15" s="90">
        <f t="shared" si="0"/>
        <v>0.14132865798613695</v>
      </c>
      <c r="S15" s="194">
        <f t="shared" ref="S15" si="1">SUM(E16:R16)</f>
        <v>2361.6472270164732</v>
      </c>
    </row>
    <row r="16" spans="2:19" hidden="1" x14ac:dyDescent="0.2">
      <c r="C16" s="197"/>
      <c r="D16" s="31" t="s">
        <v>138</v>
      </c>
      <c r="E16" s="92">
        <f t="shared" ref="E16:R16" si="2">E14*E15</f>
        <v>-869.56521739130449</v>
      </c>
      <c r="F16" s="92">
        <f t="shared" si="2"/>
        <v>-529.30056710775057</v>
      </c>
      <c r="G16" s="92">
        <f t="shared" si="2"/>
        <v>-92.788738489076081</v>
      </c>
      <c r="H16" s="92">
        <f t="shared" si="2"/>
        <v>27.329438630855822</v>
      </c>
      <c r="I16" s="92">
        <f t="shared" si="2"/>
        <v>286.89960111141335</v>
      </c>
      <c r="J16" s="92">
        <f t="shared" si="2"/>
        <v>266.85748336556918</v>
      </c>
      <c r="K16" s="92">
        <f t="shared" si="2"/>
        <v>623.09969446327852</v>
      </c>
      <c r="L16" s="92">
        <f t="shared" si="2"/>
        <v>535.35316615026215</v>
      </c>
      <c r="M16" s="92">
        <f t="shared" si="2"/>
        <v>465.52449230457592</v>
      </c>
      <c r="N16" s="92">
        <f t="shared" si="2"/>
        <v>404.80390635180515</v>
      </c>
      <c r="O16" s="92">
        <f t="shared" si="2"/>
        <v>352.00339682765667</v>
      </c>
      <c r="P16" s="92">
        <f t="shared" si="2"/>
        <v>306.08991028491891</v>
      </c>
      <c r="Q16" s="92">
        <f t="shared" si="2"/>
        <v>263.53706231860912</v>
      </c>
      <c r="R16" s="92">
        <f t="shared" si="2"/>
        <v>321.80359819565984</v>
      </c>
      <c r="S16" s="195"/>
    </row>
    <row r="17" spans="3:19" hidden="1" x14ac:dyDescent="0.2">
      <c r="C17" s="196">
        <v>0.2</v>
      </c>
      <c r="D17" s="27" t="s">
        <v>140</v>
      </c>
      <c r="E17" s="90">
        <f t="shared" ref="E17:R17" si="3">1/(1+0.2)^E13</f>
        <v>0.83333333333333337</v>
      </c>
      <c r="F17" s="90">
        <f t="shared" si="3"/>
        <v>0.69444444444444442</v>
      </c>
      <c r="G17" s="90">
        <f t="shared" si="3"/>
        <v>0.57870370370370372</v>
      </c>
      <c r="H17" s="90">
        <f t="shared" si="3"/>
        <v>0.48225308641975312</v>
      </c>
      <c r="I17" s="90">
        <f t="shared" si="3"/>
        <v>0.4018775720164609</v>
      </c>
      <c r="J17" s="90">
        <f t="shared" si="3"/>
        <v>0.33489797668038412</v>
      </c>
      <c r="K17" s="90">
        <f t="shared" si="3"/>
        <v>0.27908164723365342</v>
      </c>
      <c r="L17" s="90">
        <f t="shared" si="3"/>
        <v>0.23256803936137788</v>
      </c>
      <c r="M17" s="90">
        <f t="shared" si="3"/>
        <v>0.1938066994678149</v>
      </c>
      <c r="N17" s="90">
        <f t="shared" si="3"/>
        <v>0.16150558288984573</v>
      </c>
      <c r="O17" s="90">
        <f t="shared" si="3"/>
        <v>0.13458798574153813</v>
      </c>
      <c r="P17" s="90">
        <f t="shared" si="3"/>
        <v>0.11215665478461512</v>
      </c>
      <c r="Q17" s="90">
        <f t="shared" si="3"/>
        <v>9.3463878987179255E-2</v>
      </c>
      <c r="R17" s="90">
        <f t="shared" si="3"/>
        <v>7.7886565822649384E-2</v>
      </c>
      <c r="S17" s="194">
        <f t="shared" ref="S17" si="4">SUM(E18:R18)</f>
        <v>1218.8581880038428</v>
      </c>
    </row>
    <row r="18" spans="3:19" hidden="1" x14ac:dyDescent="0.2">
      <c r="C18" s="197"/>
      <c r="D18" s="31" t="s">
        <v>138</v>
      </c>
      <c r="E18" s="92">
        <f t="shared" ref="E18:R18" si="5">E17*E14</f>
        <v>-833.33333333333337</v>
      </c>
      <c r="F18" s="92">
        <f t="shared" si="5"/>
        <v>-486.11111111111109</v>
      </c>
      <c r="G18" s="92">
        <f t="shared" si="5"/>
        <v>-81.666708709243963</v>
      </c>
      <c r="H18" s="92">
        <f t="shared" si="5"/>
        <v>23.051388394269996</v>
      </c>
      <c r="I18" s="92">
        <f t="shared" si="5"/>
        <v>231.90649706883522</v>
      </c>
      <c r="J18" s="92">
        <f t="shared" si="5"/>
        <v>206.71831288658075</v>
      </c>
      <c r="K18" s="92">
        <f t="shared" si="5"/>
        <v>462.5659901912635</v>
      </c>
      <c r="L18" s="92">
        <f t="shared" si="5"/>
        <v>380.86681131336451</v>
      </c>
      <c r="M18" s="92">
        <f t="shared" si="5"/>
        <v>317.38900942780379</v>
      </c>
      <c r="N18" s="92">
        <f t="shared" si="5"/>
        <v>264.49084118983643</v>
      </c>
      <c r="O18" s="92">
        <f t="shared" si="5"/>
        <v>220.40903432486374</v>
      </c>
      <c r="P18" s="92">
        <f t="shared" si="5"/>
        <v>183.67419527071979</v>
      </c>
      <c r="Q18" s="92">
        <f t="shared" si="5"/>
        <v>151.55051846904379</v>
      </c>
      <c r="R18" s="92">
        <f t="shared" si="5"/>
        <v>177.34674262094984</v>
      </c>
      <c r="S18" s="195"/>
    </row>
    <row r="19" spans="3:19" hidden="1" x14ac:dyDescent="0.2">
      <c r="C19" s="196">
        <v>0.25</v>
      </c>
      <c r="D19" s="27" t="s">
        <v>141</v>
      </c>
      <c r="E19" s="90">
        <f t="shared" ref="E19:R19" si="6">1/(1+0.25)^E13</f>
        <v>0.8</v>
      </c>
      <c r="F19" s="90">
        <f t="shared" si="6"/>
        <v>0.64</v>
      </c>
      <c r="G19" s="90">
        <f t="shared" si="6"/>
        <v>0.51200000000000001</v>
      </c>
      <c r="H19" s="90">
        <f t="shared" si="6"/>
        <v>0.40960000000000002</v>
      </c>
      <c r="I19" s="90">
        <f t="shared" si="6"/>
        <v>0.32768000000000003</v>
      </c>
      <c r="J19" s="90">
        <f t="shared" si="6"/>
        <v>0.26214399999999999</v>
      </c>
      <c r="K19" s="90">
        <f t="shared" si="6"/>
        <v>0.20971519999999999</v>
      </c>
      <c r="L19" s="90">
        <f t="shared" si="6"/>
        <v>0.16777216</v>
      </c>
      <c r="M19" s="90">
        <f t="shared" si="6"/>
        <v>0.13421772800000001</v>
      </c>
      <c r="N19" s="90">
        <f t="shared" si="6"/>
        <v>0.1073741824</v>
      </c>
      <c r="O19" s="90">
        <f t="shared" si="6"/>
        <v>8.5899345919999995E-2</v>
      </c>
      <c r="P19" s="90">
        <f t="shared" si="6"/>
        <v>6.8719476735999999E-2</v>
      </c>
      <c r="Q19" s="90">
        <f t="shared" si="6"/>
        <v>5.4975581388800002E-2</v>
      </c>
      <c r="R19" s="90">
        <f t="shared" si="6"/>
        <v>4.398046511104E-2</v>
      </c>
      <c r="S19" s="194">
        <f t="shared" ref="S19" si="7">SUM(E20:R20)</f>
        <v>510.7158344107321</v>
      </c>
    </row>
    <row r="20" spans="3:19" hidden="1" x14ac:dyDescent="0.2">
      <c r="C20" s="197"/>
      <c r="D20" s="31" t="s">
        <v>138</v>
      </c>
      <c r="E20" s="92">
        <f t="shared" ref="E20:R20" si="8">E14*E19</f>
        <v>-800</v>
      </c>
      <c r="F20" s="92">
        <f t="shared" si="8"/>
        <v>-448</v>
      </c>
      <c r="G20" s="92">
        <f t="shared" si="8"/>
        <v>-72.25347719658167</v>
      </c>
      <c r="H20" s="92">
        <f t="shared" si="8"/>
        <v>19.578617435897144</v>
      </c>
      <c r="I20" s="92">
        <f t="shared" si="8"/>
        <v>189.09022610598268</v>
      </c>
      <c r="J20" s="92">
        <f t="shared" si="8"/>
        <v>161.81036968478608</v>
      </c>
      <c r="K20" s="92">
        <f t="shared" si="8"/>
        <v>347.5940467878288</v>
      </c>
      <c r="L20" s="92">
        <f t="shared" si="8"/>
        <v>274.75334866226319</v>
      </c>
      <c r="M20" s="92">
        <f t="shared" si="8"/>
        <v>219.80267892981055</v>
      </c>
      <c r="N20" s="92">
        <f t="shared" si="8"/>
        <v>175.84214314384843</v>
      </c>
      <c r="O20" s="92">
        <f t="shared" si="8"/>
        <v>140.67371451507873</v>
      </c>
      <c r="P20" s="92">
        <f t="shared" si="8"/>
        <v>112.53897161206299</v>
      </c>
      <c r="Q20" s="92">
        <f t="shared" si="8"/>
        <v>89.142222138593496</v>
      </c>
      <c r="R20" s="92">
        <f t="shared" si="8"/>
        <v>100.14297259116152</v>
      </c>
      <c r="S20" s="195"/>
    </row>
    <row r="21" spans="3:19" hidden="1" x14ac:dyDescent="0.2">
      <c r="C21" s="196">
        <v>0.28000000000000003</v>
      </c>
      <c r="D21" s="27" t="s">
        <v>142</v>
      </c>
      <c r="E21" s="90">
        <f t="shared" ref="E21:R21" si="9">1/(1+0.28)^E13</f>
        <v>0.78125</v>
      </c>
      <c r="F21" s="90">
        <f t="shared" si="9"/>
        <v>0.6103515625</v>
      </c>
      <c r="G21" s="90">
        <f t="shared" si="9"/>
        <v>0.47683715820312494</v>
      </c>
      <c r="H21" s="90">
        <f t="shared" si="9"/>
        <v>0.37252902984619141</v>
      </c>
      <c r="I21" s="90">
        <f t="shared" si="9"/>
        <v>0.29103830456733704</v>
      </c>
      <c r="J21" s="90">
        <f t="shared" si="9"/>
        <v>0.22737367544323206</v>
      </c>
      <c r="K21" s="90">
        <f t="shared" si="9"/>
        <v>0.17763568394002502</v>
      </c>
      <c r="L21" s="90">
        <f t="shared" si="9"/>
        <v>0.13877787807814454</v>
      </c>
      <c r="M21" s="90">
        <f t="shared" si="9"/>
        <v>0.10842021724855043</v>
      </c>
      <c r="N21" s="90">
        <f t="shared" si="9"/>
        <v>8.470329472543002E-2</v>
      </c>
      <c r="O21" s="90">
        <f t="shared" si="9"/>
        <v>6.61744490042422E-2</v>
      </c>
      <c r="P21" s="90">
        <f t="shared" si="9"/>
        <v>5.1698788284564222E-2</v>
      </c>
      <c r="Q21" s="90">
        <f t="shared" si="9"/>
        <v>4.0389678347315799E-2</v>
      </c>
      <c r="R21" s="90">
        <f t="shared" si="9"/>
        <v>3.1554436208840471E-2</v>
      </c>
      <c r="S21" s="194">
        <f t="shared" ref="S21" si="10">SUM(E22:R22)</f>
        <v>218.65409842326233</v>
      </c>
    </row>
    <row r="22" spans="3:19" hidden="1" x14ac:dyDescent="0.2">
      <c r="C22" s="197"/>
      <c r="D22" s="31" t="s">
        <v>135</v>
      </c>
      <c r="E22" s="92">
        <f t="shared" ref="E22:R22" si="11">E14*E21</f>
        <v>-781.25</v>
      </c>
      <c r="F22" s="92">
        <f t="shared" si="11"/>
        <v>-427.24609375</v>
      </c>
      <c r="G22" s="92">
        <f t="shared" si="11"/>
        <v>-67.291294407641189</v>
      </c>
      <c r="H22" s="92">
        <f t="shared" si="11"/>
        <v>17.806648825987523</v>
      </c>
      <c r="I22" s="92">
        <f t="shared" si="11"/>
        <v>167.94585820355104</v>
      </c>
      <c r="J22" s="92">
        <f t="shared" si="11"/>
        <v>140.34812347434215</v>
      </c>
      <c r="K22" s="92">
        <f t="shared" si="11"/>
        <v>294.42360989874379</v>
      </c>
      <c r="L22" s="92">
        <f t="shared" si="11"/>
        <v>227.2706432474464</v>
      </c>
      <c r="M22" s="92">
        <f t="shared" si="11"/>
        <v>177.55519003706752</v>
      </c>
      <c r="N22" s="92">
        <f t="shared" si="11"/>
        <v>138.714992216459</v>
      </c>
      <c r="O22" s="92">
        <f t="shared" si="11"/>
        <v>108.37108766910858</v>
      </c>
      <c r="P22" s="92">
        <f t="shared" si="11"/>
        <v>84.664912241491081</v>
      </c>
      <c r="Q22" s="92">
        <f t="shared" si="11"/>
        <v>65.491361589788809</v>
      </c>
      <c r="R22" s="92">
        <f t="shared" si="11"/>
        <v>71.849059176917436</v>
      </c>
      <c r="S22" s="195"/>
    </row>
    <row r="23" spans="3:19" hidden="1" x14ac:dyDescent="0.2">
      <c r="C23" s="196">
        <v>0.3</v>
      </c>
      <c r="D23" s="27" t="s">
        <v>143</v>
      </c>
      <c r="E23" s="90">
        <f t="shared" ref="E23:R23" si="12">1/(1+0.3)^E13</f>
        <v>0.76923076923076916</v>
      </c>
      <c r="F23" s="90">
        <f t="shared" si="12"/>
        <v>0.59171597633136086</v>
      </c>
      <c r="G23" s="90">
        <f t="shared" si="12"/>
        <v>0.45516613563950831</v>
      </c>
      <c r="H23" s="90">
        <f t="shared" si="12"/>
        <v>0.35012779664577565</v>
      </c>
      <c r="I23" s="90">
        <f t="shared" si="12"/>
        <v>0.26932907434290432</v>
      </c>
      <c r="J23" s="90">
        <f t="shared" si="12"/>
        <v>0.20717621103300329</v>
      </c>
      <c r="K23" s="90">
        <f t="shared" si="12"/>
        <v>0.1593663161792333</v>
      </c>
      <c r="L23" s="90">
        <f t="shared" si="12"/>
        <v>0.12258947398402563</v>
      </c>
      <c r="M23" s="90">
        <f t="shared" si="12"/>
        <v>9.4299595372327405E-2</v>
      </c>
      <c r="N23" s="90">
        <f t="shared" si="12"/>
        <v>7.2538150286405687E-2</v>
      </c>
      <c r="O23" s="90">
        <f t="shared" si="12"/>
        <v>5.579857714338899E-2</v>
      </c>
      <c r="P23" s="90">
        <f t="shared" si="12"/>
        <v>4.2921982417991528E-2</v>
      </c>
      <c r="Q23" s="90">
        <f t="shared" si="12"/>
        <v>3.3016909552301174E-2</v>
      </c>
      <c r="R23" s="90">
        <f t="shared" si="12"/>
        <v>2.5397622732539361E-2</v>
      </c>
      <c r="S23" s="194">
        <f t="shared" ref="S23" si="13">SUM(E24:R24)</f>
        <v>63.532960137604825</v>
      </c>
    </row>
    <row r="24" spans="3:19" hidden="1" x14ac:dyDescent="0.2">
      <c r="C24" s="197"/>
      <c r="D24" s="31" t="s">
        <v>135</v>
      </c>
      <c r="E24" s="92">
        <f t="shared" ref="E24:R24" si="14">E14*E23</f>
        <v>-769.23076923076917</v>
      </c>
      <c r="F24" s="92">
        <f t="shared" si="14"/>
        <v>-414.20118343195259</v>
      </c>
      <c r="G24" s="92">
        <f t="shared" si="14"/>
        <v>-64.233078129073064</v>
      </c>
      <c r="H24" s="92">
        <f t="shared" si="14"/>
        <v>16.735884238772538</v>
      </c>
      <c r="I24" s="92">
        <f t="shared" si="14"/>
        <v>155.41838245976194</v>
      </c>
      <c r="J24" s="92">
        <f t="shared" si="14"/>
        <v>127.88108557565124</v>
      </c>
      <c r="K24" s="92">
        <f t="shared" si="14"/>
        <v>264.14290791706247</v>
      </c>
      <c r="L24" s="92">
        <f t="shared" si="14"/>
        <v>200.75958065901062</v>
      </c>
      <c r="M24" s="92">
        <f t="shared" si="14"/>
        <v>154.43044666077739</v>
      </c>
      <c r="N24" s="92">
        <f t="shared" si="14"/>
        <v>118.79265127752106</v>
      </c>
      <c r="O24" s="92">
        <f t="shared" si="14"/>
        <v>91.378962521170052</v>
      </c>
      <c r="P24" s="92">
        <f t="shared" si="14"/>
        <v>70.291509631669257</v>
      </c>
      <c r="Q24" s="92">
        <f t="shared" si="14"/>
        <v>53.536508596900255</v>
      </c>
      <c r="R24" s="92">
        <f t="shared" si="14"/>
        <v>57.83007139110282</v>
      </c>
      <c r="S24" s="195"/>
    </row>
    <row r="25" spans="3:19" hidden="1" x14ac:dyDescent="0.2">
      <c r="C25" s="202">
        <v>0.30499999999999999</v>
      </c>
      <c r="D25" s="27" t="s">
        <v>147</v>
      </c>
      <c r="E25" s="90">
        <f t="shared" ref="E25:R25" si="15">1/(1+0.305)^E13</f>
        <v>0.76628352490421459</v>
      </c>
      <c r="F25" s="90">
        <f t="shared" si="15"/>
        <v>0.5871904405396281</v>
      </c>
      <c r="G25" s="90">
        <f t="shared" si="15"/>
        <v>0.44995436056676485</v>
      </c>
      <c r="H25" s="90">
        <f t="shared" si="15"/>
        <v>0.3447926134611225</v>
      </c>
      <c r="I25" s="90">
        <f t="shared" si="15"/>
        <v>0.26420889920392532</v>
      </c>
      <c r="J25" s="90">
        <f t="shared" si="15"/>
        <v>0.20245892659304623</v>
      </c>
      <c r="K25" s="90">
        <f t="shared" si="15"/>
        <v>0.15514093991804309</v>
      </c>
      <c r="L25" s="90">
        <f t="shared" si="15"/>
        <v>0.11888194629735103</v>
      </c>
      <c r="M25" s="90">
        <f t="shared" si="15"/>
        <v>9.1097276856207693E-2</v>
      </c>
      <c r="N25" s="90">
        <f t="shared" si="15"/>
        <v>6.9806342418549966E-2</v>
      </c>
      <c r="O25" s="90">
        <f t="shared" si="15"/>
        <v>5.3491450129157056E-2</v>
      </c>
      <c r="P25" s="90">
        <f t="shared" si="15"/>
        <v>4.0989616957208479E-2</v>
      </c>
      <c r="Q25" s="90">
        <f t="shared" si="15"/>
        <v>3.1409668166443278E-2</v>
      </c>
      <c r="R25" s="90">
        <f t="shared" si="15"/>
        <v>2.4068711238653857E-2</v>
      </c>
      <c r="S25" s="194">
        <f t="shared" ref="S25" si="16">SUM(E26:R26)</f>
        <v>28.894148283790074</v>
      </c>
    </row>
    <row r="26" spans="3:19" hidden="1" x14ac:dyDescent="0.2">
      <c r="C26" s="203"/>
      <c r="D26" s="31" t="s">
        <v>135</v>
      </c>
      <c r="E26" s="92">
        <f t="shared" ref="E26:R26" si="17">E14*E25</f>
        <v>-766.28352490421457</v>
      </c>
      <c r="F26" s="92">
        <f t="shared" si="17"/>
        <v>-411.03330837773967</v>
      </c>
      <c r="G26" s="92">
        <f t="shared" si="17"/>
        <v>-63.497592052174269</v>
      </c>
      <c r="H26" s="92">
        <f t="shared" si="17"/>
        <v>16.480865902535342</v>
      </c>
      <c r="I26" s="92">
        <f t="shared" si="17"/>
        <v>152.46374661158148</v>
      </c>
      <c r="J26" s="92">
        <f t="shared" si="17"/>
        <v>124.96930602266609</v>
      </c>
      <c r="K26" s="92">
        <f t="shared" si="17"/>
        <v>257.13952602663045</v>
      </c>
      <c r="L26" s="92">
        <f t="shared" si="17"/>
        <v>194.68791985919796</v>
      </c>
      <c r="M26" s="92">
        <f t="shared" si="17"/>
        <v>149.18614548597546</v>
      </c>
      <c r="N26" s="92">
        <f t="shared" si="17"/>
        <v>114.31888542986626</v>
      </c>
      <c r="O26" s="92">
        <f t="shared" si="17"/>
        <v>87.60067849031897</v>
      </c>
      <c r="P26" s="92">
        <f t="shared" si="17"/>
        <v>67.126956697562434</v>
      </c>
      <c r="Q26" s="92">
        <f t="shared" si="17"/>
        <v>50.930386660049322</v>
      </c>
      <c r="R26" s="92">
        <f t="shared" si="17"/>
        <v>54.804156431534793</v>
      </c>
      <c r="S26" s="195"/>
    </row>
    <row r="27" spans="3:19" hidden="1" x14ac:dyDescent="0.2">
      <c r="C27" s="196">
        <v>0.31</v>
      </c>
      <c r="D27" s="27" t="s">
        <v>146</v>
      </c>
      <c r="E27" s="90">
        <f t="shared" ref="E27:R27" si="18">1/(1+0.31)^E13</f>
        <v>0.76335877862595414</v>
      </c>
      <c r="F27" s="90">
        <f t="shared" si="18"/>
        <v>0.58271662490530851</v>
      </c>
      <c r="G27" s="90">
        <f t="shared" si="18"/>
        <v>0.44482185107275451</v>
      </c>
      <c r="H27" s="90">
        <f t="shared" si="18"/>
        <v>0.33955866494103398</v>
      </c>
      <c r="I27" s="90">
        <f t="shared" si="18"/>
        <v>0.25920508774124729</v>
      </c>
      <c r="J27" s="90">
        <f t="shared" si="18"/>
        <v>0.19786647919179182</v>
      </c>
      <c r="K27" s="90">
        <f t="shared" si="18"/>
        <v>0.15104311388686398</v>
      </c>
      <c r="L27" s="90">
        <f t="shared" si="18"/>
        <v>0.11530008693653737</v>
      </c>
      <c r="M27" s="90">
        <f t="shared" si="18"/>
        <v>8.8015333539341503E-2</v>
      </c>
      <c r="N27" s="90">
        <f t="shared" si="18"/>
        <v>6.7187277510947704E-2</v>
      </c>
      <c r="O27" s="90">
        <f t="shared" si="18"/>
        <v>5.1287998099960069E-2</v>
      </c>
      <c r="P27" s="90">
        <f t="shared" si="18"/>
        <v>3.9151143587755781E-2</v>
      </c>
      <c r="Q27" s="90">
        <f t="shared" si="18"/>
        <v>2.988636915095861E-2</v>
      </c>
      <c r="R27" s="90">
        <f t="shared" si="18"/>
        <v>2.2814022252640162E-2</v>
      </c>
      <c r="S27" s="194">
        <f t="shared" ref="S27" si="19">SUM(E28:R28)</f>
        <v>-4.2378666337916115</v>
      </c>
    </row>
    <row r="28" spans="3:19" hidden="1" x14ac:dyDescent="0.2">
      <c r="C28" s="197"/>
      <c r="D28" s="31" t="s">
        <v>135</v>
      </c>
      <c r="E28" s="92">
        <f t="shared" ref="E28:R28" si="20">E14*E27</f>
        <v>-763.35877862595419</v>
      </c>
      <c r="F28" s="92">
        <f t="shared" si="20"/>
        <v>-407.90163743371596</v>
      </c>
      <c r="G28" s="92">
        <f t="shared" si="20"/>
        <v>-62.773291939504908</v>
      </c>
      <c r="H28" s="92">
        <f t="shared" si="20"/>
        <v>16.23068651837032</v>
      </c>
      <c r="I28" s="92">
        <f t="shared" si="20"/>
        <v>149.57625930424049</v>
      </c>
      <c r="J28" s="92">
        <f t="shared" si="20"/>
        <v>122.13458307743403</v>
      </c>
      <c r="K28" s="92">
        <f t="shared" si="20"/>
        <v>250.34755323109604</v>
      </c>
      <c r="L28" s="92">
        <f t="shared" si="20"/>
        <v>188.82206074514215</v>
      </c>
      <c r="M28" s="92">
        <f t="shared" si="20"/>
        <v>144.13897766804743</v>
      </c>
      <c r="N28" s="92">
        <f t="shared" si="20"/>
        <v>110.02975394507438</v>
      </c>
      <c r="O28" s="92">
        <f t="shared" si="20"/>
        <v>83.99217858402622</v>
      </c>
      <c r="P28" s="92">
        <f t="shared" si="20"/>
        <v>64.116166858035285</v>
      </c>
      <c r="Q28" s="92">
        <f t="shared" si="20"/>
        <v>48.460376233756698</v>
      </c>
      <c r="R28" s="92">
        <f t="shared" si="20"/>
        <v>51.94724520016036</v>
      </c>
      <c r="S28" s="195"/>
    </row>
    <row r="29" spans="3:19" hidden="1" x14ac:dyDescent="0.2">
      <c r="C29" s="202">
        <v>0.315</v>
      </c>
      <c r="D29" s="27" t="s">
        <v>147</v>
      </c>
      <c r="E29" s="90">
        <f t="shared" ref="E29:R29" si="21">1/(1+0.315)^E13</f>
        <v>0.76045627376425862</v>
      </c>
      <c r="F29" s="90">
        <f t="shared" si="21"/>
        <v>0.57829374430742098</v>
      </c>
      <c r="G29" s="90">
        <f t="shared" si="21"/>
        <v>0.43976710593720231</v>
      </c>
      <c r="H29" s="90">
        <f t="shared" si="21"/>
        <v>0.33442365470509688</v>
      </c>
      <c r="I29" s="90">
        <f t="shared" si="21"/>
        <v>0.25431456631566302</v>
      </c>
      <c r="J29" s="90">
        <f t="shared" si="21"/>
        <v>0.19339510746438254</v>
      </c>
      <c r="K29" s="90">
        <f t="shared" si="21"/>
        <v>0.14706852278660271</v>
      </c>
      <c r="L29" s="90">
        <f t="shared" si="21"/>
        <v>0.11183918082631385</v>
      </c>
      <c r="M29" s="90">
        <f t="shared" si="21"/>
        <v>8.5048806712025735E-2</v>
      </c>
      <c r="N29" s="90">
        <f t="shared" si="21"/>
        <v>6.4675898640323762E-2</v>
      </c>
      <c r="O29" s="90">
        <f t="shared" si="21"/>
        <v>4.9183192882375493E-2</v>
      </c>
      <c r="P29" s="90">
        <f t="shared" si="21"/>
        <v>3.7401667591160065E-2</v>
      </c>
      <c r="Q29" s="90">
        <f t="shared" si="21"/>
        <v>2.8442332768943021E-2</v>
      </c>
      <c r="R29" s="90">
        <f t="shared" si="21"/>
        <v>2.1629150394633475E-2</v>
      </c>
      <c r="S29" s="194">
        <f t="shared" ref="S29" si="22">SUM(E30:R30)</f>
        <v>-35.931417420308371</v>
      </c>
    </row>
    <row r="30" spans="3:19" hidden="1" x14ac:dyDescent="0.2">
      <c r="C30" s="203"/>
      <c r="D30" s="31" t="s">
        <v>135</v>
      </c>
      <c r="E30" s="92">
        <f t="shared" ref="E30:R30" si="23">E14*E29</f>
        <v>-760.45627376425864</v>
      </c>
      <c r="F30" s="92">
        <f t="shared" si="23"/>
        <v>-404.80562101519467</v>
      </c>
      <c r="G30" s="92">
        <f t="shared" si="23"/>
        <v>-62.0599659387507</v>
      </c>
      <c r="H30" s="92">
        <f t="shared" si="23"/>
        <v>15.985236320765759</v>
      </c>
      <c r="I30" s="92">
        <f t="shared" si="23"/>
        <v>146.75414687095227</v>
      </c>
      <c r="J30" s="92">
        <f t="shared" si="23"/>
        <v>119.37459500900525</v>
      </c>
      <c r="K30" s="92">
        <f t="shared" si="23"/>
        <v>243.75983710528971</v>
      </c>
      <c r="L30" s="92">
        <f t="shared" si="23"/>
        <v>183.15428163811032</v>
      </c>
      <c r="M30" s="92">
        <f t="shared" si="23"/>
        <v>139.28082253848694</v>
      </c>
      <c r="N30" s="92">
        <f t="shared" si="23"/>
        <v>105.91697531443874</v>
      </c>
      <c r="O30" s="92">
        <f t="shared" si="23"/>
        <v>80.545228375999059</v>
      </c>
      <c r="P30" s="92">
        <f t="shared" si="23"/>
        <v>61.251124240303461</v>
      </c>
      <c r="Q30" s="92">
        <f t="shared" si="23"/>
        <v>46.118889182779021</v>
      </c>
      <c r="R30" s="92">
        <f t="shared" si="23"/>
        <v>49.249306701765143</v>
      </c>
      <c r="S30" s="195"/>
    </row>
    <row r="31" spans="3:19" hidden="1" x14ac:dyDescent="0.2">
      <c r="C31" s="196">
        <v>0.32</v>
      </c>
      <c r="D31" s="27" t="s">
        <v>148</v>
      </c>
      <c r="E31" s="90">
        <f t="shared" ref="E31:R31" si="24">1/(1+0.32)^E13</f>
        <v>0.75757575757575757</v>
      </c>
      <c r="F31" s="90">
        <f t="shared" si="24"/>
        <v>0.57392102846648296</v>
      </c>
      <c r="G31" s="90">
        <f t="shared" si="24"/>
        <v>0.43478865792915378</v>
      </c>
      <c r="H31" s="90">
        <f t="shared" si="24"/>
        <v>0.32938534691602556</v>
      </c>
      <c r="I31" s="90">
        <f t="shared" si="24"/>
        <v>0.24953435372426175</v>
      </c>
      <c r="J31" s="90">
        <f t="shared" si="24"/>
        <v>0.18904117706383466</v>
      </c>
      <c r="K31" s="90">
        <f t="shared" si="24"/>
        <v>0.14321301292714747</v>
      </c>
      <c r="L31" s="90">
        <f t="shared" si="24"/>
        <v>0.1084947067629905</v>
      </c>
      <c r="M31" s="90">
        <f t="shared" si="24"/>
        <v>8.2192959668932197E-2</v>
      </c>
      <c r="N31" s="90">
        <f t="shared" si="24"/>
        <v>6.2267393688584992E-2</v>
      </c>
      <c r="O31" s="90">
        <f t="shared" si="24"/>
        <v>4.7172267945897718E-2</v>
      </c>
      <c r="P31" s="90">
        <f t="shared" si="24"/>
        <v>3.5736566625680088E-2</v>
      </c>
      <c r="Q31" s="90">
        <f t="shared" si="24"/>
        <v>2.7073156534606124E-2</v>
      </c>
      <c r="R31" s="90">
        <f t="shared" si="24"/>
        <v>2.0509967071671305E-2</v>
      </c>
      <c r="S31" s="194">
        <f t="shared" ref="S31" si="25">SUM(E32:R32)</f>
        <v>-66.251417146782387</v>
      </c>
    </row>
    <row r="32" spans="3:19" hidden="1" x14ac:dyDescent="0.2">
      <c r="C32" s="197"/>
      <c r="D32" s="31" t="s">
        <v>135</v>
      </c>
      <c r="E32" s="92">
        <f t="shared" ref="E32:R32" si="26">E14*E31</f>
        <v>-757.57575757575762</v>
      </c>
      <c r="F32" s="92">
        <f t="shared" si="26"/>
        <v>-401.7447199265381</v>
      </c>
      <c r="G32" s="92">
        <f t="shared" si="26"/>
        <v>-61.35740699417277</v>
      </c>
      <c r="H32" s="92">
        <f t="shared" si="26"/>
        <v>15.744408438132634</v>
      </c>
      <c r="I32" s="92">
        <f t="shared" si="26"/>
        <v>143.9956889859952</v>
      </c>
      <c r="J32" s="92">
        <f t="shared" si="26"/>
        <v>116.68709848917462</v>
      </c>
      <c r="K32" s="92">
        <f t="shared" si="26"/>
        <v>237.36949308407227</v>
      </c>
      <c r="L32" s="92">
        <f t="shared" si="26"/>
        <v>177.67717835463245</v>
      </c>
      <c r="M32" s="92">
        <f t="shared" si="26"/>
        <v>134.60392299593369</v>
      </c>
      <c r="N32" s="92">
        <f t="shared" si="26"/>
        <v>101.97266893631338</v>
      </c>
      <c r="O32" s="92">
        <f t="shared" si="26"/>
        <v>77.252021921449526</v>
      </c>
      <c r="P32" s="92">
        <f t="shared" si="26"/>
        <v>58.524259031401151</v>
      </c>
      <c r="Q32" s="92">
        <f t="shared" si="26"/>
        <v>43.898786931109015</v>
      </c>
      <c r="R32" s="92">
        <f t="shared" si="26"/>
        <v>46.700940181472212</v>
      </c>
      <c r="S32" s="195"/>
    </row>
    <row r="33" spans="3:19" hidden="1" x14ac:dyDescent="0.2">
      <c r="C33" s="202">
        <v>0.32300000000000001</v>
      </c>
      <c r="D33" s="27" t="s">
        <v>152</v>
      </c>
      <c r="E33" s="90">
        <f t="shared" ref="E33:R33" si="27">1/(1+0.323)^E13</f>
        <v>0.75585789871504161</v>
      </c>
      <c r="F33" s="90">
        <f t="shared" si="27"/>
        <v>0.57132116304991809</v>
      </c>
      <c r="G33" s="90">
        <f t="shared" si="27"/>
        <v>0.43183761379434477</v>
      </c>
      <c r="H33" s="90">
        <f t="shared" si="27"/>
        <v>0.32640787134871108</v>
      </c>
      <c r="I33" s="90">
        <f t="shared" si="27"/>
        <v>0.24671796776168639</v>
      </c>
      <c r="J33" s="90">
        <f t="shared" si="27"/>
        <v>0.18648372468759367</v>
      </c>
      <c r="K33" s="90">
        <f t="shared" si="27"/>
        <v>0.14095519628691888</v>
      </c>
      <c r="L33" s="90">
        <f t="shared" si="27"/>
        <v>0.10654209847839673</v>
      </c>
      <c r="M33" s="90">
        <f t="shared" si="27"/>
        <v>8.0530686680571992E-2</v>
      </c>
      <c r="N33" s="90">
        <f t="shared" si="27"/>
        <v>6.0869755616456536E-2</v>
      </c>
      <c r="O33" s="90">
        <f t="shared" si="27"/>
        <v>4.6008885575552931E-2</v>
      </c>
      <c r="P33" s="90">
        <f t="shared" si="27"/>
        <v>3.4776179573358226E-2</v>
      </c>
      <c r="Q33" s="90">
        <f t="shared" si="27"/>
        <v>2.6285850017655502E-2</v>
      </c>
      <c r="R33" s="90">
        <f t="shared" si="27"/>
        <v>1.9868367360283828E-2</v>
      </c>
      <c r="S33" s="194">
        <f t="shared" ref="S33" si="28">SUM(E34:R34)</f>
        <v>-83.809901014662131</v>
      </c>
    </row>
    <row r="34" spans="3:19" hidden="1" x14ac:dyDescent="0.2">
      <c r="C34" s="203"/>
      <c r="D34" s="31" t="s">
        <v>135</v>
      </c>
      <c r="E34" s="92">
        <f t="shared" ref="E34:R34" si="29">E14*E33</f>
        <v>-755.85789871504164</v>
      </c>
      <c r="F34" s="92">
        <f t="shared" si="29"/>
        <v>-399.92481413494266</v>
      </c>
      <c r="G34" s="92">
        <f t="shared" si="29"/>
        <v>-60.940955431476425</v>
      </c>
      <c r="H34" s="92">
        <f t="shared" si="29"/>
        <v>15.602087014653188</v>
      </c>
      <c r="I34" s="92">
        <f t="shared" si="29"/>
        <v>142.37047213276924</v>
      </c>
      <c r="J34" s="92">
        <f t="shared" si="29"/>
        <v>115.10849163778458</v>
      </c>
      <c r="K34" s="92">
        <f t="shared" si="29"/>
        <v>233.62725779124679</v>
      </c>
      <c r="L34" s="92">
        <f t="shared" si="29"/>
        <v>174.47947460677693</v>
      </c>
      <c r="M34" s="92">
        <f t="shared" si="29"/>
        <v>131.8816890451829</v>
      </c>
      <c r="N34" s="92">
        <f t="shared" si="29"/>
        <v>99.683816360682457</v>
      </c>
      <c r="O34" s="92">
        <f t="shared" si="29"/>
        <v>75.346799970281509</v>
      </c>
      <c r="P34" s="92">
        <f t="shared" si="29"/>
        <v>56.951473900439545</v>
      </c>
      <c r="Q34" s="92">
        <f t="shared" si="29"/>
        <v>42.622179196325277</v>
      </c>
      <c r="R34" s="92">
        <f t="shared" si="29"/>
        <v>45.240025610656438</v>
      </c>
      <c r="S34" s="195"/>
    </row>
    <row r="35" spans="3:19" hidden="1" x14ac:dyDescent="0.2">
      <c r="C35" s="202">
        <v>0.32500000000000001</v>
      </c>
      <c r="D35" s="27" t="s">
        <v>149</v>
      </c>
      <c r="E35" s="90">
        <f t="shared" ref="E35:R35" si="30">1/(1+0.325)^E13</f>
        <v>0.75471698113207553</v>
      </c>
      <c r="F35" s="90">
        <f t="shared" si="30"/>
        <v>0.56959772160911359</v>
      </c>
      <c r="G35" s="90">
        <f t="shared" si="30"/>
        <v>0.42988507291253858</v>
      </c>
      <c r="H35" s="90">
        <f t="shared" si="30"/>
        <v>0.32444156446229322</v>
      </c>
      <c r="I35" s="90">
        <f t="shared" si="30"/>
        <v>0.24486155808474963</v>
      </c>
      <c r="J35" s="90">
        <f t="shared" si="30"/>
        <v>0.18480117591301856</v>
      </c>
      <c r="K35" s="90">
        <f t="shared" si="30"/>
        <v>0.13947258559473102</v>
      </c>
      <c r="L35" s="90">
        <f t="shared" si="30"/>
        <v>0.10526232875074039</v>
      </c>
      <c r="M35" s="90">
        <f t="shared" si="30"/>
        <v>7.9443266981690866E-2</v>
      </c>
      <c r="N35" s="90">
        <f t="shared" si="30"/>
        <v>5.9957182627691209E-2</v>
      </c>
      <c r="O35" s="90">
        <f t="shared" si="30"/>
        <v>4.5250703869955639E-2</v>
      </c>
      <c r="P35" s="90">
        <f t="shared" si="30"/>
        <v>3.4151474618834443E-2</v>
      </c>
      <c r="Q35" s="90">
        <f t="shared" si="30"/>
        <v>2.5774697825535427E-2</v>
      </c>
      <c r="R35" s="90">
        <f t="shared" si="30"/>
        <v>1.9452602132479568E-2</v>
      </c>
      <c r="S35" s="194">
        <f t="shared" ref="S35" si="31">SUM(E36:R36)</f>
        <v>-95.259547248045749</v>
      </c>
    </row>
    <row r="36" spans="3:19" hidden="1" x14ac:dyDescent="0.2">
      <c r="C36" s="203"/>
      <c r="D36" s="31" t="s">
        <v>135</v>
      </c>
      <c r="E36" s="92">
        <f t="shared" ref="E36:R36" si="32">E14*E35</f>
        <v>-754.71698113207549</v>
      </c>
      <c r="F36" s="92">
        <f t="shared" si="32"/>
        <v>-398.71840512637954</v>
      </c>
      <c r="G36" s="92">
        <f t="shared" si="32"/>
        <v>-60.665412720384673</v>
      </c>
      <c r="H36" s="92">
        <f t="shared" si="32"/>
        <v>15.508098805935548</v>
      </c>
      <c r="I36" s="92">
        <f t="shared" si="32"/>
        <v>141.29921686678622</v>
      </c>
      <c r="J36" s="92">
        <f t="shared" si="32"/>
        <v>114.06992566173065</v>
      </c>
      <c r="K36" s="92">
        <f t="shared" si="32"/>
        <v>231.16989346902082</v>
      </c>
      <c r="L36" s="92">
        <f t="shared" si="32"/>
        <v>172.38365001829828</v>
      </c>
      <c r="M36" s="92">
        <f t="shared" si="32"/>
        <v>130.10086793833835</v>
      </c>
      <c r="N36" s="92">
        <f t="shared" si="32"/>
        <v>98.189334293085523</v>
      </c>
      <c r="O36" s="92">
        <f t="shared" si="32"/>
        <v>74.105157957045691</v>
      </c>
      <c r="P36" s="92">
        <f t="shared" si="32"/>
        <v>55.928421099657129</v>
      </c>
      <c r="Q36" s="92">
        <f t="shared" si="32"/>
        <v>41.793352267977788</v>
      </c>
      <c r="R36" s="92">
        <f t="shared" si="32"/>
        <v>44.293333352917934</v>
      </c>
      <c r="S36" s="195"/>
    </row>
    <row r="37" spans="3:19" hidden="1" x14ac:dyDescent="0.2">
      <c r="C37" s="196">
        <v>0.33</v>
      </c>
      <c r="D37" s="27" t="s">
        <v>144</v>
      </c>
      <c r="E37" s="90">
        <f t="shared" ref="E37:R37" si="33">1/(1+0.33)^E13</f>
        <v>0.75187969924812026</v>
      </c>
      <c r="F37" s="90">
        <f t="shared" si="33"/>
        <v>0.56532308214144378</v>
      </c>
      <c r="G37" s="90">
        <f t="shared" si="33"/>
        <v>0.42505494897852919</v>
      </c>
      <c r="H37" s="90">
        <f t="shared" si="33"/>
        <v>0.31959018720190158</v>
      </c>
      <c r="I37" s="90">
        <f t="shared" si="33"/>
        <v>0.24029337383601621</v>
      </c>
      <c r="J37" s="90">
        <f t="shared" si="33"/>
        <v>0.18067170965114002</v>
      </c>
      <c r="K37" s="90">
        <f t="shared" si="33"/>
        <v>0.13584339071514287</v>
      </c>
      <c r="L37" s="90">
        <f t="shared" si="33"/>
        <v>0.10213788775574652</v>
      </c>
      <c r="M37" s="90">
        <f t="shared" si="33"/>
        <v>7.6795404327628949E-2</v>
      </c>
      <c r="N37" s="90">
        <f t="shared" si="33"/>
        <v>5.7740905509495448E-2</v>
      </c>
      <c r="O37" s="90">
        <f t="shared" si="33"/>
        <v>4.3414214668793576E-2</v>
      </c>
      <c r="P37" s="90">
        <f t="shared" si="33"/>
        <v>3.2642266668265842E-2</v>
      </c>
      <c r="Q37" s="90">
        <f t="shared" si="33"/>
        <v>2.4543057645312658E-2</v>
      </c>
      <c r="R37" s="90">
        <f t="shared" si="33"/>
        <v>1.8453426800986963E-2</v>
      </c>
      <c r="S37" s="194">
        <f t="shared" ref="S37" si="34">SUM(E38:R38)</f>
        <v>-123.0144343691419</v>
      </c>
    </row>
    <row r="38" spans="3:19" hidden="1" x14ac:dyDescent="0.2">
      <c r="C38" s="197"/>
      <c r="D38" s="31" t="s">
        <v>135</v>
      </c>
      <c r="E38" s="92">
        <f t="shared" ref="E38:R38" si="35">E14*E37</f>
        <v>-751.87969924812023</v>
      </c>
      <c r="F38" s="92">
        <f t="shared" si="35"/>
        <v>-395.72615749901064</v>
      </c>
      <c r="G38" s="92">
        <f t="shared" si="35"/>
        <v>-59.983785279910819</v>
      </c>
      <c r="H38" s="92">
        <f t="shared" si="35"/>
        <v>15.276206082746048</v>
      </c>
      <c r="I38" s="92">
        <f t="shared" si="35"/>
        <v>138.66311154303503</v>
      </c>
      <c r="J38" s="92">
        <f t="shared" si="35"/>
        <v>111.52098133176155</v>
      </c>
      <c r="K38" s="92">
        <f t="shared" si="35"/>
        <v>225.1546569254717</v>
      </c>
      <c r="L38" s="92">
        <f t="shared" si="35"/>
        <v>167.26688555587367</v>
      </c>
      <c r="M38" s="92">
        <f t="shared" si="35"/>
        <v>125.76457560592003</v>
      </c>
      <c r="N38" s="92">
        <f t="shared" si="35"/>
        <v>94.559831282646627</v>
      </c>
      <c r="O38" s="92">
        <f t="shared" si="35"/>
        <v>71.097617505749355</v>
      </c>
      <c r="P38" s="92">
        <f t="shared" si="35"/>
        <v>53.456855267480712</v>
      </c>
      <c r="Q38" s="92">
        <f t="shared" si="35"/>
        <v>39.796263019138976</v>
      </c>
      <c r="R38" s="92">
        <f t="shared" si="35"/>
        <v>42.018223538076263</v>
      </c>
      <c r="S38" s="195"/>
    </row>
    <row r="39" spans="3:19" hidden="1" x14ac:dyDescent="0.2">
      <c r="C39" s="196">
        <v>0.35</v>
      </c>
      <c r="D39" s="27" t="s">
        <v>145</v>
      </c>
      <c r="E39" s="90">
        <f t="shared" ref="E39:R39" si="36">1/(1+0.35)^E13</f>
        <v>0.7407407407407407</v>
      </c>
      <c r="F39" s="90">
        <f t="shared" si="36"/>
        <v>0.5486968449931412</v>
      </c>
      <c r="G39" s="90">
        <f t="shared" si="36"/>
        <v>0.40644210740232684</v>
      </c>
      <c r="H39" s="90">
        <f t="shared" si="36"/>
        <v>0.30106822770542724</v>
      </c>
      <c r="I39" s="90">
        <f t="shared" si="36"/>
        <v>0.22301350200402015</v>
      </c>
      <c r="J39" s="90">
        <f t="shared" si="36"/>
        <v>0.16519518666964456</v>
      </c>
      <c r="K39" s="90">
        <f t="shared" si="36"/>
        <v>0.12236680494047744</v>
      </c>
      <c r="L39" s="90">
        <f t="shared" si="36"/>
        <v>9.0642077733686988E-2</v>
      </c>
      <c r="M39" s="90">
        <f t="shared" si="36"/>
        <v>6.7142279802731103E-2</v>
      </c>
      <c r="N39" s="90">
        <f t="shared" si="36"/>
        <v>4.9735022076097105E-2</v>
      </c>
      <c r="O39" s="90">
        <f t="shared" si="36"/>
        <v>3.6840757093405264E-2</v>
      </c>
      <c r="P39" s="90">
        <f t="shared" si="36"/>
        <v>2.7289449698818708E-2</v>
      </c>
      <c r="Q39" s="90">
        <f t="shared" si="36"/>
        <v>2.0214407184310154E-2</v>
      </c>
      <c r="R39" s="90">
        <f t="shared" si="36"/>
        <v>1.4973634951340853E-2</v>
      </c>
      <c r="S39" s="194">
        <f t="shared" ref="S39" si="37">SUM(E40:R40)</f>
        <v>-222.57621133850455</v>
      </c>
    </row>
    <row r="40" spans="3:19" hidden="1" x14ac:dyDescent="0.2">
      <c r="C40" s="197"/>
      <c r="D40" s="31" t="s">
        <v>135</v>
      </c>
      <c r="E40" s="92">
        <f t="shared" ref="E40:R40" si="38">E14*E39</f>
        <v>-740.74074074074065</v>
      </c>
      <c r="F40" s="92">
        <f t="shared" si="38"/>
        <v>-384.08779149519881</v>
      </c>
      <c r="G40" s="92">
        <f t="shared" si="38"/>
        <v>-57.357139724462144</v>
      </c>
      <c r="H40" s="92">
        <f t="shared" si="38"/>
        <v>14.390868291865548</v>
      </c>
      <c r="I40" s="92">
        <f t="shared" si="38"/>
        <v>128.69163061104487</v>
      </c>
      <c r="J40" s="92">
        <f t="shared" si="38"/>
        <v>101.96798029007886</v>
      </c>
      <c r="K40" s="92">
        <f t="shared" si="38"/>
        <v>202.81778775099488</v>
      </c>
      <c r="L40" s="92">
        <f t="shared" si="38"/>
        <v>148.44068519494334</v>
      </c>
      <c r="M40" s="92">
        <f t="shared" si="38"/>
        <v>109.95606310736542</v>
      </c>
      <c r="N40" s="92">
        <f t="shared" si="38"/>
        <v>81.448935635085491</v>
      </c>
      <c r="O40" s="92">
        <f t="shared" si="38"/>
        <v>60.332544914878142</v>
      </c>
      <c r="P40" s="92">
        <f t="shared" si="38"/>
        <v>44.690774011020835</v>
      </c>
      <c r="Q40" s="92">
        <f t="shared" si="38"/>
        <v>32.777410081030325</v>
      </c>
      <c r="R40" s="92">
        <f t="shared" si="38"/>
        <v>34.094780733589353</v>
      </c>
      <c r="S40" s="195"/>
    </row>
    <row r="41" spans="3:19" hidden="1" x14ac:dyDescent="0.2">
      <c r="C41" s="196">
        <v>0.4</v>
      </c>
      <c r="D41" s="27" t="s">
        <v>150</v>
      </c>
      <c r="E41" s="90">
        <f t="shared" ref="E41:R41" si="39">1/(1+0.4)^E13</f>
        <v>0.7142857142857143</v>
      </c>
      <c r="F41" s="90">
        <f t="shared" si="39"/>
        <v>0.51020408163265318</v>
      </c>
      <c r="G41" s="90">
        <f t="shared" si="39"/>
        <v>0.36443148688046656</v>
      </c>
      <c r="H41" s="90">
        <f t="shared" si="39"/>
        <v>0.26030820491461898</v>
      </c>
      <c r="I41" s="90">
        <f t="shared" si="39"/>
        <v>0.18593443208187072</v>
      </c>
      <c r="J41" s="90">
        <f t="shared" si="39"/>
        <v>0.13281030862990767</v>
      </c>
      <c r="K41" s="90">
        <f t="shared" si="39"/>
        <v>9.4864506164219778E-2</v>
      </c>
      <c r="L41" s="90">
        <f t="shared" si="39"/>
        <v>6.776036154587127E-2</v>
      </c>
      <c r="M41" s="90">
        <f t="shared" si="39"/>
        <v>4.8400258247050909E-2</v>
      </c>
      <c r="N41" s="90">
        <f t="shared" si="39"/>
        <v>3.4571613033607791E-2</v>
      </c>
      <c r="O41" s="90">
        <f t="shared" si="39"/>
        <v>2.4694009309719853E-2</v>
      </c>
      <c r="P41" s="90">
        <f t="shared" si="39"/>
        <v>1.7638578078371329E-2</v>
      </c>
      <c r="Q41" s="90">
        <f t="shared" si="39"/>
        <v>1.2598984341693806E-2</v>
      </c>
      <c r="R41" s="90">
        <f t="shared" si="39"/>
        <v>8.9992745297812916E-3</v>
      </c>
      <c r="S41" s="194">
        <f t="shared" ref="S41" si="40">SUM(E42:R42)</f>
        <v>-406.81327012342263</v>
      </c>
    </row>
    <row r="42" spans="3:19" hidden="1" x14ac:dyDescent="0.2">
      <c r="C42" s="197"/>
      <c r="D42" s="31" t="s">
        <v>135</v>
      </c>
      <c r="E42" s="92">
        <f t="shared" ref="E42:R42" si="41">E14*E41</f>
        <v>-714.28571428571433</v>
      </c>
      <c r="F42" s="92">
        <f t="shared" si="41"/>
        <v>-357.14285714285722</v>
      </c>
      <c r="G42" s="92">
        <f t="shared" si="41"/>
        <v>-51.428597904363556</v>
      </c>
      <c r="H42" s="92">
        <f t="shared" si="41"/>
        <v>12.44256533068468</v>
      </c>
      <c r="I42" s="92">
        <f t="shared" si="41"/>
        <v>107.2948724464368</v>
      </c>
      <c r="J42" s="92">
        <f t="shared" si="41"/>
        <v>81.978169011519981</v>
      </c>
      <c r="K42" s="92">
        <f t="shared" si="41"/>
        <v>157.23389432024996</v>
      </c>
      <c r="L42" s="92">
        <f t="shared" si="41"/>
        <v>110.96826935585607</v>
      </c>
      <c r="M42" s="92">
        <f t="shared" si="41"/>
        <v>79.263049539897182</v>
      </c>
      <c r="N42" s="92">
        <f t="shared" si="41"/>
        <v>56.616463957069421</v>
      </c>
      <c r="O42" s="92">
        <f t="shared" si="41"/>
        <v>40.440331397906732</v>
      </c>
      <c r="P42" s="92">
        <f t="shared" si="41"/>
        <v>28.885950998504818</v>
      </c>
      <c r="Q42" s="92">
        <f t="shared" si="41"/>
        <v>20.429096564983965</v>
      </c>
      <c r="R42" s="92">
        <f t="shared" si="41"/>
        <v>20.491236286403041</v>
      </c>
      <c r="S42" s="195"/>
    </row>
    <row r="43" spans="3:19" hidden="1" x14ac:dyDescent="0.2">
      <c r="C43" s="196">
        <v>0.5</v>
      </c>
      <c r="D43" s="27" t="s">
        <v>151</v>
      </c>
      <c r="E43" s="90">
        <f t="shared" ref="E43:R43" si="42">1/(1+0.5)^E13</f>
        <v>0.66666666666666663</v>
      </c>
      <c r="F43" s="90">
        <f t="shared" si="42"/>
        <v>0.44444444444444442</v>
      </c>
      <c r="G43" s="90">
        <f t="shared" si="42"/>
        <v>0.29629629629629628</v>
      </c>
      <c r="H43" s="90">
        <f t="shared" si="42"/>
        <v>0.19753086419753085</v>
      </c>
      <c r="I43" s="90">
        <f t="shared" si="42"/>
        <v>0.13168724279835392</v>
      </c>
      <c r="J43" s="90">
        <f t="shared" si="42"/>
        <v>8.77914951989026E-2</v>
      </c>
      <c r="K43" s="90">
        <f t="shared" si="42"/>
        <v>5.8527663465935069E-2</v>
      </c>
      <c r="L43" s="90">
        <f t="shared" si="42"/>
        <v>3.9018442310623382E-2</v>
      </c>
      <c r="M43" s="90">
        <f t="shared" si="42"/>
        <v>2.6012294873748919E-2</v>
      </c>
      <c r="N43" s="90">
        <f t="shared" si="42"/>
        <v>1.7341529915832612E-2</v>
      </c>
      <c r="O43" s="90">
        <f t="shared" si="42"/>
        <v>1.1561019943888409E-2</v>
      </c>
      <c r="P43" s="90">
        <f t="shared" si="42"/>
        <v>7.7073466292589396E-3</v>
      </c>
      <c r="Q43" s="90">
        <f t="shared" si="42"/>
        <v>5.1382310861726264E-3</v>
      </c>
      <c r="R43" s="90">
        <f t="shared" si="42"/>
        <v>3.4254873907817508E-3</v>
      </c>
      <c r="S43" s="194">
        <f t="shared" ref="S43" si="43">SUM(E44:R44)</f>
        <v>-600.37715470134879</v>
      </c>
    </row>
    <row r="44" spans="3:19" hidden="1" x14ac:dyDescent="0.2">
      <c r="C44" s="197"/>
      <c r="D44" s="31" t="s">
        <v>135</v>
      </c>
      <c r="E44" s="92">
        <f t="shared" ref="E44:R44" si="44">E14*E43</f>
        <v>-666.66666666666663</v>
      </c>
      <c r="F44" s="92">
        <f t="shared" si="44"/>
        <v>-311.11111111111109</v>
      </c>
      <c r="G44" s="92">
        <f t="shared" si="44"/>
        <v>-41.8133548591329</v>
      </c>
      <c r="H44" s="92">
        <f t="shared" si="44"/>
        <v>9.4418486862929889</v>
      </c>
      <c r="I44" s="92">
        <f t="shared" si="44"/>
        <v>75.991120959515925</v>
      </c>
      <c r="J44" s="92">
        <f t="shared" si="44"/>
        <v>54.189965413339813</v>
      </c>
      <c r="K44" s="92">
        <f t="shared" si="44"/>
        <v>97.007119146158857</v>
      </c>
      <c r="L44" s="92">
        <f t="shared" si="44"/>
        <v>63.898847606355595</v>
      </c>
      <c r="M44" s="92">
        <f t="shared" si="44"/>
        <v>42.599231737570392</v>
      </c>
      <c r="N44" s="92">
        <f t="shared" si="44"/>
        <v>28.399487825046929</v>
      </c>
      <c r="O44" s="92">
        <f t="shared" si="44"/>
        <v>18.932991883364618</v>
      </c>
      <c r="P44" s="92">
        <f t="shared" si="44"/>
        <v>12.621994588909747</v>
      </c>
      <c r="Q44" s="92">
        <f t="shared" si="44"/>
        <v>8.3315778626097536</v>
      </c>
      <c r="R44" s="92">
        <f t="shared" si="44"/>
        <v>7.7997922263972725</v>
      </c>
      <c r="S44" s="195"/>
    </row>
    <row r="46" spans="3:19" x14ac:dyDescent="0.2">
      <c r="C46" s="115"/>
      <c r="D46" s="142" t="s">
        <v>186</v>
      </c>
      <c r="E46" s="143">
        <f>IRR(E47:R47)</f>
        <v>0.27454713683603038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3:19" x14ac:dyDescent="0.2">
      <c r="C47" s="200" t="s">
        <v>187</v>
      </c>
      <c r="D47" s="201"/>
      <c r="E47" s="115">
        <v>-2000</v>
      </c>
      <c r="F47" s="115">
        <v>-3700</v>
      </c>
      <c r="G47" s="144">
        <v>935.02414529914404</v>
      </c>
      <c r="H47" s="144">
        <v>1338.0262820512817</v>
      </c>
      <c r="I47" s="144">
        <v>2258.27735042735</v>
      </c>
      <c r="J47" s="144">
        <v>2258.27735042735</v>
      </c>
      <c r="K47" s="144">
        <v>2258.27735042735</v>
      </c>
      <c r="L47" s="144">
        <v>2258.27735042735</v>
      </c>
      <c r="M47" s="144">
        <v>2258.27735042735</v>
      </c>
      <c r="N47" s="144">
        <v>2258.27735042735</v>
      </c>
      <c r="O47" s="144">
        <v>2258.27735042735</v>
      </c>
      <c r="P47" s="144">
        <v>2258.27735042735</v>
      </c>
      <c r="Q47" s="144">
        <v>2258.27735042735</v>
      </c>
      <c r="R47" s="144">
        <v>3653.77735042735</v>
      </c>
    </row>
    <row r="48" spans="3:19" x14ac:dyDescent="0.2">
      <c r="D48" s="141"/>
    </row>
    <row r="49" spans="3:4" x14ac:dyDescent="0.2">
      <c r="D49" s="141"/>
    </row>
    <row r="51" spans="3:4" x14ac:dyDescent="0.2">
      <c r="C51" s="196">
        <v>0.15</v>
      </c>
      <c r="D51" s="198">
        <v>2506.2572748357552</v>
      </c>
    </row>
    <row r="52" spans="3:4" x14ac:dyDescent="0.2">
      <c r="C52" s="197"/>
      <c r="D52" s="199"/>
    </row>
    <row r="53" spans="3:4" x14ac:dyDescent="0.2">
      <c r="C53" s="196">
        <v>0.2</v>
      </c>
      <c r="D53" s="198">
        <v>1340.8706442664859</v>
      </c>
    </row>
    <row r="54" spans="3:4" x14ac:dyDescent="0.2">
      <c r="C54" s="197"/>
      <c r="D54" s="199"/>
    </row>
    <row r="55" spans="3:4" x14ac:dyDescent="0.2">
      <c r="C55" s="196">
        <v>0.25</v>
      </c>
      <c r="D55" s="198">
        <v>614.55096287709466</v>
      </c>
    </row>
    <row r="56" spans="3:4" x14ac:dyDescent="0.2">
      <c r="C56" s="197"/>
      <c r="D56" s="199"/>
    </row>
    <row r="57" spans="3:4" x14ac:dyDescent="0.2">
      <c r="C57" s="196">
        <v>0.28000000000000003</v>
      </c>
      <c r="D57" s="198">
        <v>313.28494627778741</v>
      </c>
    </row>
    <row r="58" spans="3:4" x14ac:dyDescent="0.2">
      <c r="C58" s="197"/>
      <c r="D58" s="199"/>
    </row>
    <row r="59" spans="3:4" x14ac:dyDescent="0.2">
      <c r="C59" s="196">
        <v>0.3</v>
      </c>
      <c r="D59" s="198">
        <v>152.62657044681052</v>
      </c>
    </row>
    <row r="60" spans="3:4" x14ac:dyDescent="0.2">
      <c r="C60" s="197"/>
      <c r="D60" s="199"/>
    </row>
    <row r="61" spans="3:4" x14ac:dyDescent="0.2">
      <c r="C61" s="196">
        <v>0.30499999999999999</v>
      </c>
      <c r="D61" s="198">
        <v>116.67175934749793</v>
      </c>
    </row>
    <row r="62" spans="3:4" x14ac:dyDescent="0.2">
      <c r="C62" s="197"/>
      <c r="D62" s="199"/>
    </row>
    <row r="63" spans="3:4" x14ac:dyDescent="0.2">
      <c r="C63" s="196">
        <v>0.31</v>
      </c>
      <c r="D63" s="198">
        <v>82.249752389368439</v>
      </c>
    </row>
    <row r="64" spans="3:4" x14ac:dyDescent="0.2">
      <c r="C64" s="197"/>
      <c r="D64" s="199"/>
    </row>
    <row r="65" spans="1:4" x14ac:dyDescent="0.2">
      <c r="C65" s="196">
        <v>0.315</v>
      </c>
      <c r="D65" s="198">
        <v>49.291589393334149</v>
      </c>
    </row>
    <row r="66" spans="1:4" x14ac:dyDescent="0.2">
      <c r="C66" s="197"/>
      <c r="D66" s="199"/>
    </row>
    <row r="67" spans="1:4" x14ac:dyDescent="0.2">
      <c r="C67" s="196">
        <v>0.32</v>
      </c>
      <c r="D67" s="198">
        <v>17.731746901594391</v>
      </c>
    </row>
    <row r="68" spans="1:4" x14ac:dyDescent="0.2">
      <c r="C68" s="197"/>
      <c r="D68" s="199"/>
    </row>
    <row r="69" spans="1:4" x14ac:dyDescent="0.2">
      <c r="C69" s="196">
        <v>0.32300000000000001</v>
      </c>
      <c r="D69" s="198">
        <v>-0.55900101188323248</v>
      </c>
    </row>
    <row r="70" spans="1:4" x14ac:dyDescent="0.2">
      <c r="C70" s="197"/>
      <c r="D70" s="199"/>
    </row>
    <row r="71" spans="1:4" x14ac:dyDescent="0.2">
      <c r="A71" s="89"/>
      <c r="C71" s="196">
        <v>0.32500000000000001</v>
      </c>
      <c r="D71" s="198">
        <v>-12.492050380654639</v>
      </c>
    </row>
    <row r="72" spans="1:4" x14ac:dyDescent="0.2">
      <c r="C72" s="197"/>
      <c r="D72" s="199"/>
    </row>
    <row r="73" spans="1:4" x14ac:dyDescent="0.2">
      <c r="C73" s="196">
        <v>0.33</v>
      </c>
      <c r="D73" s="198">
        <v>-41.439006883016638</v>
      </c>
    </row>
    <row r="74" spans="1:4" x14ac:dyDescent="0.2">
      <c r="C74" s="197"/>
      <c r="D74" s="199"/>
    </row>
    <row r="75" spans="1:4" x14ac:dyDescent="0.2">
      <c r="C75" s="196">
        <v>0.35</v>
      </c>
      <c r="D75" s="198">
        <v>-145.54410093024819</v>
      </c>
    </row>
    <row r="76" spans="1:4" x14ac:dyDescent="0.2">
      <c r="C76" s="197"/>
      <c r="D76" s="199"/>
    </row>
    <row r="77" spans="1:4" x14ac:dyDescent="0.2">
      <c r="C77" s="196">
        <v>0.4</v>
      </c>
      <c r="D77" s="198">
        <v>-339.73795597514453</v>
      </c>
    </row>
    <row r="78" spans="1:4" x14ac:dyDescent="0.2">
      <c r="C78" s="197"/>
      <c r="D78" s="199"/>
    </row>
    <row r="79" spans="1:4" x14ac:dyDescent="0.2">
      <c r="C79" s="196">
        <v>0.5</v>
      </c>
      <c r="D79" s="198">
        <v>-548.55080617528972</v>
      </c>
    </row>
    <row r="80" spans="1:4" x14ac:dyDescent="0.2">
      <c r="C80" s="197"/>
      <c r="D80" s="199"/>
    </row>
    <row r="83" spans="2:17" ht="14.25" customHeight="1" x14ac:dyDescent="0.2">
      <c r="B83" s="163" t="s">
        <v>154</v>
      </c>
      <c r="C83" s="160" t="s">
        <v>161</v>
      </c>
      <c r="D83" s="208" t="s">
        <v>155</v>
      </c>
      <c r="E83" s="208"/>
      <c r="F83" s="208" t="s">
        <v>156</v>
      </c>
      <c r="G83" s="208"/>
      <c r="H83" s="200" t="s">
        <v>157</v>
      </c>
      <c r="I83" s="209"/>
      <c r="J83" s="209"/>
      <c r="K83" s="209"/>
      <c r="L83" s="209"/>
      <c r="M83" s="201"/>
      <c r="N83" s="95"/>
      <c r="O83" s="95"/>
      <c r="P83" s="95"/>
      <c r="Q83" s="95"/>
    </row>
    <row r="84" spans="2:17" x14ac:dyDescent="0.2">
      <c r="B84" s="193"/>
      <c r="C84" s="204"/>
      <c r="D84" s="93">
        <v>1</v>
      </c>
      <c r="E84" s="93">
        <v>2</v>
      </c>
      <c r="F84" s="93">
        <v>3</v>
      </c>
      <c r="G84" s="93">
        <v>4</v>
      </c>
      <c r="H84" s="93">
        <v>5</v>
      </c>
      <c r="I84" s="93">
        <v>6</v>
      </c>
      <c r="J84" s="93">
        <v>7</v>
      </c>
      <c r="K84" s="93">
        <v>8</v>
      </c>
      <c r="L84" s="93" t="s">
        <v>164</v>
      </c>
      <c r="M84" s="107">
        <v>14</v>
      </c>
      <c r="N84" s="25"/>
      <c r="O84" s="25"/>
      <c r="P84" s="25"/>
      <c r="Q84" s="25"/>
    </row>
    <row r="85" spans="2:17" x14ac:dyDescent="0.2">
      <c r="B85" s="3">
        <v>1</v>
      </c>
      <c r="C85" s="27" t="s">
        <v>158</v>
      </c>
      <c r="D85" s="97"/>
      <c r="E85" s="93"/>
      <c r="F85" s="97"/>
      <c r="G85" s="93"/>
      <c r="H85" s="97"/>
      <c r="I85" s="98"/>
      <c r="J85" s="97"/>
      <c r="K85" s="93"/>
      <c r="L85" s="99"/>
      <c r="M85" s="100"/>
    </row>
    <row r="86" spans="2:17" ht="14.25" customHeight="1" x14ac:dyDescent="0.2">
      <c r="B86" s="4">
        <v>1.1000000000000001</v>
      </c>
      <c r="C86" s="28" t="s">
        <v>162</v>
      </c>
      <c r="D86" s="96"/>
      <c r="E86" s="100">
        <v>1000</v>
      </c>
      <c r="F86" s="96">
        <v>4000</v>
      </c>
      <c r="G86" s="100">
        <v>3100</v>
      </c>
      <c r="H86" s="96">
        <v>2000</v>
      </c>
      <c r="I86" s="100">
        <v>1000</v>
      </c>
      <c r="J86" s="96"/>
      <c r="K86" s="100"/>
      <c r="L86" s="101"/>
      <c r="M86" s="100"/>
    </row>
    <row r="87" spans="2:17" x14ac:dyDescent="0.2">
      <c r="B87" s="4">
        <v>1.2</v>
      </c>
      <c r="C87" s="28" t="s">
        <v>163</v>
      </c>
      <c r="D87" s="96">
        <v>1000</v>
      </c>
      <c r="E87" s="100">
        <v>3000</v>
      </c>
      <c r="F87" s="96"/>
      <c r="G87" s="100"/>
      <c r="H87" s="96"/>
      <c r="I87" s="102"/>
      <c r="J87" s="96"/>
      <c r="K87" s="100"/>
      <c r="L87" s="101"/>
      <c r="M87" s="100"/>
    </row>
    <row r="88" spans="2:17" x14ac:dyDescent="0.2">
      <c r="B88" s="4">
        <v>1.3</v>
      </c>
      <c r="C88" s="28" t="s">
        <v>159</v>
      </c>
      <c r="D88" s="103"/>
      <c r="E88" s="104"/>
      <c r="F88" s="96">
        <v>240</v>
      </c>
      <c r="G88" s="100">
        <v>186</v>
      </c>
      <c r="H88" s="96">
        <v>120</v>
      </c>
      <c r="I88" s="100">
        <v>60</v>
      </c>
      <c r="J88" s="96"/>
      <c r="K88" s="100"/>
      <c r="L88" s="101"/>
      <c r="M88" s="100"/>
    </row>
    <row r="89" spans="2:17" x14ac:dyDescent="0.2">
      <c r="B89" s="9">
        <v>1.4</v>
      </c>
      <c r="C89" s="29" t="s">
        <v>160</v>
      </c>
      <c r="D89" s="105"/>
      <c r="E89" s="94"/>
      <c r="F89" s="105">
        <v>900</v>
      </c>
      <c r="G89" s="94">
        <v>1100</v>
      </c>
      <c r="H89" s="105">
        <v>1000</v>
      </c>
      <c r="I89" s="94">
        <v>1000</v>
      </c>
      <c r="J89" s="105"/>
      <c r="K89" s="94"/>
      <c r="L89" s="106"/>
      <c r="M89" s="94"/>
    </row>
    <row r="90" spans="2:17" ht="14.25" customHeight="1" x14ac:dyDescent="0.2">
      <c r="B90" s="2"/>
    </row>
    <row r="91" spans="2:17" ht="14.25" customHeight="1" x14ac:dyDescent="0.2">
      <c r="B91" s="2"/>
    </row>
    <row r="92" spans="2:17" x14ac:dyDescent="0.2">
      <c r="B92" s="2"/>
    </row>
    <row r="93" spans="2:17" x14ac:dyDescent="0.2">
      <c r="B93" s="2"/>
    </row>
    <row r="94" spans="2:17" ht="14.25" customHeight="1" x14ac:dyDescent="0.2">
      <c r="B94" s="158"/>
      <c r="C94" s="160" t="s">
        <v>128</v>
      </c>
      <c r="D94" s="163" t="s">
        <v>13</v>
      </c>
      <c r="E94" s="163"/>
      <c r="F94" s="161" t="s">
        <v>18</v>
      </c>
      <c r="G94" s="210"/>
      <c r="H94" s="210"/>
      <c r="I94" s="210"/>
      <c r="J94" s="210"/>
      <c r="K94" s="210"/>
      <c r="L94" s="210"/>
      <c r="M94" s="210"/>
      <c r="N94" s="210"/>
      <c r="O94" s="162"/>
      <c r="P94" s="117">
        <f xml:space="preserve"> P95 / 6850</f>
        <v>0.23868277289080198</v>
      </c>
    </row>
    <row r="95" spans="2:17" x14ac:dyDescent="0.2">
      <c r="B95" s="159"/>
      <c r="C95" s="160"/>
      <c r="D95" s="88">
        <v>3</v>
      </c>
      <c r="E95" s="88">
        <v>4</v>
      </c>
      <c r="F95" s="88">
        <v>5</v>
      </c>
      <c r="G95" s="88">
        <v>6</v>
      </c>
      <c r="H95" s="88">
        <v>7</v>
      </c>
      <c r="I95" s="88">
        <v>8</v>
      </c>
      <c r="J95" s="88">
        <v>9</v>
      </c>
      <c r="K95" s="88">
        <v>10</v>
      </c>
      <c r="L95" s="88">
        <v>11</v>
      </c>
      <c r="M95" s="88">
        <v>12</v>
      </c>
      <c r="N95" s="88">
        <v>13</v>
      </c>
      <c r="O95" s="88">
        <v>14</v>
      </c>
      <c r="P95">
        <f>P96 / 12</f>
        <v>1634.9769943019935</v>
      </c>
    </row>
    <row r="96" spans="2:17" x14ac:dyDescent="0.2">
      <c r="B96" s="115"/>
      <c r="C96" s="115" t="s">
        <v>165</v>
      </c>
      <c r="D96" s="36">
        <v>688.31581196581101</v>
      </c>
      <c r="E96" s="36">
        <v>1283.7179487179483</v>
      </c>
      <c r="F96" s="36">
        <v>1610.9690170940166</v>
      </c>
      <c r="G96" s="36">
        <v>1670.9690170940166</v>
      </c>
      <c r="H96" s="36">
        <v>1730.9690170940166</v>
      </c>
      <c r="I96" s="36">
        <v>1790.9690170940166</v>
      </c>
      <c r="J96" s="36">
        <v>1790.9690170940166</v>
      </c>
      <c r="K96" s="36">
        <v>1790.9690170940166</v>
      </c>
      <c r="L96" s="36">
        <v>1790.9690170940166</v>
      </c>
      <c r="M96" s="36">
        <v>1790.9690170940166</v>
      </c>
      <c r="N96" s="36">
        <v>1839.9690170940166</v>
      </c>
      <c r="O96" s="36">
        <v>1839.9690170940166</v>
      </c>
      <c r="P96" s="114">
        <f>SUM(D96:O96)</f>
        <v>19619.723931623921</v>
      </c>
    </row>
    <row r="98" spans="3:17" x14ac:dyDescent="0.2">
      <c r="C98" s="160" t="s">
        <v>128</v>
      </c>
      <c r="D98" s="163" t="s">
        <v>13</v>
      </c>
      <c r="E98" s="163"/>
      <c r="F98" s="163" t="s">
        <v>18</v>
      </c>
      <c r="G98" s="163"/>
      <c r="H98" s="163"/>
      <c r="I98" s="163"/>
      <c r="J98" s="163"/>
      <c r="K98" s="163"/>
      <c r="L98" s="163"/>
      <c r="M98" s="163"/>
      <c r="N98" s="163"/>
      <c r="O98" s="163"/>
      <c r="P98" s="115"/>
      <c r="Q98">
        <f>P100 / 12</f>
        <v>1095.4345861823356</v>
      </c>
    </row>
    <row r="99" spans="3:17" x14ac:dyDescent="0.2">
      <c r="C99" s="160"/>
      <c r="D99" s="88">
        <v>3</v>
      </c>
      <c r="E99" s="88">
        <v>4</v>
      </c>
      <c r="F99" s="88">
        <v>5</v>
      </c>
      <c r="G99" s="88">
        <v>6</v>
      </c>
      <c r="H99" s="88">
        <v>7</v>
      </c>
      <c r="I99" s="88">
        <v>8</v>
      </c>
      <c r="J99" s="88">
        <v>9</v>
      </c>
      <c r="K99" s="88">
        <v>10</v>
      </c>
      <c r="L99" s="88">
        <v>11</v>
      </c>
      <c r="M99" s="88">
        <v>12</v>
      </c>
      <c r="N99" s="88">
        <v>13</v>
      </c>
      <c r="O99" s="88">
        <v>14</v>
      </c>
      <c r="P99" s="115" t="s">
        <v>167</v>
      </c>
    </row>
    <row r="100" spans="3:17" ht="15.75" x14ac:dyDescent="0.25">
      <c r="C100" s="115" t="s">
        <v>166</v>
      </c>
      <c r="D100" s="36">
        <v>461.17159401709335</v>
      </c>
      <c r="E100" s="36">
        <v>860.09102564102534</v>
      </c>
      <c r="F100" s="36">
        <v>1079.349241452991</v>
      </c>
      <c r="G100" s="36">
        <v>1119.5492414529913</v>
      </c>
      <c r="H100" s="36">
        <v>1159.7492414529911</v>
      </c>
      <c r="I100" s="36">
        <v>1199.9492414529911</v>
      </c>
      <c r="J100" s="36">
        <v>1199.9492414529911</v>
      </c>
      <c r="K100" s="36">
        <v>1199.9492414529911</v>
      </c>
      <c r="L100" s="36">
        <v>1199.9492414529911</v>
      </c>
      <c r="M100" s="36">
        <v>1199.9492414529911</v>
      </c>
      <c r="N100" s="36">
        <v>1232.7792414529911</v>
      </c>
      <c r="O100" s="116">
        <v>1232.7792414529911</v>
      </c>
      <c r="P100" s="116">
        <f>SUM(D100:O100)</f>
        <v>13145.215034188028</v>
      </c>
      <c r="Q100" s="118">
        <f>Q98 / 2110</f>
        <v>0.51916331098688895</v>
      </c>
    </row>
    <row r="102" spans="3:17" x14ac:dyDescent="0.2">
      <c r="C102" s="160" t="s">
        <v>128</v>
      </c>
      <c r="D102" s="163" t="s">
        <v>13</v>
      </c>
      <c r="E102" s="163"/>
      <c r="F102" s="163" t="s">
        <v>18</v>
      </c>
      <c r="G102" s="163"/>
      <c r="H102" s="163"/>
      <c r="I102" s="163"/>
      <c r="J102" s="163"/>
      <c r="K102" s="163"/>
      <c r="L102" s="163"/>
      <c r="M102" s="163"/>
      <c r="N102" s="163"/>
      <c r="O102" s="163"/>
    </row>
    <row r="103" spans="3:17" x14ac:dyDescent="0.2">
      <c r="C103" s="160"/>
      <c r="D103" s="88">
        <v>3</v>
      </c>
      <c r="E103" s="88">
        <v>4</v>
      </c>
      <c r="F103" s="88">
        <v>5</v>
      </c>
      <c r="G103" s="88">
        <v>6</v>
      </c>
      <c r="H103" s="88">
        <v>7</v>
      </c>
      <c r="I103" s="88">
        <v>8</v>
      </c>
      <c r="J103" s="88">
        <v>9</v>
      </c>
      <c r="K103" s="88">
        <v>10</v>
      </c>
      <c r="L103" s="88">
        <v>11</v>
      </c>
      <c r="M103" s="88">
        <v>12</v>
      </c>
      <c r="N103" s="88">
        <v>13</v>
      </c>
      <c r="O103" s="88">
        <v>14</v>
      </c>
    </row>
    <row r="104" spans="3:17" x14ac:dyDescent="0.2">
      <c r="C104" s="115" t="s">
        <v>168</v>
      </c>
      <c r="D104" s="48">
        <v>70</v>
      </c>
      <c r="E104" s="48">
        <v>90</v>
      </c>
      <c r="F104" s="48">
        <v>100</v>
      </c>
      <c r="G104" s="48">
        <v>100</v>
      </c>
      <c r="H104" s="48">
        <v>100</v>
      </c>
      <c r="I104" s="48">
        <v>100</v>
      </c>
      <c r="J104" s="48">
        <v>100</v>
      </c>
      <c r="K104" s="48">
        <v>100</v>
      </c>
      <c r="L104" s="48">
        <v>100</v>
      </c>
      <c r="M104" s="48">
        <v>100</v>
      </c>
      <c r="N104" s="48">
        <v>100</v>
      </c>
      <c r="O104" s="48">
        <v>100</v>
      </c>
    </row>
    <row r="107" spans="3:17" x14ac:dyDescent="0.2">
      <c r="C107" s="158" t="s">
        <v>0</v>
      </c>
      <c r="D107" s="160" t="s">
        <v>128</v>
      </c>
      <c r="E107" s="160"/>
      <c r="F107" s="161" t="s">
        <v>13</v>
      </c>
      <c r="G107" s="162"/>
      <c r="H107" s="163" t="s">
        <v>18</v>
      </c>
      <c r="I107" s="163"/>
      <c r="J107" s="163"/>
      <c r="K107" s="163"/>
      <c r="L107" s="163"/>
      <c r="M107" s="163"/>
      <c r="N107" s="163"/>
      <c r="O107" s="163"/>
      <c r="P107" s="163"/>
      <c r="Q107" s="163"/>
    </row>
    <row r="108" spans="3:17" x14ac:dyDescent="0.2">
      <c r="C108" s="207"/>
      <c r="D108" s="204"/>
      <c r="E108" s="204"/>
      <c r="F108" s="110">
        <v>3</v>
      </c>
      <c r="G108" s="110">
        <v>4</v>
      </c>
      <c r="H108" s="110">
        <v>5</v>
      </c>
      <c r="I108" s="110">
        <v>6</v>
      </c>
      <c r="J108" s="110">
        <v>7</v>
      </c>
      <c r="K108" s="110">
        <v>8</v>
      </c>
      <c r="L108" s="110">
        <v>9</v>
      </c>
      <c r="M108" s="110">
        <v>10</v>
      </c>
      <c r="N108" s="110">
        <v>11</v>
      </c>
      <c r="O108" s="110">
        <v>12</v>
      </c>
      <c r="P108" s="110">
        <v>13</v>
      </c>
      <c r="Q108" s="110">
        <v>14</v>
      </c>
    </row>
    <row r="109" spans="3:17" x14ac:dyDescent="0.2">
      <c r="C109" s="3">
        <v>1</v>
      </c>
      <c r="D109" s="184" t="s">
        <v>170</v>
      </c>
      <c r="E109" s="181"/>
      <c r="F109" s="3">
        <f t="shared" ref="F109:Q109" si="45">SUM(F110:F111)</f>
        <v>3605</v>
      </c>
      <c r="G109" s="3">
        <f t="shared" si="45"/>
        <v>4635</v>
      </c>
      <c r="H109" s="3">
        <f t="shared" si="45"/>
        <v>5150</v>
      </c>
      <c r="I109" s="3">
        <f t="shared" si="45"/>
        <v>5150</v>
      </c>
      <c r="J109" s="3">
        <f t="shared" si="45"/>
        <v>5150</v>
      </c>
      <c r="K109" s="3">
        <f t="shared" si="45"/>
        <v>5150</v>
      </c>
      <c r="L109" s="3">
        <f t="shared" si="45"/>
        <v>5150</v>
      </c>
      <c r="M109" s="3">
        <f t="shared" si="45"/>
        <v>5150</v>
      </c>
      <c r="N109" s="3">
        <f t="shared" si="45"/>
        <v>5150</v>
      </c>
      <c r="O109" s="3">
        <f t="shared" si="45"/>
        <v>5150</v>
      </c>
      <c r="P109" s="3">
        <f t="shared" si="45"/>
        <v>5150</v>
      </c>
      <c r="Q109" s="110">
        <f t="shared" si="45"/>
        <v>5150</v>
      </c>
    </row>
    <row r="110" spans="3:17" x14ac:dyDescent="0.2">
      <c r="C110" s="108">
        <v>1.1000000000000001</v>
      </c>
      <c r="D110" s="176" t="s">
        <v>31</v>
      </c>
      <c r="E110" s="171"/>
      <c r="F110" s="108">
        <f>5000*0.7</f>
        <v>3500</v>
      </c>
      <c r="G110" s="2">
        <f>5000*0.9</f>
        <v>4500</v>
      </c>
      <c r="H110" s="108">
        <v>5000</v>
      </c>
      <c r="I110" s="108">
        <v>5000</v>
      </c>
      <c r="J110" s="108">
        <v>5000</v>
      </c>
      <c r="K110" s="108">
        <v>5000</v>
      </c>
      <c r="L110" s="108">
        <v>5000</v>
      </c>
      <c r="M110" s="108">
        <v>5000</v>
      </c>
      <c r="N110" s="108">
        <v>5000</v>
      </c>
      <c r="O110" s="108">
        <v>5000</v>
      </c>
      <c r="P110" s="108">
        <v>5000</v>
      </c>
      <c r="Q110" s="108">
        <v>5000</v>
      </c>
    </row>
    <row r="111" spans="3:17" x14ac:dyDescent="0.2">
      <c r="C111" s="108">
        <v>1.2</v>
      </c>
      <c r="D111" s="176" t="s">
        <v>115</v>
      </c>
      <c r="E111" s="171"/>
      <c r="F111" s="108">
        <f>150*0.7</f>
        <v>105</v>
      </c>
      <c r="G111" s="2">
        <f>150*0.9</f>
        <v>135</v>
      </c>
      <c r="H111" s="108">
        <v>150</v>
      </c>
      <c r="I111" s="108">
        <v>150</v>
      </c>
      <c r="J111" s="108">
        <v>150</v>
      </c>
      <c r="K111" s="108">
        <v>150</v>
      </c>
      <c r="L111" s="108">
        <v>150</v>
      </c>
      <c r="M111" s="108">
        <v>150</v>
      </c>
      <c r="N111" s="108">
        <v>150</v>
      </c>
      <c r="O111" s="108">
        <v>150</v>
      </c>
      <c r="P111" s="108">
        <v>150</v>
      </c>
      <c r="Q111" s="108">
        <v>150</v>
      </c>
    </row>
    <row r="112" spans="3:17" x14ac:dyDescent="0.2">
      <c r="C112" s="9"/>
      <c r="D112" s="166" t="s">
        <v>171</v>
      </c>
      <c r="E112" s="167"/>
      <c r="F112" s="113">
        <f>F109/70</f>
        <v>51.5</v>
      </c>
      <c r="G112" s="113">
        <f>G109/90</f>
        <v>51.5</v>
      </c>
      <c r="H112" s="109">
        <f t="shared" ref="H112:Q112" si="46">H109/100</f>
        <v>51.5</v>
      </c>
      <c r="I112" s="109">
        <f t="shared" si="46"/>
        <v>51.5</v>
      </c>
      <c r="J112" s="109">
        <f t="shared" si="46"/>
        <v>51.5</v>
      </c>
      <c r="K112" s="109">
        <f t="shared" si="46"/>
        <v>51.5</v>
      </c>
      <c r="L112" s="109">
        <f t="shared" si="46"/>
        <v>51.5</v>
      </c>
      <c r="M112" s="109">
        <f t="shared" si="46"/>
        <v>51.5</v>
      </c>
      <c r="N112" s="109">
        <f t="shared" si="46"/>
        <v>51.5</v>
      </c>
      <c r="O112" s="109">
        <f t="shared" si="46"/>
        <v>51.5</v>
      </c>
      <c r="P112" s="109">
        <f t="shared" si="46"/>
        <v>51.5</v>
      </c>
      <c r="Q112" s="109">
        <f t="shared" si="46"/>
        <v>51.5</v>
      </c>
    </row>
    <row r="113" spans="3:17" x14ac:dyDescent="0.2">
      <c r="C113" s="108">
        <v>2</v>
      </c>
      <c r="D113" s="176" t="s">
        <v>169</v>
      </c>
      <c r="E113" s="171"/>
      <c r="F113" s="34">
        <f>SUM(F114:F117)</f>
        <v>973.19166666666661</v>
      </c>
      <c r="G113" s="34">
        <f t="shared" ref="G113:Q113" si="47">SUM(G114:G117)</f>
        <v>973.19166666666661</v>
      </c>
      <c r="H113" s="34">
        <f t="shared" si="47"/>
        <v>973.19166666666661</v>
      </c>
      <c r="I113" s="34">
        <f t="shared" si="47"/>
        <v>973.19166666666661</v>
      </c>
      <c r="J113" s="34">
        <f t="shared" si="47"/>
        <v>973.19166666666661</v>
      </c>
      <c r="K113" s="34">
        <f t="shared" si="47"/>
        <v>913.19166666666661</v>
      </c>
      <c r="L113" s="34">
        <f t="shared" si="47"/>
        <v>913.19166666666661</v>
      </c>
      <c r="M113" s="34">
        <f t="shared" si="47"/>
        <v>913.19166666666661</v>
      </c>
      <c r="N113" s="34">
        <f t="shared" si="47"/>
        <v>913.19166666666661</v>
      </c>
      <c r="O113" s="34">
        <f t="shared" si="47"/>
        <v>913.19166666666661</v>
      </c>
      <c r="P113" s="34">
        <f t="shared" si="47"/>
        <v>864.19166666666661</v>
      </c>
      <c r="Q113" s="34">
        <f t="shared" si="47"/>
        <v>864.19166666666661</v>
      </c>
    </row>
    <row r="114" spans="3:17" x14ac:dyDescent="0.2">
      <c r="C114" s="121">
        <v>2.1</v>
      </c>
      <c r="D114" s="120" t="s">
        <v>183</v>
      </c>
      <c r="E114" s="119"/>
      <c r="F114" s="34">
        <v>388.70833333333331</v>
      </c>
      <c r="G114" s="34">
        <v>388.70833333333331</v>
      </c>
      <c r="H114" s="34">
        <v>388.70833333333331</v>
      </c>
      <c r="I114" s="34">
        <v>388.70833333333331</v>
      </c>
      <c r="J114" s="34">
        <v>388.70833333333331</v>
      </c>
      <c r="K114" s="34">
        <v>388.70833333333331</v>
      </c>
      <c r="L114" s="34">
        <v>388.70833333333331</v>
      </c>
      <c r="M114" s="34">
        <v>388.70833333333331</v>
      </c>
      <c r="N114" s="34">
        <v>388.70833333333331</v>
      </c>
      <c r="O114" s="34">
        <v>388.70833333333331</v>
      </c>
      <c r="P114" s="34">
        <v>388.70833333333331</v>
      </c>
      <c r="Q114" s="34">
        <v>388.70833333333331</v>
      </c>
    </row>
    <row r="115" spans="3:17" x14ac:dyDescent="0.2">
      <c r="C115" s="121">
        <v>2.2000000000000002</v>
      </c>
      <c r="D115" s="176" t="s">
        <v>184</v>
      </c>
      <c r="E115" s="171"/>
      <c r="F115" s="38">
        <v>109</v>
      </c>
      <c r="G115" s="38">
        <v>109</v>
      </c>
      <c r="H115" s="38">
        <v>109</v>
      </c>
      <c r="I115" s="38">
        <v>109</v>
      </c>
      <c r="J115" s="38">
        <v>109</v>
      </c>
      <c r="K115" s="38">
        <v>49</v>
      </c>
      <c r="L115" s="38">
        <v>49</v>
      </c>
      <c r="M115" s="38">
        <v>49</v>
      </c>
      <c r="N115" s="38">
        <v>49</v>
      </c>
      <c r="O115" s="38">
        <v>49</v>
      </c>
      <c r="P115" s="38"/>
      <c r="Q115" s="38"/>
    </row>
    <row r="116" spans="3:17" x14ac:dyDescent="0.2">
      <c r="C116" s="121">
        <v>2.2999999999999998</v>
      </c>
      <c r="D116" s="176" t="s">
        <v>116</v>
      </c>
      <c r="E116" s="171"/>
      <c r="F116" s="34">
        <v>155.48333333333335</v>
      </c>
      <c r="G116" s="34">
        <v>155.48333333333335</v>
      </c>
      <c r="H116" s="34">
        <v>155.48333333333335</v>
      </c>
      <c r="I116" s="34">
        <v>155.48333333333335</v>
      </c>
      <c r="J116" s="34">
        <v>155.48333333333335</v>
      </c>
      <c r="K116" s="34">
        <v>155.48333333333335</v>
      </c>
      <c r="L116" s="34">
        <v>155.48333333333335</v>
      </c>
      <c r="M116" s="34">
        <v>155.48333333333335</v>
      </c>
      <c r="N116" s="34">
        <v>155.48333333333335</v>
      </c>
      <c r="O116" s="34">
        <v>155.48333333333335</v>
      </c>
      <c r="P116" s="34">
        <v>155.48333333333335</v>
      </c>
      <c r="Q116" s="34">
        <v>155.48333333333335</v>
      </c>
    </row>
    <row r="117" spans="3:17" x14ac:dyDescent="0.2">
      <c r="C117" s="121">
        <v>2.4</v>
      </c>
      <c r="D117" s="176" t="s">
        <v>117</v>
      </c>
      <c r="E117" s="171"/>
      <c r="F117" s="121">
        <v>320</v>
      </c>
      <c r="G117" s="2">
        <v>320</v>
      </c>
      <c r="H117" s="121">
        <v>320</v>
      </c>
      <c r="I117" s="121">
        <v>320</v>
      </c>
      <c r="J117" s="121">
        <v>320</v>
      </c>
      <c r="K117" s="121">
        <v>320</v>
      </c>
      <c r="L117" s="121">
        <v>320</v>
      </c>
      <c r="M117" s="121">
        <v>320</v>
      </c>
      <c r="N117" s="121">
        <v>320</v>
      </c>
      <c r="O117" s="121">
        <v>320</v>
      </c>
      <c r="P117" s="121">
        <v>320</v>
      </c>
      <c r="Q117" s="121">
        <v>320</v>
      </c>
    </row>
    <row r="118" spans="3:17" x14ac:dyDescent="0.2">
      <c r="C118" s="145">
        <v>3</v>
      </c>
      <c r="D118" s="211" t="s">
        <v>176</v>
      </c>
      <c r="E118" s="212"/>
      <c r="F118" s="48">
        <v>70</v>
      </c>
      <c r="G118" s="48">
        <v>90</v>
      </c>
      <c r="H118" s="48">
        <v>100</v>
      </c>
      <c r="I118" s="48">
        <v>100</v>
      </c>
      <c r="J118" s="48">
        <v>100</v>
      </c>
      <c r="K118" s="48">
        <v>100</v>
      </c>
      <c r="L118" s="48">
        <v>100</v>
      </c>
      <c r="M118" s="48">
        <v>100</v>
      </c>
      <c r="N118" s="48">
        <v>100</v>
      </c>
      <c r="O118" s="48">
        <v>100</v>
      </c>
      <c r="P118" s="48">
        <v>100</v>
      </c>
      <c r="Q118" s="48">
        <v>100</v>
      </c>
    </row>
    <row r="119" spans="3:17" x14ac:dyDescent="0.2">
      <c r="C119" s="110">
        <v>4</v>
      </c>
      <c r="D119" s="164" t="s">
        <v>174</v>
      </c>
      <c r="E119" s="165"/>
      <c r="F119" s="112">
        <f>81.3675213675214/70</f>
        <v>1.1623931623931629</v>
      </c>
      <c r="G119" s="112">
        <f>104.615384615385/90</f>
        <v>1.1623931623931667</v>
      </c>
      <c r="H119" s="112">
        <f t="shared" ref="H119:Q119" si="48">116.239316239316/100</f>
        <v>1.16239316239316</v>
      </c>
      <c r="I119" s="112">
        <f t="shared" si="48"/>
        <v>1.16239316239316</v>
      </c>
      <c r="J119" s="112">
        <f t="shared" si="48"/>
        <v>1.16239316239316</v>
      </c>
      <c r="K119" s="112">
        <f t="shared" si="48"/>
        <v>1.16239316239316</v>
      </c>
      <c r="L119" s="112">
        <f t="shared" si="48"/>
        <v>1.16239316239316</v>
      </c>
      <c r="M119" s="112">
        <f t="shared" si="48"/>
        <v>1.16239316239316</v>
      </c>
      <c r="N119" s="112">
        <f t="shared" si="48"/>
        <v>1.16239316239316</v>
      </c>
      <c r="O119" s="112">
        <f t="shared" si="48"/>
        <v>1.16239316239316</v>
      </c>
      <c r="P119" s="112">
        <f t="shared" si="48"/>
        <v>1.16239316239316</v>
      </c>
      <c r="Q119" s="112">
        <f t="shared" si="48"/>
        <v>1.16239316239316</v>
      </c>
    </row>
    <row r="120" spans="3:17" x14ac:dyDescent="0.2">
      <c r="C120" s="110"/>
      <c r="D120" s="164" t="s">
        <v>175</v>
      </c>
      <c r="E120" s="165"/>
      <c r="F120" s="112">
        <f t="shared" ref="F120:Q120" si="49">F113/F118+F112+F119</f>
        <v>66.565131257631251</v>
      </c>
      <c r="G120" s="112">
        <f t="shared" si="49"/>
        <v>63.475633903133904</v>
      </c>
      <c r="H120" s="112">
        <f t="shared" si="49"/>
        <v>62.394309829059821</v>
      </c>
      <c r="I120" s="112">
        <f t="shared" si="49"/>
        <v>62.394309829059821</v>
      </c>
      <c r="J120" s="112">
        <f t="shared" si="49"/>
        <v>62.394309829059821</v>
      </c>
      <c r="K120" s="112">
        <f t="shared" si="49"/>
        <v>61.794309829059827</v>
      </c>
      <c r="L120" s="112">
        <f t="shared" si="49"/>
        <v>61.794309829059827</v>
      </c>
      <c r="M120" s="112">
        <f t="shared" si="49"/>
        <v>61.794309829059827</v>
      </c>
      <c r="N120" s="112">
        <f t="shared" si="49"/>
        <v>61.794309829059827</v>
      </c>
      <c r="O120" s="112">
        <f t="shared" si="49"/>
        <v>61.794309829059827</v>
      </c>
      <c r="P120" s="112">
        <f t="shared" si="49"/>
        <v>61.304309829059825</v>
      </c>
      <c r="Q120" s="112">
        <f t="shared" si="49"/>
        <v>61.304309829059825</v>
      </c>
    </row>
    <row r="121" spans="3:17" x14ac:dyDescent="0.2">
      <c r="C121" s="52"/>
      <c r="D121" s="176" t="s">
        <v>172</v>
      </c>
      <c r="E121" s="171"/>
      <c r="F121" s="125">
        <f t="shared" ref="F121:Q121" si="50">F113/(80-F112-F119)</f>
        <v>35.599007347193997</v>
      </c>
      <c r="G121" s="38">
        <f t="shared" si="50"/>
        <v>35.599007347193997</v>
      </c>
      <c r="H121" s="125">
        <f t="shared" si="50"/>
        <v>35.599007347193989</v>
      </c>
      <c r="I121" s="38">
        <f t="shared" si="50"/>
        <v>35.599007347193989</v>
      </c>
      <c r="J121" s="125">
        <f t="shared" si="50"/>
        <v>35.599007347193989</v>
      </c>
      <c r="K121" s="38">
        <f t="shared" si="50"/>
        <v>33.404228544630286</v>
      </c>
      <c r="L121" s="125">
        <f t="shared" si="50"/>
        <v>33.404228544630286</v>
      </c>
      <c r="M121" s="38">
        <f t="shared" si="50"/>
        <v>33.404228544630286</v>
      </c>
      <c r="N121" s="125">
        <f t="shared" si="50"/>
        <v>33.404228544630286</v>
      </c>
      <c r="O121" s="38">
        <f t="shared" si="50"/>
        <v>33.404228544630286</v>
      </c>
      <c r="P121" s="125">
        <f t="shared" si="50"/>
        <v>31.611825855869931</v>
      </c>
      <c r="Q121" s="38">
        <f t="shared" si="50"/>
        <v>31.611825855869931</v>
      </c>
    </row>
    <row r="122" spans="3:17" x14ac:dyDescent="0.2">
      <c r="C122" s="126"/>
      <c r="D122" s="166" t="s">
        <v>173</v>
      </c>
      <c r="E122" s="167"/>
      <c r="F122" s="127">
        <f>F121/100</f>
        <v>0.35599007347193995</v>
      </c>
      <c r="G122" s="65">
        <f t="shared" ref="G122:Q122" si="51">G121/100</f>
        <v>0.35599007347193995</v>
      </c>
      <c r="H122" s="127">
        <f t="shared" si="51"/>
        <v>0.35599007347193989</v>
      </c>
      <c r="I122" s="65">
        <f t="shared" si="51"/>
        <v>0.35599007347193989</v>
      </c>
      <c r="J122" s="127">
        <f t="shared" si="51"/>
        <v>0.35599007347193989</v>
      </c>
      <c r="K122" s="65">
        <f t="shared" si="51"/>
        <v>0.33404228544630288</v>
      </c>
      <c r="L122" s="127">
        <f t="shared" si="51"/>
        <v>0.33404228544630288</v>
      </c>
      <c r="M122" s="65">
        <f t="shared" si="51"/>
        <v>0.33404228544630288</v>
      </c>
      <c r="N122" s="127">
        <f t="shared" si="51"/>
        <v>0.33404228544630288</v>
      </c>
      <c r="O122" s="65">
        <f t="shared" si="51"/>
        <v>0.33404228544630288</v>
      </c>
      <c r="P122" s="127">
        <f t="shared" si="51"/>
        <v>0.31611825855869929</v>
      </c>
      <c r="Q122" s="65">
        <f t="shared" si="51"/>
        <v>0.31611825855869929</v>
      </c>
    </row>
    <row r="123" spans="3:17" x14ac:dyDescent="0.2">
      <c r="D123" s="18"/>
      <c r="E123" s="18"/>
    </row>
    <row r="124" spans="3:17" x14ac:dyDescent="0.2">
      <c r="C124" s="132"/>
      <c r="D124" s="132"/>
    </row>
    <row r="125" spans="3:17" x14ac:dyDescent="0.2">
      <c r="C125" s="137" t="s">
        <v>177</v>
      </c>
      <c r="D125" s="111" t="s">
        <v>180</v>
      </c>
      <c r="F125" s="137" t="s">
        <v>179</v>
      </c>
      <c r="G125" s="111" t="s">
        <v>180</v>
      </c>
    </row>
    <row r="126" spans="3:17" x14ac:dyDescent="0.2">
      <c r="C126" s="129">
        <v>-0.1</v>
      </c>
      <c r="D126" s="134">
        <v>0.30147475155206149</v>
      </c>
      <c r="E126" s="124"/>
      <c r="F126" s="129">
        <v>-0.1</v>
      </c>
      <c r="G126" s="134">
        <v>0.16709605874595201</v>
      </c>
      <c r="H126" s="124"/>
      <c r="I126" s="124"/>
      <c r="J126" s="124"/>
      <c r="K126" s="124"/>
      <c r="L126" s="124"/>
    </row>
    <row r="127" spans="3:17" x14ac:dyDescent="0.2">
      <c r="C127" s="130">
        <v>-0.05</v>
      </c>
      <c r="D127" s="133">
        <v>0.28747319542539995</v>
      </c>
      <c r="E127" s="124"/>
      <c r="F127" s="130">
        <v>-0.05</v>
      </c>
      <c r="G127" s="133">
        <v>0.22282795313368564</v>
      </c>
      <c r="H127" s="124"/>
      <c r="I127" s="124"/>
      <c r="J127" s="124"/>
      <c r="K127" s="124"/>
      <c r="L127" s="124"/>
    </row>
    <row r="128" spans="3:17" x14ac:dyDescent="0.2">
      <c r="C128" s="4">
        <v>0</v>
      </c>
      <c r="D128" s="133">
        <v>0.27454713683603038</v>
      </c>
      <c r="E128" s="124"/>
      <c r="F128" s="4">
        <v>0</v>
      </c>
      <c r="G128" s="133">
        <v>0.27454713683603038</v>
      </c>
      <c r="H128" s="124"/>
      <c r="I128" s="124"/>
      <c r="J128" s="124"/>
      <c r="K128" s="124"/>
      <c r="L128" s="124"/>
    </row>
    <row r="129" spans="3:13" x14ac:dyDescent="0.2">
      <c r="C129" s="130">
        <v>0.05</v>
      </c>
      <c r="D129" s="133">
        <v>0.26256259625000689</v>
      </c>
      <c r="E129" s="124"/>
      <c r="F129" s="130">
        <v>0.05</v>
      </c>
      <c r="G129" s="133">
        <v>0.32329772094000053</v>
      </c>
      <c r="H129" s="124"/>
      <c r="I129" s="124"/>
      <c r="J129" s="124"/>
      <c r="K129" s="124"/>
      <c r="L129" s="124"/>
    </row>
    <row r="130" spans="3:13" x14ac:dyDescent="0.2">
      <c r="C130" s="131">
        <v>0.1</v>
      </c>
      <c r="D130" s="135">
        <v>0.2514078130035704</v>
      </c>
      <c r="E130" s="124"/>
      <c r="F130" s="131">
        <v>0.1</v>
      </c>
      <c r="G130" s="135">
        <v>0.36973508040560743</v>
      </c>
      <c r="H130" s="124"/>
      <c r="I130" s="124"/>
      <c r="J130" s="124"/>
      <c r="K130" s="124"/>
      <c r="L130" s="124"/>
    </row>
    <row r="131" spans="3:13" x14ac:dyDescent="0.2"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</row>
    <row r="132" spans="3:13" x14ac:dyDescent="0.2">
      <c r="C132" s="123" t="s">
        <v>178</v>
      </c>
      <c r="D132" s="111" t="s">
        <v>180</v>
      </c>
      <c r="E132" s="124"/>
      <c r="F132" s="124"/>
      <c r="G132" s="124"/>
      <c r="H132" s="124"/>
      <c r="I132" s="124"/>
      <c r="J132" s="124"/>
      <c r="K132" s="124"/>
      <c r="L132" s="124"/>
      <c r="M132" s="124"/>
    </row>
    <row r="133" spans="3:13" x14ac:dyDescent="0.2">
      <c r="C133" s="129">
        <v>-0.1</v>
      </c>
      <c r="D133" s="134">
        <v>0.34302439384050754</v>
      </c>
      <c r="E133" s="124"/>
      <c r="F133" s="124"/>
      <c r="G133" s="124"/>
      <c r="H133" s="124"/>
      <c r="I133" s="124"/>
      <c r="J133" s="124"/>
      <c r="K133" s="124"/>
      <c r="L133" s="124"/>
      <c r="M133" s="124"/>
    </row>
    <row r="134" spans="3:13" x14ac:dyDescent="0.2">
      <c r="C134" s="130">
        <v>-0.05</v>
      </c>
      <c r="D134" s="133">
        <v>0.30938583272663611</v>
      </c>
    </row>
    <row r="135" spans="3:13" x14ac:dyDescent="0.2">
      <c r="C135" s="4">
        <v>0</v>
      </c>
      <c r="D135" s="133">
        <v>0.27454713683603038</v>
      </c>
    </row>
    <row r="136" spans="3:13" x14ac:dyDescent="0.2">
      <c r="C136" s="130">
        <v>0.05</v>
      </c>
      <c r="D136" s="133">
        <v>0.23827204714550954</v>
      </c>
    </row>
    <row r="137" spans="3:13" x14ac:dyDescent="0.2">
      <c r="C137" s="131">
        <v>0.1</v>
      </c>
      <c r="D137" s="135">
        <v>0.20023322376096364</v>
      </c>
    </row>
    <row r="138" spans="3:13" x14ac:dyDescent="0.2">
      <c r="C138" s="128"/>
    </row>
    <row r="150" spans="3:11" x14ac:dyDescent="0.2">
      <c r="C150" s="139" t="s">
        <v>189</v>
      </c>
      <c r="D150" s="139" t="s">
        <v>190</v>
      </c>
      <c r="E150" s="139" t="s">
        <v>218</v>
      </c>
      <c r="F150" s="139" t="s">
        <v>220</v>
      </c>
    </row>
    <row r="151" spans="3:11" x14ac:dyDescent="0.2">
      <c r="C151" s="139">
        <v>1</v>
      </c>
      <c r="D151" s="139" t="s">
        <v>191</v>
      </c>
      <c r="E151" s="139">
        <f>0.1*0.4*0.3</f>
        <v>1.2000000000000002E-2</v>
      </c>
      <c r="F151" s="35">
        <v>1683.42147492453</v>
      </c>
      <c r="G151">
        <f>E151*F151</f>
        <v>20.201057699094363</v>
      </c>
    </row>
    <row r="152" spans="3:11" x14ac:dyDescent="0.2">
      <c r="C152" s="139">
        <v>2</v>
      </c>
      <c r="D152" s="139" t="s">
        <v>192</v>
      </c>
      <c r="E152" s="139">
        <f>0.1*0.4*0.5</f>
        <v>2.0000000000000004E-2</v>
      </c>
      <c r="F152" s="35">
        <v>2994.9514210358811</v>
      </c>
      <c r="G152">
        <f t="shared" ref="G152:G177" si="52">E152*F152</f>
        <v>59.899028420717634</v>
      </c>
    </row>
    <row r="153" spans="3:11" x14ac:dyDescent="0.2">
      <c r="C153" s="139">
        <v>3</v>
      </c>
      <c r="D153" s="139" t="s">
        <v>193</v>
      </c>
      <c r="E153" s="139">
        <f>0.1*0.4*0.2</f>
        <v>8.0000000000000019E-3</v>
      </c>
      <c r="F153" s="35">
        <v>4306.481367147232</v>
      </c>
      <c r="G153">
        <f t="shared" si="52"/>
        <v>34.451850937177866</v>
      </c>
    </row>
    <row r="154" spans="3:11" x14ac:dyDescent="0.2">
      <c r="C154" s="139">
        <v>4</v>
      </c>
      <c r="D154" s="139" t="s">
        <v>194</v>
      </c>
      <c r="E154" s="139">
        <f>0.4*0.4*0.3</f>
        <v>4.8000000000000008E-2</v>
      </c>
      <c r="F154" s="35">
        <v>1602.8641398724321</v>
      </c>
      <c r="G154">
        <f t="shared" si="52"/>
        <v>76.937478713876757</v>
      </c>
    </row>
    <row r="155" spans="3:11" x14ac:dyDescent="0.2">
      <c r="C155" s="139">
        <v>5</v>
      </c>
      <c r="D155" s="139" t="s">
        <v>195</v>
      </c>
      <c r="E155" s="139">
        <f>0.4*0.4*0.5</f>
        <v>8.0000000000000016E-2</v>
      </c>
      <c r="F155" s="35">
        <v>2914.394085983783</v>
      </c>
      <c r="G155">
        <f t="shared" si="52"/>
        <v>233.1515268787027</v>
      </c>
    </row>
    <row r="156" spans="3:11" x14ac:dyDescent="0.2">
      <c r="C156" s="139">
        <v>6</v>
      </c>
      <c r="D156" s="139" t="s">
        <v>196</v>
      </c>
      <c r="E156" s="139">
        <f>0.4*0.4*0.2</f>
        <v>3.2000000000000008E-2</v>
      </c>
      <c r="F156" s="35">
        <v>4225.924032095134</v>
      </c>
      <c r="G156">
        <f t="shared" si="52"/>
        <v>135.22956902704431</v>
      </c>
      <c r="I156" s="150">
        <v>-0.1</v>
      </c>
      <c r="J156">
        <v>0</v>
      </c>
      <c r="K156" s="150">
        <v>0.1</v>
      </c>
    </row>
    <row r="157" spans="3:11" x14ac:dyDescent="0.2">
      <c r="C157" s="139">
        <v>7</v>
      </c>
      <c r="D157" s="139" t="s">
        <v>197</v>
      </c>
      <c r="E157" s="139">
        <f>0.5*0.4*0.3</f>
        <v>0.06</v>
      </c>
      <c r="F157" s="35">
        <v>1522.306804820334</v>
      </c>
      <c r="G157">
        <f t="shared" si="52"/>
        <v>91.338408289220041</v>
      </c>
      <c r="I157">
        <v>0.1</v>
      </c>
      <c r="J157">
        <v>0.4</v>
      </c>
      <c r="K157">
        <v>0.5</v>
      </c>
    </row>
    <row r="158" spans="3:11" x14ac:dyDescent="0.2">
      <c r="C158" s="139">
        <v>8</v>
      </c>
      <c r="D158" s="139" t="s">
        <v>198</v>
      </c>
      <c r="E158" s="139">
        <f>K157*I158*J159</f>
        <v>0.1</v>
      </c>
      <c r="F158" s="35">
        <v>2833.8367509316849</v>
      </c>
      <c r="G158">
        <f t="shared" si="52"/>
        <v>283.38367509316851</v>
      </c>
      <c r="I158">
        <v>0.4</v>
      </c>
      <c r="J158">
        <v>0.5</v>
      </c>
      <c r="K158">
        <v>0.1</v>
      </c>
    </row>
    <row r="159" spans="3:11" x14ac:dyDescent="0.2">
      <c r="C159" s="139">
        <v>9</v>
      </c>
      <c r="D159" s="139" t="s">
        <v>199</v>
      </c>
      <c r="E159" s="139">
        <f>K157*I158*K159</f>
        <v>4.0000000000000008E-2</v>
      </c>
      <c r="F159" s="35">
        <v>4145.3666970430359</v>
      </c>
      <c r="G159">
        <f t="shared" si="52"/>
        <v>165.81466788172148</v>
      </c>
      <c r="I159">
        <v>0.3</v>
      </c>
      <c r="J159">
        <v>0.5</v>
      </c>
      <c r="K159">
        <v>0.2</v>
      </c>
    </row>
    <row r="160" spans="3:11" x14ac:dyDescent="0.2">
      <c r="C160" s="139">
        <v>10</v>
      </c>
      <c r="D160" s="139" t="s">
        <v>200</v>
      </c>
      <c r="E160" s="139">
        <f>I157*J158*I159</f>
        <v>1.4999999999999999E-2</v>
      </c>
      <c r="F160" s="35">
        <v>758.48476644161804</v>
      </c>
      <c r="G160">
        <f t="shared" si="52"/>
        <v>11.377271496624271</v>
      </c>
    </row>
    <row r="161" spans="3:7" x14ac:dyDescent="0.2">
      <c r="C161" s="139">
        <v>11</v>
      </c>
      <c r="D161" s="139" t="s">
        <v>201</v>
      </c>
      <c r="E161" s="139">
        <f>I157*J158*J159</f>
        <v>2.5000000000000001E-2</v>
      </c>
      <c r="F161" s="35">
        <v>2070.0147125529688</v>
      </c>
      <c r="G161">
        <f t="shared" si="52"/>
        <v>51.750367813824226</v>
      </c>
    </row>
    <row r="162" spans="3:7" x14ac:dyDescent="0.2">
      <c r="C162" s="139">
        <v>12</v>
      </c>
      <c r="D162" s="139" t="s">
        <v>202</v>
      </c>
      <c r="E162" s="139">
        <f>I157*J158*K159</f>
        <v>1.0000000000000002E-2</v>
      </c>
      <c r="F162" s="35">
        <v>3381.5446586643197</v>
      </c>
      <c r="G162">
        <f t="shared" si="52"/>
        <v>33.815446586643205</v>
      </c>
    </row>
    <row r="163" spans="3:7" x14ac:dyDescent="0.2">
      <c r="C163" s="139">
        <v>13</v>
      </c>
      <c r="D163" s="139" t="s">
        <v>203</v>
      </c>
      <c r="E163" s="139">
        <f>J157*J158*I159</f>
        <v>0.06</v>
      </c>
      <c r="F163" s="35">
        <v>677.92743138952005</v>
      </c>
      <c r="G163">
        <f t="shared" si="52"/>
        <v>40.675645883371203</v>
      </c>
    </row>
    <row r="164" spans="3:7" x14ac:dyDescent="0.2">
      <c r="C164" s="139">
        <v>14</v>
      </c>
      <c r="D164" s="139" t="s">
        <v>208</v>
      </c>
      <c r="E164" s="139">
        <f>J157*J158*J159</f>
        <v>0.1</v>
      </c>
      <c r="F164" s="35">
        <v>1989.457377500871</v>
      </c>
      <c r="G164">
        <f t="shared" si="52"/>
        <v>198.94573775008712</v>
      </c>
    </row>
    <row r="165" spans="3:7" x14ac:dyDescent="0.2">
      <c r="C165" s="139">
        <v>15</v>
      </c>
      <c r="D165" s="139" t="s">
        <v>207</v>
      </c>
      <c r="E165" s="139">
        <f>J157*J158*K159</f>
        <v>4.0000000000000008E-2</v>
      </c>
      <c r="F165" s="35">
        <v>3300.9873236122221</v>
      </c>
      <c r="G165">
        <f t="shared" si="52"/>
        <v>132.0394929444889</v>
      </c>
    </row>
    <row r="166" spans="3:7" x14ac:dyDescent="0.2">
      <c r="C166" s="139">
        <v>16</v>
      </c>
      <c r="D166" s="139" t="s">
        <v>206</v>
      </c>
      <c r="E166" s="139">
        <f>K157*J158*I159</f>
        <v>7.4999999999999997E-2</v>
      </c>
      <c r="F166" s="35">
        <v>597.37009633742196</v>
      </c>
      <c r="G166">
        <f t="shared" si="52"/>
        <v>44.802757225306642</v>
      </c>
    </row>
    <row r="167" spans="3:7" x14ac:dyDescent="0.2">
      <c r="C167" s="139">
        <v>17</v>
      </c>
      <c r="D167" s="139" t="s">
        <v>205</v>
      </c>
      <c r="E167" s="139">
        <f>K157*J158*J159</f>
        <v>0.125</v>
      </c>
      <c r="F167" s="35">
        <v>1908.9000424487729</v>
      </c>
      <c r="G167">
        <f t="shared" si="52"/>
        <v>238.61250530609661</v>
      </c>
    </row>
    <row r="168" spans="3:7" x14ac:dyDescent="0.2">
      <c r="C168" s="139">
        <v>18</v>
      </c>
      <c r="D168" s="139" t="s">
        <v>204</v>
      </c>
      <c r="E168" s="139">
        <f>K157*J158*K159</f>
        <v>0.05</v>
      </c>
      <c r="F168" s="35">
        <v>3220.429988560124</v>
      </c>
      <c r="G168">
        <f t="shared" si="52"/>
        <v>161.02149942800622</v>
      </c>
    </row>
    <row r="169" spans="3:7" x14ac:dyDescent="0.2">
      <c r="C169" s="139">
        <v>19</v>
      </c>
      <c r="D169" s="139" t="s">
        <v>209</v>
      </c>
      <c r="E169" s="139">
        <f>I157*K158*I159</f>
        <v>3.0000000000000005E-3</v>
      </c>
      <c r="F169" s="35">
        <v>-166.45194204129533</v>
      </c>
      <c r="G169">
        <f t="shared" si="52"/>
        <v>-0.49935582612388607</v>
      </c>
    </row>
    <row r="170" spans="3:7" x14ac:dyDescent="0.2">
      <c r="C170" s="139">
        <v>20</v>
      </c>
      <c r="D170" s="139" t="s">
        <v>210</v>
      </c>
      <c r="E170" s="139">
        <f>I157*K158*J159</f>
        <v>5.000000000000001E-3</v>
      </c>
      <c r="F170" s="35">
        <v>1145.0780040700556</v>
      </c>
      <c r="G170">
        <f t="shared" si="52"/>
        <v>5.7253900203502788</v>
      </c>
    </row>
    <row r="171" spans="3:7" x14ac:dyDescent="0.2">
      <c r="C171" s="139">
        <v>21</v>
      </c>
      <c r="D171" s="139" t="s">
        <v>211</v>
      </c>
      <c r="E171" s="139">
        <f>I157*K158*K159</f>
        <v>2.0000000000000005E-3</v>
      </c>
      <c r="F171" s="35">
        <v>2456.6079501814065</v>
      </c>
      <c r="G171">
        <f t="shared" si="52"/>
        <v>4.9132159003628146</v>
      </c>
    </row>
    <row r="172" spans="3:7" x14ac:dyDescent="0.2">
      <c r="C172" s="139">
        <v>22</v>
      </c>
      <c r="D172" s="139" t="s">
        <v>212</v>
      </c>
      <c r="E172" s="139">
        <f>J157*K158*I159</f>
        <v>1.2000000000000002E-2</v>
      </c>
      <c r="F172" s="35">
        <v>-247.00927709339339</v>
      </c>
      <c r="G172">
        <f t="shared" si="52"/>
        <v>-2.9641113251207214</v>
      </c>
    </row>
    <row r="173" spans="3:7" x14ac:dyDescent="0.2">
      <c r="C173" s="139">
        <v>23</v>
      </c>
      <c r="D173" s="139" t="s">
        <v>213</v>
      </c>
      <c r="E173" s="139">
        <f>J157*K158*J159</f>
        <v>2.0000000000000004E-2</v>
      </c>
      <c r="F173" s="35">
        <v>1064.5206690179575</v>
      </c>
      <c r="G173">
        <f t="shared" si="52"/>
        <v>21.290413380359155</v>
      </c>
    </row>
    <row r="174" spans="3:7" x14ac:dyDescent="0.2">
      <c r="C174" s="139">
        <v>24</v>
      </c>
      <c r="D174" s="139" t="s">
        <v>214</v>
      </c>
      <c r="E174" s="139">
        <f>J157*K158*K159</f>
        <v>8.0000000000000019E-3</v>
      </c>
      <c r="F174" s="35">
        <v>2376.0506151293084</v>
      </c>
      <c r="G174">
        <f t="shared" si="52"/>
        <v>19.008404921034472</v>
      </c>
    </row>
    <row r="175" spans="3:7" x14ac:dyDescent="0.2">
      <c r="C175" s="139">
        <v>25</v>
      </c>
      <c r="D175" s="139" t="s">
        <v>215</v>
      </c>
      <c r="E175" s="139">
        <f>K157*K158*I159</f>
        <v>1.4999999999999999E-2</v>
      </c>
      <c r="F175" s="35">
        <v>-327.56661214549143</v>
      </c>
      <c r="G175">
        <f t="shared" si="52"/>
        <v>-4.9134991821823712</v>
      </c>
    </row>
    <row r="176" spans="3:7" x14ac:dyDescent="0.2">
      <c r="C176" s="139">
        <v>26</v>
      </c>
      <c r="D176" s="139" t="s">
        <v>216</v>
      </c>
      <c r="E176" s="139">
        <f>K157*K158*J159</f>
        <v>2.5000000000000001E-2</v>
      </c>
      <c r="F176" s="35">
        <v>983.96333396585942</v>
      </c>
      <c r="G176">
        <f t="shared" si="52"/>
        <v>24.599083349146486</v>
      </c>
    </row>
    <row r="177" spans="3:12" x14ac:dyDescent="0.2">
      <c r="C177" s="139">
        <v>27</v>
      </c>
      <c r="D177" s="139" t="s">
        <v>217</v>
      </c>
      <c r="E177" s="139">
        <f>K157*K158*K159</f>
        <v>1.0000000000000002E-2</v>
      </c>
      <c r="F177" s="35">
        <v>2295.4932800772103</v>
      </c>
      <c r="G177">
        <f t="shared" si="52"/>
        <v>22.954932800772109</v>
      </c>
    </row>
    <row r="188" spans="3:12" x14ac:dyDescent="0.2">
      <c r="H188" s="193"/>
      <c r="I188" s="145" t="s">
        <v>231</v>
      </c>
      <c r="J188" s="146" t="s">
        <v>232</v>
      </c>
      <c r="K188" s="146" t="s">
        <v>233</v>
      </c>
    </row>
    <row r="189" spans="3:12" x14ac:dyDescent="0.2">
      <c r="H189" s="192"/>
      <c r="I189" s="146">
        <v>0.4</v>
      </c>
      <c r="J189" s="146">
        <v>0.4</v>
      </c>
      <c r="K189" s="146">
        <v>0.2</v>
      </c>
    </row>
    <row r="190" spans="3:12" x14ac:dyDescent="0.2">
      <c r="H190" s="146" t="s">
        <v>234</v>
      </c>
      <c r="I190" s="146">
        <v>4555.932174115318</v>
      </c>
      <c r="J190" s="146">
        <v>2174.5496986077796</v>
      </c>
      <c r="K190" s="146">
        <v>983.85846085401135</v>
      </c>
      <c r="L190">
        <f>I190*$I189+J190*$J189+K190*$K189</f>
        <v>2888.9644412600419</v>
      </c>
    </row>
    <row r="191" spans="3:12" x14ac:dyDescent="0.2">
      <c r="H191" s="146" t="s">
        <v>235</v>
      </c>
      <c r="I191" s="146">
        <v>3927.9985584225801</v>
      </c>
      <c r="J191" s="146">
        <v>1763.1053988702733</v>
      </c>
      <c r="K191" s="146">
        <v>680.6588190941203</v>
      </c>
      <c r="L191">
        <f>I191*I189+J191*J189+K191*K189</f>
        <v>2412.5733467359651</v>
      </c>
    </row>
    <row r="192" spans="3:12" x14ac:dyDescent="0.2">
      <c r="H192" s="146" t="s">
        <v>236</v>
      </c>
      <c r="I192" s="146">
        <v>4321.9097939615413</v>
      </c>
      <c r="J192" s="146">
        <v>2157.0166344092345</v>
      </c>
      <c r="K192" s="146">
        <v>1074.5700546330813</v>
      </c>
      <c r="L192">
        <f>I192*I189+J192*J189+K192*K189</f>
        <v>2806.4845822749267</v>
      </c>
    </row>
  </sheetData>
  <mergeCells count="105">
    <mergeCell ref="D119:E119"/>
    <mergeCell ref="D120:E120"/>
    <mergeCell ref="D118:E118"/>
    <mergeCell ref="D115:E115"/>
    <mergeCell ref="D121:E121"/>
    <mergeCell ref="D109:E109"/>
    <mergeCell ref="D113:E113"/>
    <mergeCell ref="D112:E112"/>
    <mergeCell ref="D122:E122"/>
    <mergeCell ref="D111:E111"/>
    <mergeCell ref="D116:E116"/>
    <mergeCell ref="D117:E117"/>
    <mergeCell ref="C107:C108"/>
    <mergeCell ref="D107:E108"/>
    <mergeCell ref="F107:G107"/>
    <mergeCell ref="H107:Q107"/>
    <mergeCell ref="D110:E110"/>
    <mergeCell ref="C83:C84"/>
    <mergeCell ref="F83:G83"/>
    <mergeCell ref="D83:E83"/>
    <mergeCell ref="B83:B84"/>
    <mergeCell ref="H83:M83"/>
    <mergeCell ref="B94:B95"/>
    <mergeCell ref="C94:C95"/>
    <mergeCell ref="C102:C103"/>
    <mergeCell ref="D102:E102"/>
    <mergeCell ref="F102:O102"/>
    <mergeCell ref="D94:E94"/>
    <mergeCell ref="F94:O94"/>
    <mergeCell ref="C98:C99"/>
    <mergeCell ref="D98:E98"/>
    <mergeCell ref="F98:O98"/>
    <mergeCell ref="C51:C52"/>
    <mergeCell ref="C53:C54"/>
    <mergeCell ref="C55:C56"/>
    <mergeCell ref="C57:C58"/>
    <mergeCell ref="C21:C22"/>
    <mergeCell ref="C39:C40"/>
    <mergeCell ref="D71:D72"/>
    <mergeCell ref="D73:D74"/>
    <mergeCell ref="D51:D52"/>
    <mergeCell ref="D53:D54"/>
    <mergeCell ref="D55:D56"/>
    <mergeCell ref="D57:D58"/>
    <mergeCell ref="D59:D60"/>
    <mergeCell ref="D69:D70"/>
    <mergeCell ref="D67:D68"/>
    <mergeCell ref="G4:H4"/>
    <mergeCell ref="I4:R4"/>
    <mergeCell ref="C9:D9"/>
    <mergeCell ref="C10:D10"/>
    <mergeCell ref="C17:C18"/>
    <mergeCell ref="B4:B5"/>
    <mergeCell ref="C4:D5"/>
    <mergeCell ref="E4:F4"/>
    <mergeCell ref="C8:D8"/>
    <mergeCell ref="C7:D7"/>
    <mergeCell ref="C6:D6"/>
    <mergeCell ref="C13:C14"/>
    <mergeCell ref="S17:S18"/>
    <mergeCell ref="C19:C20"/>
    <mergeCell ref="S19:S20"/>
    <mergeCell ref="C15:C16"/>
    <mergeCell ref="S15:S16"/>
    <mergeCell ref="S21:S22"/>
    <mergeCell ref="C23:C24"/>
    <mergeCell ref="S23:S24"/>
    <mergeCell ref="C37:C38"/>
    <mergeCell ref="S37:S38"/>
    <mergeCell ref="C25:C26"/>
    <mergeCell ref="S25:S26"/>
    <mergeCell ref="C27:C28"/>
    <mergeCell ref="S27:S28"/>
    <mergeCell ref="C29:C30"/>
    <mergeCell ref="S29:S30"/>
    <mergeCell ref="S31:S32"/>
    <mergeCell ref="C35:C36"/>
    <mergeCell ref="S35:S36"/>
    <mergeCell ref="C33:C34"/>
    <mergeCell ref="S33:S34"/>
    <mergeCell ref="C31:C32"/>
    <mergeCell ref="H188:H189"/>
    <mergeCell ref="S39:S40"/>
    <mergeCell ref="C41:C42"/>
    <mergeCell ref="S41:S42"/>
    <mergeCell ref="C43:C44"/>
    <mergeCell ref="S43:S44"/>
    <mergeCell ref="C59:C60"/>
    <mergeCell ref="D75:D76"/>
    <mergeCell ref="D77:D78"/>
    <mergeCell ref="D79:D80"/>
    <mergeCell ref="D61:D62"/>
    <mergeCell ref="D63:D64"/>
    <mergeCell ref="D65:D66"/>
    <mergeCell ref="C47:D47"/>
    <mergeCell ref="C75:C76"/>
    <mergeCell ref="C77:C78"/>
    <mergeCell ref="C79:C80"/>
    <mergeCell ref="C61:C62"/>
    <mergeCell ref="C63:C64"/>
    <mergeCell ref="C65:C66"/>
    <mergeCell ref="C69:C70"/>
    <mergeCell ref="C71:C72"/>
    <mergeCell ref="C73:C74"/>
    <mergeCell ref="C67:C6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2859-70F7-4EE4-B379-8CEABA0A0BF8}">
  <dimension ref="A1:W106"/>
  <sheetViews>
    <sheetView topLeftCell="A55" workbookViewId="0">
      <selection activeCell="D16" sqref="D16"/>
    </sheetView>
  </sheetViews>
  <sheetFormatPr defaultRowHeight="14.25" x14ac:dyDescent="0.2"/>
  <sheetData>
    <row r="1" spans="1:9" x14ac:dyDescent="0.2">
      <c r="B1" t="s">
        <v>223</v>
      </c>
      <c r="C1" t="s">
        <v>224</v>
      </c>
      <c r="D1" t="s">
        <v>225</v>
      </c>
      <c r="F1" t="s">
        <v>222</v>
      </c>
      <c r="G1" t="s">
        <v>226</v>
      </c>
    </row>
    <row r="2" spans="1:9" x14ac:dyDescent="0.2">
      <c r="A2" t="s">
        <v>114</v>
      </c>
      <c r="B2" s="150">
        <v>-0.15</v>
      </c>
      <c r="C2">
        <v>0</v>
      </c>
      <c r="D2" s="150">
        <v>0.12</v>
      </c>
      <c r="F2">
        <f>(D2+B2+C2*4)/6</f>
        <v>-5.0000000000000001E-3</v>
      </c>
      <c r="G2">
        <f>(D2-B2)/6</f>
        <v>4.5000000000000005E-2</v>
      </c>
    </row>
    <row r="3" spans="1:9" x14ac:dyDescent="0.2">
      <c r="A3" t="s">
        <v>35</v>
      </c>
      <c r="B3" s="150">
        <v>-0.1</v>
      </c>
      <c r="C3">
        <v>0</v>
      </c>
      <c r="D3" s="150">
        <v>0.09</v>
      </c>
      <c r="F3">
        <f t="shared" ref="F3:F4" si="0">(D3+B3+C3*4)/6</f>
        <v>-1.6666666666666681E-3</v>
      </c>
      <c r="G3">
        <f t="shared" ref="G3:G4" si="1">(D3-B3)/6</f>
        <v>3.1666666666666669E-2</v>
      </c>
    </row>
    <row r="4" spans="1:9" x14ac:dyDescent="0.2">
      <c r="A4" t="s">
        <v>221</v>
      </c>
      <c r="B4" s="150">
        <v>-0.09</v>
      </c>
      <c r="C4">
        <v>0</v>
      </c>
      <c r="D4" s="150">
        <v>0.12</v>
      </c>
      <c r="F4">
        <f t="shared" si="0"/>
        <v>5.0000000000000001E-3</v>
      </c>
      <c r="G4">
        <f t="shared" si="1"/>
        <v>3.4999999999999996E-2</v>
      </c>
    </row>
    <row r="6" spans="1:9" x14ac:dyDescent="0.2">
      <c r="A6" t="s">
        <v>114</v>
      </c>
      <c r="B6" t="s">
        <v>35</v>
      </c>
      <c r="C6" t="s">
        <v>221</v>
      </c>
      <c r="E6" s="139" t="s">
        <v>0</v>
      </c>
      <c r="F6" s="139" t="s">
        <v>177</v>
      </c>
      <c r="G6" s="139" t="s">
        <v>178</v>
      </c>
      <c r="H6" s="139" t="s">
        <v>179</v>
      </c>
      <c r="I6" s="139" t="s">
        <v>227</v>
      </c>
    </row>
    <row r="7" spans="1:9" x14ac:dyDescent="0.2">
      <c r="A7" s="117">
        <f ca="1">NORMINV(RAND(),$F$2,$G$2)</f>
        <v>-6.2616860896571216E-2</v>
      </c>
      <c r="B7" s="117">
        <f ca="1">NORMINV(RAND(),$F$3,$G$3)</f>
        <v>-3.9433935741269598E-2</v>
      </c>
      <c r="C7" s="117">
        <f ca="1">NORMINV(RAND(),$F$4,$G$4)</f>
        <v>-1.567056026698507E-3</v>
      </c>
      <c r="E7" s="48">
        <v>1</v>
      </c>
      <c r="F7" s="151">
        <v>2.5684176814490051E-2</v>
      </c>
      <c r="G7" s="151">
        <v>-2.788894084542656E-3</v>
      </c>
      <c r="H7" s="151">
        <v>-4.411817970432251E-2</v>
      </c>
      <c r="I7" s="139">
        <v>1415.9392557762815</v>
      </c>
    </row>
    <row r="8" spans="1:9" x14ac:dyDescent="0.2">
      <c r="A8" s="117">
        <f t="shared" ref="A8:A42" ca="1" si="2">NORMINV(RAND(),$F$2,$G$2)</f>
        <v>3.1561036799929755E-2</v>
      </c>
      <c r="B8" s="117">
        <f t="shared" ref="B8:B42" ca="1" si="3">NORMINV(RAND(),$F$3,$G$3)</f>
        <v>-2.4068219472410642E-3</v>
      </c>
      <c r="C8" s="117">
        <f t="shared" ref="C8:C42" ca="1" si="4">NORMINV(RAND(),$F$4,$G$4)</f>
        <v>-3.8388885289708075E-2</v>
      </c>
      <c r="E8" s="48">
        <v>2</v>
      </c>
      <c r="F8" s="151">
        <v>-3.6388746902565543E-2</v>
      </c>
      <c r="G8" s="151">
        <v>1.875879983488243E-2</v>
      </c>
      <c r="H8" s="151">
        <v>5.2221469423993333E-2</v>
      </c>
      <c r="I8" s="139">
        <v>2530.1643663158261</v>
      </c>
    </row>
    <row r="9" spans="1:9" x14ac:dyDescent="0.2">
      <c r="A9" s="117">
        <f t="shared" ca="1" si="2"/>
        <v>6.6982316085191035E-2</v>
      </c>
      <c r="B9" s="117">
        <f t="shared" ca="1" si="3"/>
        <v>-3.5947884934538987E-2</v>
      </c>
      <c r="C9" s="117">
        <f t="shared" ca="1" si="4"/>
        <v>3.7923224784279327E-2</v>
      </c>
      <c r="E9" s="48">
        <v>3</v>
      </c>
      <c r="F9" s="151">
        <v>2.148413714420578E-2</v>
      </c>
      <c r="G9" s="151">
        <v>-3.6825751422497881E-2</v>
      </c>
      <c r="H9" s="151">
        <v>3.2190923084990299E-4</v>
      </c>
      <c r="I9" s="139">
        <v>2316.9871582018063</v>
      </c>
    </row>
    <row r="10" spans="1:9" x14ac:dyDescent="0.2">
      <c r="A10" s="117">
        <f t="shared" ca="1" si="2"/>
        <v>-2.4179931471827631E-2</v>
      </c>
      <c r="B10" s="117">
        <f t="shared" ca="1" si="3"/>
        <v>-1.5787564738735792E-2</v>
      </c>
      <c r="C10" s="117">
        <f t="shared" ca="1" si="4"/>
        <v>-3.0491295579685379E-3</v>
      </c>
      <c r="E10" s="48">
        <v>4</v>
      </c>
      <c r="F10" s="151">
        <v>8.7911544607680719E-2</v>
      </c>
      <c r="G10" s="151">
        <v>-1.1930598451410319E-2</v>
      </c>
      <c r="H10" s="151">
        <v>5.4372671137230183E-2</v>
      </c>
      <c r="I10" s="139">
        <v>2742.1025290459902</v>
      </c>
    </row>
    <row r="11" spans="1:9" x14ac:dyDescent="0.2">
      <c r="A11" s="117">
        <f t="shared" ca="1" si="2"/>
        <v>-7.5157704106450757E-2</v>
      </c>
      <c r="B11" s="117">
        <f t="shared" ca="1" si="3"/>
        <v>-4.5086975070464125E-3</v>
      </c>
      <c r="C11" s="117">
        <f t="shared" ca="1" si="4"/>
        <v>-3.0661018556308994E-2</v>
      </c>
      <c r="E11" s="48">
        <v>5</v>
      </c>
      <c r="F11" s="151">
        <v>-8.197296628151881E-3</v>
      </c>
      <c r="G11" s="151">
        <v>5.4819540336503644E-3</v>
      </c>
      <c r="H11" s="151">
        <v>-6.4373741399223403E-2</v>
      </c>
      <c r="I11" s="139">
        <v>1101.0754001283381</v>
      </c>
    </row>
    <row r="12" spans="1:9" x14ac:dyDescent="0.2">
      <c r="A12" s="117">
        <f t="shared" ca="1" si="2"/>
        <v>-2.3837267569613699E-2</v>
      </c>
      <c r="B12" s="117">
        <f t="shared" ca="1" si="3"/>
        <v>-7.4249582539672758E-3</v>
      </c>
      <c r="C12" s="117">
        <f t="shared" ca="1" si="4"/>
        <v>-5.916745537398866E-2</v>
      </c>
      <c r="E12" s="48">
        <v>6</v>
      </c>
      <c r="F12" s="151">
        <v>4.492886111666617E-2</v>
      </c>
      <c r="G12" s="151">
        <v>9.4192277771828568E-3</v>
      </c>
      <c r="H12" s="151">
        <v>3.776205989977794E-2</v>
      </c>
      <c r="I12" s="139">
        <v>2361.4027128033345</v>
      </c>
    </row>
    <row r="13" spans="1:9" x14ac:dyDescent="0.2">
      <c r="A13" s="117">
        <f t="shared" ca="1" si="2"/>
        <v>4.0692037145097913E-2</v>
      </c>
      <c r="B13" s="117">
        <f t="shared" ca="1" si="3"/>
        <v>-2.8554324947639839E-4</v>
      </c>
      <c r="C13" s="117">
        <f t="shared" ca="1" si="4"/>
        <v>-9.4703204576102214E-3</v>
      </c>
      <c r="E13" s="48">
        <v>7</v>
      </c>
      <c r="F13" s="151">
        <v>7.9327112527614374E-2</v>
      </c>
      <c r="G13" s="151">
        <v>-6.084479913010539E-2</v>
      </c>
      <c r="H13" s="151">
        <v>4.2365089930046637E-3</v>
      </c>
      <c r="I13" s="139">
        <v>2543.892536144841</v>
      </c>
    </row>
    <row r="14" spans="1:9" x14ac:dyDescent="0.2">
      <c r="A14" s="117">
        <f t="shared" ca="1" si="2"/>
        <v>-2.5387914451284101E-2</v>
      </c>
      <c r="B14" s="117">
        <f t="shared" ca="1" si="3"/>
        <v>8.250769524129186E-3</v>
      </c>
      <c r="C14" s="117">
        <f t="shared" ca="1" si="4"/>
        <v>-1.3544496828217768E-2</v>
      </c>
      <c r="E14" s="48">
        <v>8</v>
      </c>
      <c r="F14" s="151">
        <v>-4.0911450765334749E-2</v>
      </c>
      <c r="G14" s="151">
        <v>-6.3292974082506434E-2</v>
      </c>
      <c r="H14" s="151">
        <v>6.1572162006594275E-3</v>
      </c>
      <c r="I14" s="139">
        <v>2688.5882374667208</v>
      </c>
    </row>
    <row r="15" spans="1:9" x14ac:dyDescent="0.2">
      <c r="A15" s="117">
        <f t="shared" ca="1" si="2"/>
        <v>-1.8834033736695982E-2</v>
      </c>
      <c r="B15" s="117">
        <f t="shared" ca="1" si="3"/>
        <v>1.945627844059232E-2</v>
      </c>
      <c r="C15" s="117">
        <f t="shared" ca="1" si="4"/>
        <v>-2.511109863505891E-2</v>
      </c>
      <c r="E15" s="48">
        <v>9</v>
      </c>
      <c r="F15" s="151">
        <v>-6.4630779822053605E-2</v>
      </c>
      <c r="G15" s="151">
        <v>1.0602420224018947E-2</v>
      </c>
      <c r="H15" s="151">
        <v>-7.2180160220802439E-2</v>
      </c>
      <c r="I15" s="139">
        <v>996.79211826236201</v>
      </c>
    </row>
    <row r="16" spans="1:9" x14ac:dyDescent="0.2">
      <c r="A16" s="117">
        <f t="shared" ca="1" si="2"/>
        <v>-5.5469332216001109E-2</v>
      </c>
      <c r="B16" s="117">
        <f ca="1">NORMINV(RAND(),$F$3,$G$3)</f>
        <v>9.1158339855233039E-3</v>
      </c>
      <c r="C16" s="117">
        <f t="shared" ca="1" si="4"/>
        <v>-3.1248546568102314E-2</v>
      </c>
      <c r="E16" s="48">
        <v>10</v>
      </c>
      <c r="F16" s="151">
        <v>-3.1293095902741361E-2</v>
      </c>
      <c r="G16" s="151">
        <v>-2.3094356562600674E-2</v>
      </c>
      <c r="H16" s="151">
        <v>1.4541214601309152E-2</v>
      </c>
      <c r="I16" s="139">
        <v>2418.9868270753277</v>
      </c>
    </row>
    <row r="17" spans="1:9" x14ac:dyDescent="0.2">
      <c r="A17" s="117">
        <f t="shared" ca="1" si="2"/>
        <v>4.2963979925792267E-3</v>
      </c>
      <c r="B17" s="117">
        <f t="shared" ca="1" si="3"/>
        <v>-2.6045453210378398E-2</v>
      </c>
      <c r="C17" s="117">
        <f t="shared" ca="1" si="4"/>
        <v>-5.3137094557533619E-2</v>
      </c>
      <c r="E17" s="48">
        <v>11</v>
      </c>
      <c r="F17" s="151">
        <v>0.10133766514315254</v>
      </c>
      <c r="G17" s="151">
        <v>4.9440434615394012E-2</v>
      </c>
      <c r="H17" s="151">
        <v>6.2925981035888312E-2</v>
      </c>
      <c r="I17" s="139">
        <v>2275.8228116362843</v>
      </c>
    </row>
    <row r="18" spans="1:9" x14ac:dyDescent="0.2">
      <c r="A18" s="117">
        <f t="shared" ca="1" si="2"/>
        <v>1.2898241425759405E-2</v>
      </c>
      <c r="B18" s="117">
        <f t="shared" ca="1" si="3"/>
        <v>1.6824718474914405E-2</v>
      </c>
      <c r="C18" s="117">
        <f t="shared" ca="1" si="4"/>
        <v>-1.2743174345237984E-2</v>
      </c>
      <c r="E18" s="48">
        <v>12</v>
      </c>
      <c r="F18" s="151">
        <v>-3.3477829177145924E-2</v>
      </c>
      <c r="G18" s="151">
        <v>6.4849072980232353E-3</v>
      </c>
      <c r="H18" s="151">
        <v>-5.7855406457191826E-3</v>
      </c>
      <c r="I18" s="139">
        <v>1880.565838295717</v>
      </c>
    </row>
    <row r="19" spans="1:9" x14ac:dyDescent="0.2">
      <c r="A19" s="117">
        <f t="shared" ca="1" si="2"/>
        <v>6.019083697697538E-2</v>
      </c>
      <c r="B19" s="117">
        <f t="shared" ca="1" si="3"/>
        <v>1.3042723282506817E-2</v>
      </c>
      <c r="C19" s="117">
        <f t="shared" ca="1" si="4"/>
        <v>4.2580486182102251E-2</v>
      </c>
      <c r="E19" s="48">
        <v>13</v>
      </c>
      <c r="F19" s="151">
        <v>3.0105486830066235E-2</v>
      </c>
      <c r="G19" s="151">
        <v>-5.2631945825896463E-3</v>
      </c>
      <c r="H19" s="151">
        <v>7.5428997175841332E-4</v>
      </c>
      <c r="I19" s="139">
        <v>2023.7791571994892</v>
      </c>
    </row>
    <row r="20" spans="1:9" x14ac:dyDescent="0.2">
      <c r="A20" s="117">
        <f t="shared" ca="1" si="2"/>
        <v>-1.9037129960783866E-2</v>
      </c>
      <c r="B20" s="117">
        <f t="shared" ca="1" si="3"/>
        <v>-1.3001651577083249E-2</v>
      </c>
      <c r="C20" s="117">
        <f t="shared" ca="1" si="4"/>
        <v>5.2219227700409453E-2</v>
      </c>
      <c r="E20" s="48">
        <v>14</v>
      </c>
      <c r="F20" s="151">
        <v>4.5867025066147635E-2</v>
      </c>
      <c r="G20" s="151">
        <v>-4.0920109830887688E-2</v>
      </c>
      <c r="H20" s="151">
        <v>-1.9367268378480205E-2</v>
      </c>
      <c r="I20" s="139">
        <v>2076.9857168897861</v>
      </c>
    </row>
    <row r="21" spans="1:9" x14ac:dyDescent="0.2">
      <c r="A21" s="117">
        <f t="shared" ca="1" si="2"/>
        <v>-4.3219575140699296E-2</v>
      </c>
      <c r="B21" s="117">
        <f t="shared" ca="1" si="3"/>
        <v>-2.42700833146531E-2</v>
      </c>
      <c r="C21" s="117">
        <f t="shared" ca="1" si="4"/>
        <v>1.6648300159441468E-2</v>
      </c>
      <c r="E21" s="48">
        <v>15</v>
      </c>
      <c r="F21" s="151">
        <v>-6.7030010903609332E-3</v>
      </c>
      <c r="G21" s="151">
        <v>-4.3289074118035072E-2</v>
      </c>
      <c r="H21" s="151">
        <v>-2.5613023624626224E-2</v>
      </c>
      <c r="I21" s="139">
        <v>2059.3311988863115</v>
      </c>
    </row>
    <row r="22" spans="1:9" x14ac:dyDescent="0.2">
      <c r="A22" s="117">
        <f t="shared" ca="1" si="2"/>
        <v>1.4699049109061221E-2</v>
      </c>
      <c r="B22" s="117">
        <f t="shared" ca="1" si="3"/>
        <v>-7.3927117931295389E-2</v>
      </c>
      <c r="C22" s="117">
        <f t="shared" ca="1" si="4"/>
        <v>5.5078198915019007E-3</v>
      </c>
      <c r="E22" s="48">
        <v>16</v>
      </c>
      <c r="F22" s="151">
        <v>-1.3879125601583085E-2</v>
      </c>
      <c r="G22" s="151">
        <v>-1.101053190171004E-2</v>
      </c>
      <c r="H22" s="151">
        <v>-2.8998749764190274E-4</v>
      </c>
      <c r="I22" s="139">
        <v>2098.6752097006261</v>
      </c>
    </row>
    <row r="23" spans="1:9" x14ac:dyDescent="0.2">
      <c r="A23" s="117">
        <f t="shared" ca="1" si="2"/>
        <v>1.9866330087276687E-2</v>
      </c>
      <c r="B23" s="117">
        <f t="shared" ca="1" si="3"/>
        <v>6.4850403237688768E-4</v>
      </c>
      <c r="C23" s="117">
        <f t="shared" ca="1" si="4"/>
        <v>2.0650678674939613E-2</v>
      </c>
      <c r="E23" s="48">
        <v>17</v>
      </c>
      <c r="F23" s="151">
        <v>-7.203197372691908E-2</v>
      </c>
      <c r="G23" s="151">
        <v>-2.1116117835500488E-3</v>
      </c>
      <c r="H23" s="151">
        <v>6.4651081098440297E-2</v>
      </c>
      <c r="I23" s="139">
        <v>2914.9337775381887</v>
      </c>
    </row>
    <row r="24" spans="1:9" x14ac:dyDescent="0.2">
      <c r="A24" s="117">
        <f t="shared" ca="1" si="2"/>
        <v>-1.7070951223952177E-2</v>
      </c>
      <c r="B24" s="117">
        <f t="shared" ca="1" si="3"/>
        <v>3.5922741728475455E-2</v>
      </c>
      <c r="C24" s="117">
        <f t="shared" ca="1" si="4"/>
        <v>0.10563269194577343</v>
      </c>
      <c r="E24" s="48">
        <v>18</v>
      </c>
      <c r="F24" s="151">
        <v>-5.8178203158354362E-2</v>
      </c>
      <c r="G24" s="151">
        <v>2.6711894316299332E-3</v>
      </c>
      <c r="H24" s="151">
        <v>4.2434580486200871E-2</v>
      </c>
      <c r="I24" s="139">
        <v>2568.1596065234244</v>
      </c>
    </row>
    <row r="25" spans="1:9" x14ac:dyDescent="0.2">
      <c r="A25" s="117">
        <f t="shared" ca="1" si="2"/>
        <v>5.5318170174643515E-2</v>
      </c>
      <c r="B25" s="117">
        <f t="shared" ca="1" si="3"/>
        <v>-1.7973477115149149E-2</v>
      </c>
      <c r="C25" s="117">
        <f t="shared" ca="1" si="4"/>
        <v>2.6283362640421651E-2</v>
      </c>
      <c r="E25" s="48">
        <v>19</v>
      </c>
      <c r="F25" s="151">
        <v>-2.0251867209471277E-2</v>
      </c>
      <c r="G25" s="151">
        <v>8.666104421130378E-3</v>
      </c>
      <c r="H25" s="151">
        <v>-5.468138837369034E-2</v>
      </c>
      <c r="I25" s="139">
        <v>1208.4529775662156</v>
      </c>
    </row>
    <row r="26" spans="1:9" x14ac:dyDescent="0.2">
      <c r="A26" s="117">
        <f t="shared" ca="1" si="2"/>
        <v>-9.8339097450626523E-2</v>
      </c>
      <c r="B26" s="117">
        <f t="shared" ca="1" si="3"/>
        <v>3.9488450976938649E-2</v>
      </c>
      <c r="C26" s="117">
        <f t="shared" ca="1" si="4"/>
        <v>-5.899734735246643E-2</v>
      </c>
      <c r="E26" s="48">
        <v>20</v>
      </c>
      <c r="F26" s="151">
        <v>9.0572864572387182E-2</v>
      </c>
      <c r="G26" s="151">
        <v>-7.1407209766247122E-3</v>
      </c>
      <c r="H26" s="151">
        <v>4.3730982431233134E-2</v>
      </c>
      <c r="I26" s="139">
        <v>2556.0863713984668</v>
      </c>
    </row>
    <row r="27" spans="1:9" x14ac:dyDescent="0.2">
      <c r="A27" s="117">
        <f t="shared" ca="1" si="2"/>
        <v>1.1747028263081962E-2</v>
      </c>
      <c r="B27" s="117">
        <f t="shared" ca="1" si="3"/>
        <v>1.0715640043257878E-2</v>
      </c>
      <c r="C27" s="117">
        <f t="shared" ca="1" si="4"/>
        <v>-4.9714226829878578E-3</v>
      </c>
      <c r="E27" s="48">
        <v>21</v>
      </c>
      <c r="F27" s="151">
        <v>6.0016140770350786E-2</v>
      </c>
      <c r="G27" s="151">
        <v>2.6068310404902931E-2</v>
      </c>
      <c r="H27" s="151">
        <v>2.7652250549486154E-2</v>
      </c>
      <c r="I27" s="139">
        <v>2062.6621484091938</v>
      </c>
    </row>
    <row r="28" spans="1:9" x14ac:dyDescent="0.2">
      <c r="A28" s="117">
        <f t="shared" ca="1" si="2"/>
        <v>1.2084469753429455E-2</v>
      </c>
      <c r="B28" s="117">
        <f t="shared" ca="1" si="3"/>
        <v>-5.5505756943096403E-2</v>
      </c>
      <c r="C28" s="117">
        <f t="shared" ca="1" si="4"/>
        <v>1.9322346888493835E-2</v>
      </c>
      <c r="E28" s="48">
        <v>22</v>
      </c>
      <c r="F28" s="151">
        <v>-1.1225385296869594E-2</v>
      </c>
      <c r="G28" s="151">
        <v>2.124171943052584E-2</v>
      </c>
      <c r="H28" s="151">
        <v>-1.5444055477843301E-2</v>
      </c>
      <c r="I28" s="139">
        <v>1599.4743757335123</v>
      </c>
    </row>
    <row r="29" spans="1:9" x14ac:dyDescent="0.2">
      <c r="A29" s="117">
        <f t="shared" ca="1" si="2"/>
        <v>-1.7757649142497327E-2</v>
      </c>
      <c r="B29" s="117">
        <f t="shared" ca="1" si="3"/>
        <v>3.0586549673779283E-2</v>
      </c>
      <c r="C29" s="117">
        <f t="shared" ca="1" si="4"/>
        <v>-5.5799977777421317E-3</v>
      </c>
      <c r="E29" s="48">
        <v>23</v>
      </c>
      <c r="F29" s="151">
        <v>5.5137146503313583E-2</v>
      </c>
      <c r="G29" s="151">
        <v>-4.3764197703732625E-2</v>
      </c>
      <c r="H29" s="151">
        <v>7.3793653302324708E-2</v>
      </c>
      <c r="I29" s="139">
        <v>3317.6573527784649</v>
      </c>
    </row>
    <row r="30" spans="1:9" x14ac:dyDescent="0.2">
      <c r="A30" s="117">
        <f t="shared" ca="1" si="2"/>
        <v>5.6199302035855299E-3</v>
      </c>
      <c r="B30" s="117">
        <f t="shared" ca="1" si="3"/>
        <v>4.1529797402037445E-2</v>
      </c>
      <c r="C30" s="117">
        <f t="shared" ca="1" si="4"/>
        <v>1.5436134394430083E-2</v>
      </c>
      <c r="E30" s="48">
        <v>24</v>
      </c>
      <c r="F30" s="151">
        <v>-2.4963629544218637E-2</v>
      </c>
      <c r="G30" s="151">
        <v>4.1878846632245493E-3</v>
      </c>
      <c r="H30" s="151">
        <v>5.2332895791301237E-2</v>
      </c>
      <c r="I30" s="139">
        <v>2657.1937296050414</v>
      </c>
    </row>
    <row r="31" spans="1:9" x14ac:dyDescent="0.2">
      <c r="A31" s="117">
        <f t="shared" ca="1" si="2"/>
        <v>4.4867919086970702E-3</v>
      </c>
      <c r="B31" s="117">
        <f t="shared" ca="1" si="3"/>
        <v>-7.4313278892562794E-3</v>
      </c>
      <c r="C31" s="117">
        <f t="shared" ca="1" si="4"/>
        <v>-2.4905231690863502E-2</v>
      </c>
      <c r="E31" s="48">
        <v>25</v>
      </c>
      <c r="F31" s="151">
        <v>2.5471082871337987E-2</v>
      </c>
      <c r="G31" s="151">
        <v>4.9397602905042949E-2</v>
      </c>
      <c r="H31" s="151">
        <v>5.4594279249213021E-2</v>
      </c>
      <c r="I31" s="139">
        <v>2228.0623107685306</v>
      </c>
    </row>
    <row r="32" spans="1:9" x14ac:dyDescent="0.2">
      <c r="A32" s="117">
        <f t="shared" ca="1" si="2"/>
        <v>3.8554611388236612E-2</v>
      </c>
      <c r="B32" s="117">
        <f t="shared" ca="1" si="3"/>
        <v>2.2984930373978366E-2</v>
      </c>
      <c r="C32" s="117">
        <f t="shared" ca="1" si="4"/>
        <v>3.959529866350063E-2</v>
      </c>
      <c r="E32" s="48">
        <v>26</v>
      </c>
      <c r="F32" s="151">
        <v>-2.0694380638802776E-3</v>
      </c>
      <c r="G32" s="151">
        <v>5.6570758858986742E-2</v>
      </c>
      <c r="H32" s="151">
        <v>1.535623744188758E-2</v>
      </c>
      <c r="I32" s="139">
        <v>1669.2823993478887</v>
      </c>
    </row>
    <row r="33" spans="1:23" x14ac:dyDescent="0.2">
      <c r="A33" s="117">
        <f t="shared" ca="1" si="2"/>
        <v>-1.9581811475966739E-2</v>
      </c>
      <c r="B33" s="117">
        <f t="shared" ca="1" si="3"/>
        <v>3.4001844059346926E-2</v>
      </c>
      <c r="C33" s="117">
        <f t="shared" ca="1" si="4"/>
        <v>3.7151729416795023E-2</v>
      </c>
      <c r="E33" s="48">
        <v>27</v>
      </c>
      <c r="F33" s="151">
        <v>-2.787111228017369E-2</v>
      </c>
      <c r="G33" s="151">
        <v>-1.8172650328855712E-2</v>
      </c>
      <c r="H33" s="151">
        <v>1.287248994009681E-2</v>
      </c>
      <c r="I33" s="139">
        <v>2348.8216769735241</v>
      </c>
    </row>
    <row r="34" spans="1:23" x14ac:dyDescent="0.2">
      <c r="A34" s="117">
        <f t="shared" ca="1" si="2"/>
        <v>-1.1676602219886614E-2</v>
      </c>
      <c r="B34" s="117">
        <f t="shared" ca="1" si="3"/>
        <v>3.6171510583800803E-2</v>
      </c>
      <c r="C34" s="117">
        <f t="shared" ca="1" si="4"/>
        <v>4.3581676718197427E-3</v>
      </c>
      <c r="E34" s="48">
        <v>28</v>
      </c>
      <c r="F34" s="151">
        <v>-6.4445102085878753E-2</v>
      </c>
      <c r="G34" s="151">
        <v>1.0690322497233201E-2</v>
      </c>
      <c r="H34" s="151">
        <v>-5.0419510054765726E-3</v>
      </c>
      <c r="I34" s="139">
        <v>1876.3672199756538</v>
      </c>
    </row>
    <row r="35" spans="1:23" x14ac:dyDescent="0.2">
      <c r="A35" s="117">
        <f t="shared" ca="1" si="2"/>
        <v>2.1244615725506805E-2</v>
      </c>
      <c r="B35" s="117">
        <f t="shared" ca="1" si="3"/>
        <v>3.1775508999783326E-2</v>
      </c>
      <c r="C35" s="117">
        <f t="shared" ca="1" si="4"/>
        <v>-1.6150943462133902E-2</v>
      </c>
      <c r="E35" s="48">
        <v>29</v>
      </c>
      <c r="F35" s="151">
        <v>-9.6600149537811614E-3</v>
      </c>
      <c r="G35" s="151">
        <v>-3.2254321639125914E-2</v>
      </c>
      <c r="H35" s="151">
        <v>-6.2053234716128768E-3</v>
      </c>
      <c r="I35" s="146">
        <v>2214.1866134424158</v>
      </c>
    </row>
    <row r="36" spans="1:23" x14ac:dyDescent="0.2">
      <c r="A36" s="117">
        <f t="shared" ca="1" si="2"/>
        <v>-2.2693851216632786E-2</v>
      </c>
      <c r="B36" s="117">
        <f t="shared" ca="1" si="3"/>
        <v>-1.2207662461816713E-2</v>
      </c>
      <c r="C36" s="117">
        <f t="shared" ca="1" si="4"/>
        <v>-6.4296525499253424E-2</v>
      </c>
      <c r="E36" s="48">
        <v>30</v>
      </c>
      <c r="F36" s="151">
        <v>3.1224656770311086E-2</v>
      </c>
      <c r="G36" s="151">
        <v>2.5043329556207441E-2</v>
      </c>
      <c r="H36" s="151">
        <v>6.2036846829691406E-2</v>
      </c>
      <c r="I36" s="146">
        <v>2546.3005018304648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x14ac:dyDescent="0.2">
      <c r="A37" s="117">
        <f t="shared" ca="1" si="2"/>
        <v>-6.5412570930527325E-2</v>
      </c>
      <c r="B37" s="117">
        <f t="shared" ca="1" si="3"/>
        <v>-1.2690965042956177E-2</v>
      </c>
      <c r="C37" s="117">
        <f t="shared" ca="1" si="4"/>
        <v>-5.6147453587171076E-2</v>
      </c>
      <c r="E37" s="48">
        <v>31</v>
      </c>
      <c r="F37" s="152">
        <v>2.9967305515147796E-2</v>
      </c>
      <c r="G37" s="152">
        <v>-3.9547777767877206E-2</v>
      </c>
      <c r="H37" s="152">
        <v>-1.6527289244262014E-2</v>
      </c>
      <c r="I37" s="115">
        <v>2114.3480810363508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x14ac:dyDescent="0.2">
      <c r="A38" s="117">
        <f t="shared" ca="1" si="2"/>
        <v>-6.762749245212038E-2</v>
      </c>
      <c r="B38" s="117">
        <f t="shared" ca="1" si="3"/>
        <v>-2.5143492095877289E-2</v>
      </c>
      <c r="C38" s="117">
        <f t="shared" ca="1" si="4"/>
        <v>-1.9620763147200408E-2</v>
      </c>
      <c r="E38" s="48">
        <v>32</v>
      </c>
      <c r="F38" s="152">
        <v>-1.9912935551994974E-2</v>
      </c>
      <c r="G38" s="152">
        <v>-4.8848666057981823E-3</v>
      </c>
      <c r="H38" s="152">
        <v>1.898104296226787E-2</v>
      </c>
      <c r="I38" s="115">
        <v>2299.6226946440561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x14ac:dyDescent="0.2">
      <c r="A39" s="117">
        <f t="shared" ca="1" si="2"/>
        <v>-7.6287454675371073E-3</v>
      </c>
      <c r="B39" s="117">
        <f t="shared" ca="1" si="3"/>
        <v>-2.7738579831444992E-3</v>
      </c>
      <c r="C39" s="117">
        <f t="shared" ca="1" si="4"/>
        <v>1.367275957001822E-2</v>
      </c>
      <c r="E39" s="48">
        <v>33</v>
      </c>
      <c r="F39" s="152">
        <v>-2.0005797689497565E-2</v>
      </c>
      <c r="G39" s="152">
        <v>1.9804764774159277E-2</v>
      </c>
      <c r="H39" s="152">
        <v>4.075742057349277E-2</v>
      </c>
      <c r="I39" s="115">
        <v>2356.9377516344607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 x14ac:dyDescent="0.2">
      <c r="A40" s="117">
        <f t="shared" ca="1" si="2"/>
        <v>1.933590624114331E-2</v>
      </c>
      <c r="B40" s="117">
        <f t="shared" ca="1" si="3"/>
        <v>8.7596585038264996E-3</v>
      </c>
      <c r="C40" s="117">
        <f t="shared" ca="1" si="4"/>
        <v>3.6504334437895899E-3</v>
      </c>
      <c r="E40" s="48">
        <v>34</v>
      </c>
      <c r="F40" s="152">
        <v>4.8007493986139509E-2</v>
      </c>
      <c r="G40" s="152">
        <v>2.3227763693059431E-2</v>
      </c>
      <c r="H40" s="152">
        <v>2.8289975509846462E-2</v>
      </c>
      <c r="I40" s="115">
        <v>2106.9732073227733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 x14ac:dyDescent="0.2">
      <c r="A41" s="117">
        <f t="shared" ca="1" si="2"/>
        <v>-5.0895819716008754E-2</v>
      </c>
      <c r="B41" s="117">
        <f t="shared" ca="1" si="3"/>
        <v>4.1907826989510254E-2</v>
      </c>
      <c r="C41" s="117">
        <f t="shared" ca="1" si="4"/>
        <v>3.9179498933259111E-3</v>
      </c>
      <c r="E41" s="48">
        <v>35</v>
      </c>
      <c r="F41" s="152">
        <v>9.4034640269026713E-3</v>
      </c>
      <c r="G41" s="152">
        <v>-1.6329990208377495E-2</v>
      </c>
      <c r="H41" s="152">
        <v>-5.2708990908685452E-3</v>
      </c>
      <c r="I41" s="115">
        <v>2063.7948514011123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 x14ac:dyDescent="0.2">
      <c r="A42" s="117">
        <f t="shared" ca="1" si="2"/>
        <v>5.5275290453302851E-2</v>
      </c>
      <c r="B42" s="117">
        <f t="shared" ca="1" si="3"/>
        <v>3.4594499673442095E-2</v>
      </c>
      <c r="C42" s="117">
        <f t="shared" ca="1" si="4"/>
        <v>-2.4043511400677682E-2</v>
      </c>
      <c r="E42" s="48">
        <v>36</v>
      </c>
      <c r="F42" s="152">
        <v>1.3731598105532847E-2</v>
      </c>
      <c r="G42" s="152">
        <v>-1.6277722483495419E-2</v>
      </c>
      <c r="H42" s="152">
        <v>-1.1391155787569912E-2</v>
      </c>
      <c r="I42" s="115">
        <v>1979.5557791996396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 x14ac:dyDescent="0.2">
      <c r="A43" s="117">
        <f ca="1">NORMINV(RAND(),$F$2,$G$2)</f>
        <v>-7.145263568021408E-2</v>
      </c>
      <c r="B43" s="117">
        <f ca="1">NORMINV(RAND(),$F$3,$G$3)</f>
        <v>2.2474223309352635E-2</v>
      </c>
      <c r="C43" s="117">
        <f ca="1">NORMINV(RAND(),$F$4,$G$4)</f>
        <v>-2.5904984202962878E-2</v>
      </c>
      <c r="E43" s="48">
        <v>37</v>
      </c>
      <c r="F43" s="152">
        <v>-3.0254533901928771E-2</v>
      </c>
      <c r="G43" s="152">
        <v>-1.5228886651718301E-2</v>
      </c>
      <c r="H43" s="152">
        <v>-2.4307427986902382E-2</v>
      </c>
      <c r="I43" s="115">
        <v>1835.8879895020195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 x14ac:dyDescent="0.2">
      <c r="A44" s="117">
        <f t="shared" ref="A44:A46" ca="1" si="5">NORMINV(RAND(),$F$2,$G$2)</f>
        <v>-6.1803761456693536E-2</v>
      </c>
      <c r="B44" s="117">
        <f t="shared" ref="B44:B46" ca="1" si="6">NORMINV(RAND(),$F$3,$G$3)</f>
        <v>-1.075798002913567E-2</v>
      </c>
      <c r="C44" s="117">
        <f t="shared" ref="C44:C46" ca="1" si="7">NORMINV(RAND(),$F$4,$G$4)</f>
        <v>1.9880408031156555E-2</v>
      </c>
      <c r="E44" s="48">
        <v>38</v>
      </c>
      <c r="F44" s="152">
        <v>3.6451969253624913E-2</v>
      </c>
      <c r="G44" s="152">
        <v>2.4773455066935289E-3</v>
      </c>
      <c r="H44" s="152">
        <v>3.000323893970662E-2</v>
      </c>
      <c r="I44" s="115">
        <v>2330.6802280063762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 x14ac:dyDescent="0.2">
      <c r="A45" s="117">
        <f t="shared" ca="1" si="5"/>
        <v>5.1349649109215549E-3</v>
      </c>
      <c r="B45" s="117">
        <f t="shared" ca="1" si="6"/>
        <v>3.5947016539543429E-2</v>
      </c>
      <c r="C45" s="117">
        <f t="shared" ca="1" si="7"/>
        <v>4.8897188326944355E-3</v>
      </c>
      <c r="E45" s="48">
        <v>39</v>
      </c>
      <c r="F45" s="152">
        <v>1.2125216171973228E-2</v>
      </c>
      <c r="G45" s="152">
        <v>-6.1240243999791596E-3</v>
      </c>
      <c r="H45" s="152">
        <v>3.5346742586206722E-2</v>
      </c>
      <c r="I45" s="115">
        <v>2499.9160901882738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 x14ac:dyDescent="0.2">
      <c r="A46" s="117">
        <f t="shared" ca="1" si="5"/>
        <v>1.4954265203839415E-2</v>
      </c>
      <c r="B46" s="117">
        <f t="shared" ca="1" si="6"/>
        <v>1.8871201498512756E-2</v>
      </c>
      <c r="C46" s="117">
        <f t="shared" ca="1" si="7"/>
        <v>-2.8444910467129081E-3</v>
      </c>
      <c r="E46" s="43">
        <v>40</v>
      </c>
      <c r="F46" s="134">
        <v>-2.50338934805702E-2</v>
      </c>
      <c r="G46" s="134">
        <v>-4.7100819357159714E-3</v>
      </c>
      <c r="H46" s="134">
        <v>-1.7538737514273931E-2</v>
      </c>
      <c r="I46" s="115">
        <v>1823.1634971020901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 x14ac:dyDescent="0.2">
      <c r="A47" s="117"/>
      <c r="B47" s="117"/>
      <c r="C47" s="117"/>
      <c r="D47" s="155"/>
      <c r="E47" s="156"/>
      <c r="F47" s="156"/>
      <c r="G47" s="156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 x14ac:dyDescent="0.2">
      <c r="A48" s="117"/>
      <c r="B48" s="117"/>
      <c r="C48" s="117"/>
      <c r="D48" s="153"/>
      <c r="E48" s="154"/>
      <c r="F48" s="154"/>
      <c r="G48" s="15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 x14ac:dyDescent="0.2">
      <c r="A49" s="117"/>
      <c r="B49" s="117"/>
      <c r="C49" s="117"/>
      <c r="D49" s="153"/>
      <c r="E49" s="154"/>
      <c r="F49" s="154"/>
      <c r="G49" s="15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 x14ac:dyDescent="0.2">
      <c r="A50" s="117"/>
      <c r="B50" s="117"/>
      <c r="C50" s="117"/>
      <c r="D50" s="153"/>
      <c r="E50" s="154"/>
      <c r="F50" s="154"/>
      <c r="G50" s="154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 x14ac:dyDescent="0.2">
      <c r="A51" s="117"/>
      <c r="B51" s="117"/>
      <c r="C51" s="117"/>
      <c r="D51" s="153"/>
      <c r="E51" s="154"/>
      <c r="F51" s="154"/>
      <c r="G51" s="154"/>
      <c r="I51" s="153"/>
      <c r="J51" s="153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25"/>
    </row>
    <row r="52" spans="1:23" x14ac:dyDescent="0.2">
      <c r="A52" s="117"/>
      <c r="B52" s="117"/>
      <c r="C52" s="117"/>
      <c r="D52" s="153"/>
      <c r="E52" s="154"/>
      <c r="F52" s="154"/>
      <c r="G52" s="154"/>
      <c r="I52" s="153"/>
      <c r="J52" s="153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25"/>
    </row>
    <row r="53" spans="1:23" x14ac:dyDescent="0.2">
      <c r="A53" s="117"/>
      <c r="B53" s="117"/>
      <c r="C53" s="117"/>
      <c r="D53" s="153"/>
      <c r="E53" s="154"/>
      <c r="F53" s="154"/>
      <c r="G53" s="154"/>
      <c r="I53" s="153"/>
      <c r="J53" s="153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25"/>
    </row>
    <row r="54" spans="1:23" x14ac:dyDescent="0.2">
      <c r="A54" s="117"/>
      <c r="B54" s="117"/>
      <c r="C54" s="117"/>
      <c r="D54" s="153"/>
      <c r="E54" s="154"/>
      <c r="F54" s="154"/>
      <c r="G54" s="154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25"/>
    </row>
    <row r="55" spans="1:23" x14ac:dyDescent="0.2">
      <c r="A55" s="117"/>
      <c r="B55" s="117"/>
      <c r="C55" s="117"/>
      <c r="D55" s="153"/>
      <c r="E55" s="154"/>
      <c r="F55" s="154"/>
      <c r="G55" s="154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25"/>
    </row>
    <row r="56" spans="1:23" x14ac:dyDescent="0.2">
      <c r="A56" s="117"/>
      <c r="B56" s="117"/>
      <c r="C56" s="117"/>
      <c r="D56" s="153"/>
      <c r="E56" s="154"/>
      <c r="F56" s="154"/>
      <c r="G56" s="154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25"/>
    </row>
    <row r="57" spans="1:23" x14ac:dyDescent="0.2">
      <c r="A57" s="117"/>
      <c r="B57" s="117"/>
      <c r="C57" s="117"/>
      <c r="E57" s="117"/>
      <c r="F57" s="117"/>
      <c r="G57" s="117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x14ac:dyDescent="0.2">
      <c r="A58" s="117"/>
      <c r="B58" s="117"/>
      <c r="C58" s="117"/>
      <c r="E58" s="117"/>
      <c r="F58" s="117"/>
      <c r="G58" s="117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 x14ac:dyDescent="0.2">
      <c r="A59" s="117"/>
      <c r="B59" s="117"/>
      <c r="C59" s="117"/>
      <c r="E59" s="117"/>
      <c r="F59" s="117"/>
      <c r="G59" s="117"/>
    </row>
    <row r="60" spans="1:23" x14ac:dyDescent="0.2">
      <c r="A60" s="117"/>
      <c r="B60" s="117"/>
      <c r="C60" s="117"/>
      <c r="E60" s="117"/>
      <c r="F60" s="117"/>
      <c r="G60" s="117"/>
    </row>
    <row r="61" spans="1:23" x14ac:dyDescent="0.2">
      <c r="A61" s="117"/>
      <c r="B61" s="117"/>
      <c r="C61" s="117"/>
      <c r="E61" s="117"/>
      <c r="F61" s="117"/>
      <c r="G61" s="117"/>
    </row>
    <row r="62" spans="1:23" x14ac:dyDescent="0.2">
      <c r="A62" s="117"/>
      <c r="B62" s="117"/>
      <c r="C62" s="117"/>
      <c r="E62" s="117"/>
      <c r="F62" s="117"/>
      <c r="G62" s="117"/>
    </row>
    <row r="63" spans="1:23" x14ac:dyDescent="0.2">
      <c r="A63" s="117"/>
      <c r="B63" s="117"/>
      <c r="C63" s="117"/>
      <c r="E63" s="117"/>
      <c r="F63" s="117"/>
      <c r="G63" s="117"/>
    </row>
    <row r="64" spans="1:23" x14ac:dyDescent="0.2">
      <c r="A64" s="117"/>
      <c r="B64" s="117"/>
      <c r="C64" s="117"/>
      <c r="E64" s="117"/>
      <c r="F64" s="117"/>
      <c r="G64" s="117"/>
    </row>
    <row r="65" spans="1:7" x14ac:dyDescent="0.2">
      <c r="A65" s="117"/>
      <c r="B65" s="117"/>
      <c r="C65" s="117"/>
      <c r="E65" s="117"/>
      <c r="F65" s="117"/>
      <c r="G65" s="117"/>
    </row>
    <row r="66" spans="1:7" x14ac:dyDescent="0.2">
      <c r="A66" s="117"/>
      <c r="B66" s="117"/>
      <c r="C66" s="117"/>
      <c r="E66" s="117"/>
      <c r="F66" s="117"/>
      <c r="G66" s="117"/>
    </row>
    <row r="67" spans="1:7" x14ac:dyDescent="0.2">
      <c r="A67" s="117"/>
      <c r="B67" s="117"/>
      <c r="C67" s="117"/>
      <c r="E67" s="117"/>
      <c r="F67" s="117"/>
      <c r="G67" s="117"/>
    </row>
    <row r="68" spans="1:7" x14ac:dyDescent="0.2">
      <c r="A68" s="117"/>
      <c r="B68" s="117"/>
      <c r="C68" s="117"/>
      <c r="E68" s="117"/>
      <c r="F68" s="117"/>
      <c r="G68" s="117"/>
    </row>
    <row r="69" spans="1:7" x14ac:dyDescent="0.2">
      <c r="A69" s="117"/>
      <c r="B69" s="117"/>
      <c r="C69" s="117"/>
      <c r="E69" s="117"/>
      <c r="F69" s="117"/>
      <c r="G69" s="117"/>
    </row>
    <row r="70" spans="1:7" x14ac:dyDescent="0.2">
      <c r="A70" s="117"/>
      <c r="B70" s="117"/>
      <c r="C70" s="117"/>
      <c r="E70" s="117"/>
      <c r="F70" s="117"/>
      <c r="G70" s="117"/>
    </row>
    <row r="71" spans="1:7" x14ac:dyDescent="0.2">
      <c r="A71" s="117"/>
      <c r="B71" s="117"/>
      <c r="C71" s="117"/>
      <c r="E71" s="117"/>
      <c r="F71" s="117"/>
      <c r="G71" s="117"/>
    </row>
    <row r="72" spans="1:7" x14ac:dyDescent="0.2">
      <c r="A72" s="117"/>
      <c r="B72" s="117"/>
      <c r="C72" s="117"/>
      <c r="E72" s="117"/>
      <c r="F72" s="117"/>
      <c r="G72" s="117"/>
    </row>
    <row r="73" spans="1:7" x14ac:dyDescent="0.2">
      <c r="A73" s="117"/>
      <c r="B73" s="117"/>
      <c r="C73" s="117"/>
      <c r="E73" s="117"/>
      <c r="F73" s="117"/>
      <c r="G73" s="117"/>
    </row>
    <row r="74" spans="1:7" x14ac:dyDescent="0.2">
      <c r="A74" s="117"/>
      <c r="B74" s="117"/>
      <c r="C74" s="117"/>
      <c r="E74" s="117"/>
      <c r="F74" s="117"/>
      <c r="G74" s="117"/>
    </row>
    <row r="75" spans="1:7" x14ac:dyDescent="0.2">
      <c r="A75" s="117"/>
      <c r="B75" s="117"/>
      <c r="C75" s="117"/>
      <c r="E75" s="117"/>
      <c r="F75" s="117"/>
      <c r="G75" s="117"/>
    </row>
    <row r="76" spans="1:7" x14ac:dyDescent="0.2">
      <c r="A76" s="117"/>
      <c r="B76" s="117"/>
      <c r="C76" s="117"/>
      <c r="E76" s="117"/>
      <c r="F76" s="117"/>
      <c r="G76" s="117"/>
    </row>
    <row r="77" spans="1:7" x14ac:dyDescent="0.2">
      <c r="A77" s="117"/>
      <c r="B77" s="117"/>
      <c r="C77" s="117"/>
      <c r="E77" s="117"/>
      <c r="F77" s="117"/>
      <c r="G77" s="117"/>
    </row>
    <row r="78" spans="1:7" x14ac:dyDescent="0.2">
      <c r="A78" s="117"/>
      <c r="B78" s="117"/>
      <c r="C78" s="117"/>
      <c r="E78" s="117"/>
      <c r="F78" s="117"/>
      <c r="G78" s="117"/>
    </row>
    <row r="79" spans="1:7" x14ac:dyDescent="0.2">
      <c r="A79" s="117"/>
      <c r="B79" s="117"/>
      <c r="C79" s="117"/>
      <c r="E79" s="117"/>
      <c r="F79" s="117"/>
      <c r="G79" s="117"/>
    </row>
    <row r="80" spans="1:7" x14ac:dyDescent="0.2">
      <c r="A80" s="117"/>
      <c r="B80" s="117"/>
      <c r="C80" s="117"/>
      <c r="E80" s="117"/>
      <c r="F80" s="117"/>
      <c r="G80" s="117"/>
    </row>
    <row r="81" spans="1:7" x14ac:dyDescent="0.2">
      <c r="A81" s="117"/>
      <c r="B81" s="117"/>
      <c r="C81" s="117"/>
      <c r="E81" s="117"/>
      <c r="F81" s="117"/>
      <c r="G81" s="117"/>
    </row>
    <row r="82" spans="1:7" x14ac:dyDescent="0.2">
      <c r="A82" s="117"/>
      <c r="B82" s="117"/>
      <c r="C82" s="117"/>
      <c r="E82" s="117"/>
      <c r="F82" s="117"/>
      <c r="G82" s="117"/>
    </row>
    <row r="83" spans="1:7" x14ac:dyDescent="0.2">
      <c r="A83" s="117"/>
      <c r="B83" s="117"/>
      <c r="C83" s="117"/>
      <c r="E83" s="117"/>
      <c r="F83" s="117"/>
      <c r="G83" s="117"/>
    </row>
    <row r="84" spans="1:7" x14ac:dyDescent="0.2">
      <c r="A84" s="117"/>
      <c r="B84" s="117"/>
      <c r="C84" s="117"/>
      <c r="E84" s="117"/>
      <c r="F84" s="117"/>
      <c r="G84" s="117"/>
    </row>
    <row r="85" spans="1:7" x14ac:dyDescent="0.2">
      <c r="A85" s="117"/>
      <c r="B85" s="117"/>
      <c r="C85" s="117"/>
      <c r="E85" s="117"/>
      <c r="F85" s="117"/>
      <c r="G85" s="117"/>
    </row>
    <row r="86" spans="1:7" x14ac:dyDescent="0.2">
      <c r="A86" s="117"/>
      <c r="B86" s="117"/>
      <c r="C86" s="117"/>
      <c r="E86" s="117"/>
      <c r="F86" s="117"/>
      <c r="G86" s="117"/>
    </row>
    <row r="87" spans="1:7" x14ac:dyDescent="0.2">
      <c r="A87" s="117"/>
      <c r="B87" s="117"/>
      <c r="C87" s="117"/>
      <c r="E87" s="117"/>
      <c r="F87" s="117"/>
      <c r="G87" s="117"/>
    </row>
    <row r="88" spans="1:7" x14ac:dyDescent="0.2">
      <c r="A88" s="117"/>
      <c r="B88" s="117"/>
      <c r="C88" s="117"/>
      <c r="E88" s="117"/>
      <c r="F88" s="117"/>
      <c r="G88" s="117"/>
    </row>
    <row r="89" spans="1:7" x14ac:dyDescent="0.2">
      <c r="A89" s="117"/>
      <c r="B89" s="117"/>
      <c r="C89" s="117"/>
      <c r="E89" s="117"/>
      <c r="F89" s="117"/>
      <c r="G89" s="117"/>
    </row>
    <row r="90" spans="1:7" x14ac:dyDescent="0.2">
      <c r="A90" s="117"/>
      <c r="B90" s="117"/>
      <c r="C90" s="117"/>
      <c r="E90" s="117"/>
      <c r="F90" s="117"/>
      <c r="G90" s="117"/>
    </row>
    <row r="91" spans="1:7" x14ac:dyDescent="0.2">
      <c r="A91" s="117"/>
      <c r="B91" s="117"/>
      <c r="C91" s="117"/>
      <c r="E91" s="117"/>
      <c r="F91" s="117"/>
      <c r="G91" s="117"/>
    </row>
    <row r="92" spans="1:7" x14ac:dyDescent="0.2">
      <c r="A92" s="117"/>
      <c r="B92" s="117"/>
      <c r="C92" s="117"/>
      <c r="E92" s="117"/>
      <c r="F92" s="117"/>
      <c r="G92" s="117"/>
    </row>
    <row r="93" spans="1:7" x14ac:dyDescent="0.2">
      <c r="A93" s="117"/>
      <c r="B93" s="117"/>
      <c r="C93" s="117"/>
      <c r="E93" s="117"/>
      <c r="F93" s="117"/>
      <c r="G93" s="117"/>
    </row>
    <row r="94" spans="1:7" x14ac:dyDescent="0.2">
      <c r="A94" s="117"/>
      <c r="B94" s="117"/>
      <c r="C94" s="117"/>
      <c r="E94" s="117"/>
      <c r="F94" s="117"/>
      <c r="G94" s="117"/>
    </row>
    <row r="95" spans="1:7" x14ac:dyDescent="0.2">
      <c r="A95" s="117"/>
      <c r="B95" s="117"/>
      <c r="C95" s="117"/>
      <c r="E95" s="117"/>
      <c r="F95" s="117"/>
      <c r="G95" s="117"/>
    </row>
    <row r="96" spans="1:7" x14ac:dyDescent="0.2">
      <c r="A96" s="117"/>
      <c r="B96" s="117"/>
      <c r="C96" s="117"/>
      <c r="E96" s="117"/>
      <c r="F96" s="117"/>
      <c r="G96" s="117"/>
    </row>
    <row r="97" spans="1:8" x14ac:dyDescent="0.2">
      <c r="A97" s="117"/>
      <c r="B97" s="117"/>
      <c r="C97" s="117"/>
      <c r="E97" s="117"/>
      <c r="F97" s="117"/>
      <c r="G97" s="117"/>
    </row>
    <row r="98" spans="1:8" x14ac:dyDescent="0.2">
      <c r="A98" s="117"/>
      <c r="B98" s="117"/>
      <c r="C98" s="117"/>
      <c r="E98" s="117"/>
      <c r="F98" s="117"/>
      <c r="G98" s="117"/>
    </row>
    <row r="99" spans="1:8" x14ac:dyDescent="0.2">
      <c r="A99" s="117"/>
      <c r="B99" s="117"/>
      <c r="C99" s="117"/>
      <c r="E99" s="117"/>
      <c r="F99" s="117"/>
      <c r="G99" s="117"/>
    </row>
    <row r="100" spans="1:8" x14ac:dyDescent="0.2">
      <c r="A100" s="117"/>
      <c r="B100" s="117"/>
      <c r="C100" s="117"/>
      <c r="E100" s="117"/>
      <c r="F100" s="117"/>
      <c r="G100" s="117"/>
    </row>
    <row r="101" spans="1:8" x14ac:dyDescent="0.2">
      <c r="A101" s="117"/>
      <c r="B101" s="117"/>
      <c r="C101" s="117"/>
      <c r="E101" s="117"/>
      <c r="F101" s="117"/>
      <c r="G101" s="117"/>
    </row>
    <row r="102" spans="1:8" x14ac:dyDescent="0.2">
      <c r="A102" s="117"/>
      <c r="B102" s="117"/>
      <c r="C102" s="117"/>
      <c r="E102" s="117"/>
      <c r="F102" s="117"/>
      <c r="G102" s="117"/>
    </row>
    <row r="103" spans="1:8" x14ac:dyDescent="0.2">
      <c r="B103" s="117"/>
      <c r="C103" s="117"/>
      <c r="D103" s="117"/>
      <c r="F103" s="117"/>
      <c r="G103" s="117"/>
      <c r="H103" s="117"/>
    </row>
    <row r="104" spans="1:8" x14ac:dyDescent="0.2">
      <c r="B104" s="117"/>
      <c r="C104" s="117"/>
      <c r="D104" s="117"/>
      <c r="F104" s="117"/>
      <c r="G104" s="117"/>
      <c r="H104" s="117"/>
    </row>
    <row r="105" spans="1:8" x14ac:dyDescent="0.2">
      <c r="B105" s="117"/>
      <c r="C105" s="117"/>
      <c r="D105" s="117"/>
      <c r="F105" s="117"/>
      <c r="G105" s="117"/>
      <c r="H105" s="117"/>
    </row>
    <row r="106" spans="1:8" x14ac:dyDescent="0.2">
      <c r="B106" s="117"/>
      <c r="C106" s="117"/>
      <c r="D106" s="117"/>
      <c r="F106" s="117"/>
      <c r="G106" s="117"/>
      <c r="H106" s="1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D936-5C3F-47D7-A0B6-99C54EEFDCA3}">
  <dimension ref="A1:F74"/>
  <sheetViews>
    <sheetView topLeftCell="A68" workbookViewId="0">
      <selection activeCell="C45" sqref="C45"/>
    </sheetView>
  </sheetViews>
  <sheetFormatPr defaultRowHeight="14.25" x14ac:dyDescent="0.2"/>
  <sheetData>
    <row r="1" spans="1:5" x14ac:dyDescent="0.2">
      <c r="A1" t="s">
        <v>227</v>
      </c>
      <c r="C1" t="s">
        <v>228</v>
      </c>
      <c r="D1" t="s">
        <v>229</v>
      </c>
      <c r="E1" t="s">
        <v>230</v>
      </c>
    </row>
    <row r="2" spans="1:5" x14ac:dyDescent="0.2">
      <c r="A2" s="35">
        <v>996.79211826236201</v>
      </c>
      <c r="C2">
        <f>FREQUENCY(A2:A31,A2:A31)</f>
        <v>1</v>
      </c>
      <c r="D2">
        <f>C2</f>
        <v>1</v>
      </c>
      <c r="E2" s="117">
        <f>D2/40</f>
        <v>2.5000000000000001E-2</v>
      </c>
    </row>
    <row r="3" spans="1:5" x14ac:dyDescent="0.2">
      <c r="A3" s="35">
        <v>1101.0754001283381</v>
      </c>
      <c r="C3">
        <f>FREQUENCY(A3:A32,A3:A32)</f>
        <v>1</v>
      </c>
      <c r="D3">
        <f>D2+C3</f>
        <v>2</v>
      </c>
      <c r="E3" s="117">
        <f t="shared" ref="E3:E41" si="0">D3/40</f>
        <v>0.05</v>
      </c>
    </row>
    <row r="4" spans="1:5" x14ac:dyDescent="0.2">
      <c r="A4" s="35">
        <v>1208.4529775662156</v>
      </c>
      <c r="C4">
        <f>FREQUENCY(A4:A33,A4:A33)</f>
        <v>1</v>
      </c>
      <c r="D4">
        <f t="shared" ref="D4:D41" si="1">D3+C4</f>
        <v>3</v>
      </c>
      <c r="E4" s="117">
        <f t="shared" si="0"/>
        <v>7.4999999999999997E-2</v>
      </c>
    </row>
    <row r="5" spans="1:5" x14ac:dyDescent="0.2">
      <c r="A5" s="35">
        <v>1415.9392557762815</v>
      </c>
      <c r="C5">
        <f>FREQUENCY(A5:A34,A5:A34)</f>
        <v>1</v>
      </c>
      <c r="D5">
        <f t="shared" si="1"/>
        <v>4</v>
      </c>
      <c r="E5" s="117">
        <f t="shared" si="0"/>
        <v>0.1</v>
      </c>
    </row>
    <row r="6" spans="1:5" x14ac:dyDescent="0.2">
      <c r="A6" s="35">
        <v>1599.4743757335123</v>
      </c>
      <c r="C6">
        <f>FREQUENCY(A6:A35,A6:A35)</f>
        <v>1</v>
      </c>
      <c r="D6">
        <f t="shared" si="1"/>
        <v>5</v>
      </c>
      <c r="E6" s="117">
        <f t="shared" si="0"/>
        <v>0.125</v>
      </c>
    </row>
    <row r="7" spans="1:5" x14ac:dyDescent="0.2">
      <c r="A7" s="35">
        <v>1669.2823993478887</v>
      </c>
      <c r="C7">
        <f>FREQUENCY(A7:A36,A7:A36)</f>
        <v>1</v>
      </c>
      <c r="D7">
        <f t="shared" si="1"/>
        <v>6</v>
      </c>
      <c r="E7" s="117">
        <f t="shared" si="0"/>
        <v>0.15</v>
      </c>
    </row>
    <row r="8" spans="1:5" x14ac:dyDescent="0.2">
      <c r="A8" s="144">
        <v>1823.1634971020901</v>
      </c>
      <c r="C8">
        <f>FREQUENCY(A8:A37,A8:A37)</f>
        <v>1</v>
      </c>
      <c r="D8">
        <f t="shared" si="1"/>
        <v>7</v>
      </c>
      <c r="E8" s="117">
        <f t="shared" si="0"/>
        <v>0.17499999999999999</v>
      </c>
    </row>
    <row r="9" spans="1:5" x14ac:dyDescent="0.2">
      <c r="A9" s="144">
        <v>1835.8879895020195</v>
      </c>
      <c r="C9">
        <f>FREQUENCY(A9:A38,A9:A38)</f>
        <v>1</v>
      </c>
      <c r="D9">
        <f t="shared" si="1"/>
        <v>8</v>
      </c>
      <c r="E9" s="117">
        <f t="shared" si="0"/>
        <v>0.2</v>
      </c>
    </row>
    <row r="10" spans="1:5" x14ac:dyDescent="0.2">
      <c r="A10" s="35">
        <v>1876.3672199756538</v>
      </c>
      <c r="C10">
        <f>FREQUENCY(A10:A39,A10:A39)</f>
        <v>1</v>
      </c>
      <c r="D10">
        <f t="shared" si="1"/>
        <v>9</v>
      </c>
      <c r="E10" s="117">
        <f t="shared" si="0"/>
        <v>0.22500000000000001</v>
      </c>
    </row>
    <row r="11" spans="1:5" x14ac:dyDescent="0.2">
      <c r="A11" s="35">
        <v>1880.565838295717</v>
      </c>
      <c r="C11">
        <f>FREQUENCY(A11:A40,A11:A40)</f>
        <v>1</v>
      </c>
      <c r="D11">
        <f t="shared" si="1"/>
        <v>10</v>
      </c>
      <c r="E11" s="117">
        <f t="shared" si="0"/>
        <v>0.25</v>
      </c>
    </row>
    <row r="12" spans="1:5" x14ac:dyDescent="0.2">
      <c r="A12" s="144">
        <v>1979.5557791996396</v>
      </c>
      <c r="C12">
        <f>FREQUENCY(A12:A41,A12:A41)</f>
        <v>1</v>
      </c>
      <c r="D12">
        <f t="shared" si="1"/>
        <v>11</v>
      </c>
      <c r="E12" s="117">
        <f t="shared" si="0"/>
        <v>0.27500000000000002</v>
      </c>
    </row>
    <row r="13" spans="1:5" x14ac:dyDescent="0.2">
      <c r="A13" s="35">
        <v>2023.7791571994892</v>
      </c>
      <c r="C13">
        <f>FREQUENCY(A13:A42,A13:A42)</f>
        <v>1</v>
      </c>
      <c r="D13">
        <f t="shared" si="1"/>
        <v>12</v>
      </c>
      <c r="E13" s="117">
        <f t="shared" si="0"/>
        <v>0.3</v>
      </c>
    </row>
    <row r="14" spans="1:5" x14ac:dyDescent="0.2">
      <c r="A14" s="35">
        <v>2059.3311988863115</v>
      </c>
      <c r="C14">
        <f>FREQUENCY(A14:A43,A14:A43)</f>
        <v>1</v>
      </c>
      <c r="D14">
        <f t="shared" si="1"/>
        <v>13</v>
      </c>
      <c r="E14" s="117">
        <f t="shared" si="0"/>
        <v>0.32500000000000001</v>
      </c>
    </row>
    <row r="15" spans="1:5" x14ac:dyDescent="0.2">
      <c r="A15" s="35">
        <v>2062.6621484091938</v>
      </c>
      <c r="C15">
        <f>FREQUENCY(A15:A44,A15:A44)</f>
        <v>1</v>
      </c>
      <c r="D15">
        <f t="shared" si="1"/>
        <v>14</v>
      </c>
      <c r="E15" s="117">
        <f t="shared" si="0"/>
        <v>0.35</v>
      </c>
    </row>
    <row r="16" spans="1:5" x14ac:dyDescent="0.2">
      <c r="A16" s="144">
        <v>2063.7948514011123</v>
      </c>
      <c r="C16">
        <f>FREQUENCY(A16:A45,A16:A45)</f>
        <v>1</v>
      </c>
      <c r="D16">
        <f t="shared" si="1"/>
        <v>15</v>
      </c>
      <c r="E16" s="117">
        <f t="shared" si="0"/>
        <v>0.375</v>
      </c>
    </row>
    <row r="17" spans="1:5" x14ac:dyDescent="0.2">
      <c r="A17" s="35">
        <v>2076.9857168897861</v>
      </c>
      <c r="C17">
        <f>FREQUENCY(A17:A46,A17:A46)</f>
        <v>1</v>
      </c>
      <c r="D17">
        <f t="shared" si="1"/>
        <v>16</v>
      </c>
      <c r="E17" s="117">
        <f t="shared" si="0"/>
        <v>0.4</v>
      </c>
    </row>
    <row r="18" spans="1:5" x14ac:dyDescent="0.2">
      <c r="A18" s="35">
        <v>2098.6752097006261</v>
      </c>
      <c r="C18">
        <f>FREQUENCY(A18:A47,A18:A47)</f>
        <v>1</v>
      </c>
      <c r="D18">
        <f t="shared" si="1"/>
        <v>17</v>
      </c>
      <c r="E18" s="117">
        <f t="shared" si="0"/>
        <v>0.42499999999999999</v>
      </c>
    </row>
    <row r="19" spans="1:5" x14ac:dyDescent="0.2">
      <c r="A19" s="144">
        <v>2106.9732073227733</v>
      </c>
      <c r="C19">
        <f>FREQUENCY(A19:A48,A19:A48)</f>
        <v>1</v>
      </c>
      <c r="D19">
        <f t="shared" si="1"/>
        <v>18</v>
      </c>
      <c r="E19" s="117">
        <f t="shared" si="0"/>
        <v>0.45</v>
      </c>
    </row>
    <row r="20" spans="1:5" x14ac:dyDescent="0.2">
      <c r="A20" s="144">
        <v>2114.3480810363508</v>
      </c>
      <c r="C20">
        <f>FREQUENCY(A20:A49,A20:A49)</f>
        <v>1</v>
      </c>
      <c r="D20">
        <f t="shared" si="1"/>
        <v>19</v>
      </c>
      <c r="E20" s="117">
        <f t="shared" si="0"/>
        <v>0.47499999999999998</v>
      </c>
    </row>
    <row r="21" spans="1:5" x14ac:dyDescent="0.2">
      <c r="A21" s="35">
        <v>2214.1866134424158</v>
      </c>
      <c r="C21">
        <f>FREQUENCY(A21:A50,A21:A50)</f>
        <v>1</v>
      </c>
      <c r="D21">
        <f t="shared" si="1"/>
        <v>20</v>
      </c>
      <c r="E21" s="117">
        <f t="shared" si="0"/>
        <v>0.5</v>
      </c>
    </row>
    <row r="22" spans="1:5" x14ac:dyDescent="0.2">
      <c r="A22" s="35">
        <v>2228.0623107685306</v>
      </c>
      <c r="C22">
        <f>FREQUENCY(A22:A51,A22:A51)</f>
        <v>1</v>
      </c>
      <c r="D22">
        <f t="shared" si="1"/>
        <v>21</v>
      </c>
      <c r="E22" s="117">
        <f t="shared" si="0"/>
        <v>0.52500000000000002</v>
      </c>
    </row>
    <row r="23" spans="1:5" x14ac:dyDescent="0.2">
      <c r="A23" s="35">
        <v>2275.8228116362843</v>
      </c>
      <c r="C23">
        <f>FREQUENCY(A23:A52,A23:A52)</f>
        <v>1</v>
      </c>
      <c r="D23">
        <f t="shared" si="1"/>
        <v>22</v>
      </c>
      <c r="E23" s="117">
        <f t="shared" si="0"/>
        <v>0.55000000000000004</v>
      </c>
    </row>
    <row r="24" spans="1:5" x14ac:dyDescent="0.2">
      <c r="A24" s="144">
        <v>2299.6226946440561</v>
      </c>
      <c r="C24">
        <f>FREQUENCY(A24:A53,A24:A53)</f>
        <v>1</v>
      </c>
      <c r="D24">
        <f t="shared" si="1"/>
        <v>23</v>
      </c>
      <c r="E24" s="117">
        <f t="shared" si="0"/>
        <v>0.57499999999999996</v>
      </c>
    </row>
    <row r="25" spans="1:5" x14ac:dyDescent="0.2">
      <c r="A25" s="35">
        <v>2316.9871582018063</v>
      </c>
      <c r="C25">
        <f>FREQUENCY(A25:A54,A25:A54)</f>
        <v>1</v>
      </c>
      <c r="D25">
        <f t="shared" si="1"/>
        <v>24</v>
      </c>
      <c r="E25" s="117">
        <f t="shared" si="0"/>
        <v>0.6</v>
      </c>
    </row>
    <row r="26" spans="1:5" x14ac:dyDescent="0.2">
      <c r="A26" s="144">
        <v>2330.6802280063762</v>
      </c>
      <c r="C26">
        <f>FREQUENCY(A26:A55,A26:A55)</f>
        <v>1</v>
      </c>
      <c r="D26">
        <f t="shared" si="1"/>
        <v>25</v>
      </c>
      <c r="E26" s="117">
        <f t="shared" si="0"/>
        <v>0.625</v>
      </c>
    </row>
    <row r="27" spans="1:5" x14ac:dyDescent="0.2">
      <c r="A27" s="35">
        <v>2348.8216769735241</v>
      </c>
      <c r="C27">
        <f>FREQUENCY(A27:A56,A27:A56)</f>
        <v>1</v>
      </c>
      <c r="D27">
        <f t="shared" si="1"/>
        <v>26</v>
      </c>
      <c r="E27" s="117">
        <f t="shared" si="0"/>
        <v>0.65</v>
      </c>
    </row>
    <row r="28" spans="1:5" x14ac:dyDescent="0.2">
      <c r="A28" s="144">
        <v>2356.9377516344607</v>
      </c>
      <c r="C28">
        <f>FREQUENCY(A28:A57,A28:A57)</f>
        <v>1</v>
      </c>
      <c r="D28">
        <f t="shared" si="1"/>
        <v>27</v>
      </c>
      <c r="E28" s="117">
        <f t="shared" si="0"/>
        <v>0.67500000000000004</v>
      </c>
    </row>
    <row r="29" spans="1:5" x14ac:dyDescent="0.2">
      <c r="A29" s="35">
        <v>2361.4027128033345</v>
      </c>
      <c r="C29">
        <f>FREQUENCY(A29:A58,A29:A58)</f>
        <v>1</v>
      </c>
      <c r="D29">
        <f t="shared" si="1"/>
        <v>28</v>
      </c>
      <c r="E29" s="117">
        <f t="shared" si="0"/>
        <v>0.7</v>
      </c>
    </row>
    <row r="30" spans="1:5" x14ac:dyDescent="0.2">
      <c r="A30" s="35">
        <v>2418.9868270753277</v>
      </c>
      <c r="C30">
        <f>FREQUENCY(A30:A59,A30:A59)</f>
        <v>1</v>
      </c>
      <c r="D30">
        <f t="shared" si="1"/>
        <v>29</v>
      </c>
      <c r="E30" s="117">
        <f t="shared" si="0"/>
        <v>0.72499999999999998</v>
      </c>
    </row>
    <row r="31" spans="1:5" x14ac:dyDescent="0.2">
      <c r="A31" s="144">
        <v>2499.9160901882738</v>
      </c>
      <c r="C31">
        <f>FREQUENCY(A31:A60,A31:A60)</f>
        <v>1</v>
      </c>
      <c r="D31">
        <f t="shared" si="1"/>
        <v>30</v>
      </c>
      <c r="E31" s="117">
        <f t="shared" si="0"/>
        <v>0.75</v>
      </c>
    </row>
    <row r="32" spans="1:5" x14ac:dyDescent="0.2">
      <c r="A32" s="75">
        <v>2530.1643663158261</v>
      </c>
      <c r="C32">
        <f>FREQUENCY(A32:A61,A32:A61)</f>
        <v>1</v>
      </c>
      <c r="D32">
        <f t="shared" si="1"/>
        <v>31</v>
      </c>
      <c r="E32" s="117">
        <f t="shared" si="0"/>
        <v>0.77500000000000002</v>
      </c>
    </row>
    <row r="33" spans="1:6" x14ac:dyDescent="0.2">
      <c r="A33" s="75">
        <v>2543.892536144841</v>
      </c>
      <c r="C33">
        <f>FREQUENCY(A33:A62,A33:A62)</f>
        <v>1</v>
      </c>
      <c r="D33">
        <f t="shared" si="1"/>
        <v>32</v>
      </c>
      <c r="E33" s="117">
        <f t="shared" si="0"/>
        <v>0.8</v>
      </c>
    </row>
    <row r="34" spans="1:6" x14ac:dyDescent="0.2">
      <c r="A34" s="75">
        <v>2546.3005018304648</v>
      </c>
      <c r="C34">
        <f>FREQUENCY(A34:A63,A34:A63)</f>
        <v>1</v>
      </c>
      <c r="D34">
        <f t="shared" si="1"/>
        <v>33</v>
      </c>
      <c r="E34" s="117">
        <f t="shared" si="0"/>
        <v>0.82499999999999996</v>
      </c>
    </row>
    <row r="35" spans="1:6" x14ac:dyDescent="0.2">
      <c r="A35" s="75">
        <v>2556.0863713984668</v>
      </c>
      <c r="C35">
        <f>FREQUENCY(A35:A64,A35:A64)</f>
        <v>1</v>
      </c>
      <c r="D35">
        <f t="shared" si="1"/>
        <v>34</v>
      </c>
      <c r="E35" s="117">
        <f t="shared" si="0"/>
        <v>0.85</v>
      </c>
    </row>
    <row r="36" spans="1:6" x14ac:dyDescent="0.2">
      <c r="A36" s="75">
        <v>2568.1596065234244</v>
      </c>
      <c r="C36">
        <f>FREQUENCY(A36:A65,A36:A65)</f>
        <v>1</v>
      </c>
      <c r="D36">
        <f t="shared" si="1"/>
        <v>35</v>
      </c>
      <c r="E36" s="117">
        <f t="shared" si="0"/>
        <v>0.875</v>
      </c>
    </row>
    <row r="37" spans="1:6" x14ac:dyDescent="0.2">
      <c r="A37" s="75">
        <v>2657.1937296050414</v>
      </c>
      <c r="C37">
        <f>FREQUENCY(A37:A66,A37:A66)</f>
        <v>1</v>
      </c>
      <c r="D37">
        <f t="shared" si="1"/>
        <v>36</v>
      </c>
      <c r="E37" s="117">
        <f t="shared" si="0"/>
        <v>0.9</v>
      </c>
    </row>
    <row r="38" spans="1:6" x14ac:dyDescent="0.2">
      <c r="A38" s="75">
        <v>2688.5882374667208</v>
      </c>
      <c r="C38">
        <f>FREQUENCY(A38:A67,A38:A67)</f>
        <v>1</v>
      </c>
      <c r="D38">
        <f t="shared" si="1"/>
        <v>37</v>
      </c>
      <c r="E38" s="117">
        <f t="shared" si="0"/>
        <v>0.92500000000000004</v>
      </c>
    </row>
    <row r="39" spans="1:6" x14ac:dyDescent="0.2">
      <c r="A39" s="75">
        <v>2742.1025290459902</v>
      </c>
      <c r="C39">
        <f>FREQUENCY(A39:A68,A39:A68)</f>
        <v>1</v>
      </c>
      <c r="D39">
        <f t="shared" si="1"/>
        <v>38</v>
      </c>
      <c r="E39" s="117">
        <f t="shared" si="0"/>
        <v>0.95</v>
      </c>
    </row>
    <row r="40" spans="1:6" x14ac:dyDescent="0.2">
      <c r="A40" s="75">
        <v>2914.9337775381887</v>
      </c>
      <c r="C40">
        <f>FREQUENCY(A40:A69,A40:A69)</f>
        <v>1</v>
      </c>
      <c r="D40">
        <f t="shared" si="1"/>
        <v>39</v>
      </c>
      <c r="E40" s="117">
        <f t="shared" si="0"/>
        <v>0.97499999999999998</v>
      </c>
    </row>
    <row r="41" spans="1:6" x14ac:dyDescent="0.2">
      <c r="A41" s="75">
        <v>3317.6573527784649</v>
      </c>
      <c r="C41">
        <f>FREQUENCY(A41:A70,A41:A70)</f>
        <v>1</v>
      </c>
      <c r="D41">
        <f t="shared" si="1"/>
        <v>40</v>
      </c>
      <c r="E41" s="117">
        <f t="shared" si="0"/>
        <v>1</v>
      </c>
    </row>
    <row r="47" spans="1:6" x14ac:dyDescent="0.2">
      <c r="F47" t="s">
        <v>264</v>
      </c>
    </row>
    <row r="48" spans="1:6" x14ac:dyDescent="0.2">
      <c r="A48" s="2">
        <v>25</v>
      </c>
      <c r="C48" s="2" t="s">
        <v>261</v>
      </c>
      <c r="D48" s="2">
        <v>1.4999999999999999E-2</v>
      </c>
      <c r="E48" s="2">
        <v>-327.56661214549143</v>
      </c>
      <c r="F48">
        <f>D48</f>
        <v>1.4999999999999999E-2</v>
      </c>
    </row>
    <row r="49" spans="1:6" x14ac:dyDescent="0.2">
      <c r="A49" s="2">
        <v>22</v>
      </c>
      <c r="C49" s="2" t="s">
        <v>258</v>
      </c>
      <c r="D49" s="2">
        <v>1.2000000000000002E-2</v>
      </c>
      <c r="E49" s="2">
        <v>-247.00927709339339</v>
      </c>
      <c r="F49">
        <f>F48+D49</f>
        <v>2.7000000000000003E-2</v>
      </c>
    </row>
    <row r="50" spans="1:6" x14ac:dyDescent="0.2">
      <c r="A50" s="2">
        <v>19</v>
      </c>
      <c r="C50" s="2" t="s">
        <v>255</v>
      </c>
      <c r="D50" s="2">
        <v>3.0000000000000005E-3</v>
      </c>
      <c r="E50" s="2">
        <v>-166.45194204129533</v>
      </c>
      <c r="F50">
        <f t="shared" ref="F50:F74" si="2">F49+D50</f>
        <v>3.0000000000000002E-2</v>
      </c>
    </row>
    <row r="51" spans="1:6" x14ac:dyDescent="0.2">
      <c r="A51" s="2">
        <v>16</v>
      </c>
      <c r="C51" s="2" t="s">
        <v>252</v>
      </c>
      <c r="D51" s="2">
        <v>7.4999999999999997E-2</v>
      </c>
      <c r="E51" s="2">
        <v>597.37009633742196</v>
      </c>
      <c r="F51">
        <f t="shared" si="2"/>
        <v>0.105</v>
      </c>
    </row>
    <row r="52" spans="1:6" x14ac:dyDescent="0.2">
      <c r="A52" s="2">
        <v>13</v>
      </c>
      <c r="C52" s="2" t="s">
        <v>249</v>
      </c>
      <c r="D52" s="2">
        <v>0.06</v>
      </c>
      <c r="E52" s="2">
        <v>677.92743138952005</v>
      </c>
      <c r="F52">
        <f t="shared" si="2"/>
        <v>0.16499999999999998</v>
      </c>
    </row>
    <row r="53" spans="1:6" x14ac:dyDescent="0.2">
      <c r="A53" s="2">
        <v>10</v>
      </c>
      <c r="C53" s="2" t="s">
        <v>246</v>
      </c>
      <c r="D53" s="2">
        <v>1.4999999999999999E-2</v>
      </c>
      <c r="E53" s="2">
        <v>758.48476644161804</v>
      </c>
      <c r="F53">
        <f t="shared" si="2"/>
        <v>0.18</v>
      </c>
    </row>
    <row r="54" spans="1:6" x14ac:dyDescent="0.2">
      <c r="A54" s="2">
        <v>26</v>
      </c>
      <c r="C54" s="2" t="s">
        <v>262</v>
      </c>
      <c r="D54" s="2">
        <v>2.5000000000000001E-2</v>
      </c>
      <c r="E54" s="2">
        <v>983.96333396585942</v>
      </c>
      <c r="F54">
        <f t="shared" si="2"/>
        <v>0.20499999999999999</v>
      </c>
    </row>
    <row r="55" spans="1:6" x14ac:dyDescent="0.2">
      <c r="A55" s="2">
        <v>23</v>
      </c>
      <c r="C55" s="2" t="s">
        <v>259</v>
      </c>
      <c r="D55" s="2">
        <v>2.0000000000000004E-2</v>
      </c>
      <c r="E55" s="2">
        <v>1064.5206690179575</v>
      </c>
      <c r="F55">
        <f t="shared" si="2"/>
        <v>0.22499999999999998</v>
      </c>
    </row>
    <row r="56" spans="1:6" x14ac:dyDescent="0.2">
      <c r="A56" s="2">
        <v>20</v>
      </c>
      <c r="C56" s="2" t="s">
        <v>256</v>
      </c>
      <c r="D56" s="2">
        <v>5.000000000000001E-3</v>
      </c>
      <c r="E56" s="2">
        <v>1145.0780040700556</v>
      </c>
      <c r="F56">
        <f t="shared" si="2"/>
        <v>0.22999999999999998</v>
      </c>
    </row>
    <row r="57" spans="1:6" x14ac:dyDescent="0.2">
      <c r="A57" s="2">
        <v>7</v>
      </c>
      <c r="C57" s="2" t="s">
        <v>243</v>
      </c>
      <c r="D57" s="2">
        <v>0.06</v>
      </c>
      <c r="E57" s="2">
        <v>1522.306804820334</v>
      </c>
      <c r="F57">
        <f t="shared" si="2"/>
        <v>0.28999999999999998</v>
      </c>
    </row>
    <row r="58" spans="1:6" x14ac:dyDescent="0.2">
      <c r="A58" s="2">
        <v>4</v>
      </c>
      <c r="C58" s="2" t="s">
        <v>240</v>
      </c>
      <c r="D58" s="2">
        <v>4.8000000000000008E-2</v>
      </c>
      <c r="E58" s="2">
        <v>1602.8641398724321</v>
      </c>
      <c r="F58">
        <f t="shared" si="2"/>
        <v>0.33799999999999997</v>
      </c>
    </row>
    <row r="59" spans="1:6" x14ac:dyDescent="0.2">
      <c r="A59" s="2">
        <v>1</v>
      </c>
      <c r="C59" s="2" t="s">
        <v>237</v>
      </c>
      <c r="D59" s="2">
        <v>1.2000000000000002E-2</v>
      </c>
      <c r="E59" s="2">
        <v>1683.42147492453</v>
      </c>
      <c r="F59">
        <f t="shared" si="2"/>
        <v>0.35</v>
      </c>
    </row>
    <row r="60" spans="1:6" x14ac:dyDescent="0.2">
      <c r="A60" s="2">
        <v>17</v>
      </c>
      <c r="C60" s="2" t="s">
        <v>253</v>
      </c>
      <c r="D60" s="2">
        <v>0.125</v>
      </c>
      <c r="E60" s="2">
        <v>1908.9000424487729</v>
      </c>
      <c r="F60">
        <f t="shared" si="2"/>
        <v>0.47499999999999998</v>
      </c>
    </row>
    <row r="61" spans="1:6" x14ac:dyDescent="0.2">
      <c r="A61" s="2">
        <v>14</v>
      </c>
      <c r="C61" s="2" t="s">
        <v>250</v>
      </c>
      <c r="D61" s="2">
        <v>0.1</v>
      </c>
      <c r="E61" s="2">
        <v>1989.457377500871</v>
      </c>
      <c r="F61">
        <f t="shared" si="2"/>
        <v>0.57499999999999996</v>
      </c>
    </row>
    <row r="62" spans="1:6" x14ac:dyDescent="0.2">
      <c r="A62" s="2">
        <v>11</v>
      </c>
      <c r="C62" s="2" t="s">
        <v>247</v>
      </c>
      <c r="D62" s="2">
        <v>2.5000000000000001E-2</v>
      </c>
      <c r="E62" s="2">
        <v>2070.0147125529688</v>
      </c>
      <c r="F62">
        <f t="shared" si="2"/>
        <v>0.6</v>
      </c>
    </row>
    <row r="63" spans="1:6" x14ac:dyDescent="0.2">
      <c r="A63" s="2">
        <v>27</v>
      </c>
      <c r="C63" s="2" t="s">
        <v>263</v>
      </c>
      <c r="D63" s="2">
        <v>1.0000000000000002E-2</v>
      </c>
      <c r="E63" s="2">
        <v>2295.4932800772103</v>
      </c>
      <c r="F63">
        <f t="shared" si="2"/>
        <v>0.61</v>
      </c>
    </row>
    <row r="64" spans="1:6" x14ac:dyDescent="0.2">
      <c r="A64" s="2">
        <v>24</v>
      </c>
      <c r="C64" s="2" t="s">
        <v>260</v>
      </c>
      <c r="D64" s="2">
        <v>8.0000000000000019E-3</v>
      </c>
      <c r="E64" s="2">
        <v>2376.0506151293084</v>
      </c>
      <c r="F64">
        <f t="shared" si="2"/>
        <v>0.61799999999999999</v>
      </c>
    </row>
    <row r="65" spans="1:6" x14ac:dyDescent="0.2">
      <c r="A65" s="2">
        <v>21</v>
      </c>
      <c r="C65" s="2" t="s">
        <v>257</v>
      </c>
      <c r="D65" s="2">
        <v>2.0000000000000005E-3</v>
      </c>
      <c r="E65" s="2">
        <v>2456.6079501814065</v>
      </c>
      <c r="F65">
        <f t="shared" si="2"/>
        <v>0.62</v>
      </c>
    </row>
    <row r="66" spans="1:6" x14ac:dyDescent="0.2">
      <c r="A66" s="2">
        <v>8</v>
      </c>
      <c r="C66" s="2" t="s">
        <v>244</v>
      </c>
      <c r="D66" s="2">
        <v>0.1</v>
      </c>
      <c r="E66" s="2">
        <v>2833.8367509316849</v>
      </c>
      <c r="F66">
        <f t="shared" si="2"/>
        <v>0.72</v>
      </c>
    </row>
    <row r="67" spans="1:6" x14ac:dyDescent="0.2">
      <c r="A67" s="2">
        <v>5</v>
      </c>
      <c r="C67" s="2" t="s">
        <v>241</v>
      </c>
      <c r="D67" s="2">
        <v>8.0000000000000016E-2</v>
      </c>
      <c r="E67" s="2">
        <v>2914.394085983783</v>
      </c>
      <c r="F67">
        <f t="shared" si="2"/>
        <v>0.8</v>
      </c>
    </row>
    <row r="68" spans="1:6" x14ac:dyDescent="0.2">
      <c r="A68" s="2">
        <v>2</v>
      </c>
      <c r="C68" s="2" t="s">
        <v>238</v>
      </c>
      <c r="D68" s="2">
        <v>2.0000000000000004E-2</v>
      </c>
      <c r="E68" s="2">
        <v>2994.9514210358811</v>
      </c>
      <c r="F68">
        <f t="shared" si="2"/>
        <v>0.82000000000000006</v>
      </c>
    </row>
    <row r="69" spans="1:6" x14ac:dyDescent="0.2">
      <c r="A69" s="2">
        <v>18</v>
      </c>
      <c r="C69" s="2" t="s">
        <v>254</v>
      </c>
      <c r="D69" s="2">
        <v>0.05</v>
      </c>
      <c r="E69" s="2">
        <v>3220.429988560124</v>
      </c>
      <c r="F69">
        <f t="shared" si="2"/>
        <v>0.87000000000000011</v>
      </c>
    </row>
    <row r="70" spans="1:6" x14ac:dyDescent="0.2">
      <c r="A70" s="2">
        <v>15</v>
      </c>
      <c r="C70" s="2" t="s">
        <v>251</v>
      </c>
      <c r="D70" s="2">
        <v>4.0000000000000008E-2</v>
      </c>
      <c r="E70" s="2">
        <v>3300.9873236122221</v>
      </c>
      <c r="F70">
        <f t="shared" si="2"/>
        <v>0.91000000000000014</v>
      </c>
    </row>
    <row r="71" spans="1:6" x14ac:dyDescent="0.2">
      <c r="A71" s="2">
        <v>12</v>
      </c>
      <c r="C71" s="2" t="s">
        <v>248</v>
      </c>
      <c r="D71" s="2">
        <v>1.0000000000000002E-2</v>
      </c>
      <c r="E71" s="2">
        <v>3381.5446586643197</v>
      </c>
      <c r="F71">
        <f t="shared" si="2"/>
        <v>0.92000000000000015</v>
      </c>
    </row>
    <row r="72" spans="1:6" x14ac:dyDescent="0.2">
      <c r="A72" s="2">
        <v>9</v>
      </c>
      <c r="C72" s="2" t="s">
        <v>245</v>
      </c>
      <c r="D72" s="2">
        <v>4.0000000000000008E-2</v>
      </c>
      <c r="E72" s="2">
        <v>4145.3666970430359</v>
      </c>
      <c r="F72">
        <f t="shared" si="2"/>
        <v>0.96000000000000019</v>
      </c>
    </row>
    <row r="73" spans="1:6" x14ac:dyDescent="0.2">
      <c r="A73" s="2">
        <v>6</v>
      </c>
      <c r="C73" s="2" t="s">
        <v>242</v>
      </c>
      <c r="D73" s="2">
        <v>3.2000000000000008E-2</v>
      </c>
      <c r="E73" s="2">
        <v>4225.924032095134</v>
      </c>
      <c r="F73">
        <f t="shared" si="2"/>
        <v>0.99200000000000021</v>
      </c>
    </row>
    <row r="74" spans="1:6" x14ac:dyDescent="0.2">
      <c r="A74" s="2">
        <v>3</v>
      </c>
      <c r="C74" s="2" t="s">
        <v>239</v>
      </c>
      <c r="D74" s="2">
        <v>8.0000000000000019E-3</v>
      </c>
      <c r="E74" s="2">
        <v>4306.481367147232</v>
      </c>
      <c r="F74">
        <f t="shared" si="2"/>
        <v>1.0000000000000002</v>
      </c>
    </row>
  </sheetData>
  <sortState ref="B48:E74">
    <sortCondition ref="E48:E7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报表（合）</vt:lpstr>
      <vt:lpstr>分析</vt:lpstr>
      <vt:lpstr>蒙特卡洛1</vt:lpstr>
      <vt:lpstr>蒙特卡洛2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2018-06-14T15:04:48Z</dcterms:modified>
</cp:coreProperties>
</file>