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245_02\Desktop\"/>
    </mc:Choice>
  </mc:AlternateContent>
  <xr:revisionPtr revIDLastSave="0" documentId="13_ncr:1_{D5086577-4278-48DB-B8E8-3123430AD2CC}" xr6:coauthVersionLast="36" xr6:coauthVersionMax="36" xr10:uidLastSave="{00000000-0000-0000-0000-000000000000}"/>
  <bookViews>
    <workbookView xWindow="0" yWindow="0" windowWidth="28800" windowHeight="12225" xr2:uid="{A51C50EB-6E1F-43EF-9C97-801743B45F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1" l="1"/>
  <c r="E140" i="1"/>
  <c r="D140" i="1"/>
  <c r="C140" i="1"/>
  <c r="B140" i="1"/>
  <c r="B138" i="1"/>
  <c r="C138" i="1"/>
  <c r="D138" i="1"/>
  <c r="E138" i="1"/>
  <c r="B137" i="1"/>
  <c r="F137" i="1" s="1"/>
  <c r="C137" i="1"/>
  <c r="D137" i="1"/>
  <c r="E137" i="1"/>
  <c r="B134" i="1"/>
  <c r="F134" i="1" s="1"/>
  <c r="C134" i="1"/>
  <c r="D134" i="1"/>
  <c r="E134" i="1"/>
  <c r="B135" i="1"/>
  <c r="F135" i="1" s="1"/>
  <c r="C135" i="1"/>
  <c r="D135" i="1"/>
  <c r="E135" i="1"/>
  <c r="B136" i="1"/>
  <c r="C136" i="1"/>
  <c r="D136" i="1"/>
  <c r="E136" i="1"/>
  <c r="E133" i="1"/>
  <c r="D133" i="1"/>
  <c r="C133" i="1"/>
  <c r="B133" i="1"/>
  <c r="F133" i="1" s="1"/>
  <c r="B131" i="1"/>
  <c r="C131" i="1"/>
  <c r="D131" i="1"/>
  <c r="E131" i="1"/>
  <c r="B132" i="1"/>
  <c r="C132" i="1"/>
  <c r="D132" i="1"/>
  <c r="E132" i="1"/>
  <c r="C130" i="1"/>
  <c r="D130" i="1"/>
  <c r="F130" i="1" s="1"/>
  <c r="E130" i="1"/>
  <c r="B130" i="1"/>
  <c r="L120" i="1"/>
  <c r="H124" i="1"/>
  <c r="H120" i="1"/>
  <c r="H125" i="1"/>
  <c r="G125" i="1"/>
  <c r="F125" i="1"/>
  <c r="E125" i="1"/>
  <c r="C125" i="1"/>
  <c r="B125" i="1"/>
  <c r="G124" i="1"/>
  <c r="F124" i="1"/>
  <c r="E124" i="1"/>
  <c r="C124" i="1"/>
  <c r="B124" i="1"/>
  <c r="L121" i="1"/>
  <c r="K121" i="1"/>
  <c r="H121" i="1"/>
  <c r="K120" i="1"/>
  <c r="N118" i="1"/>
  <c r="K112" i="1"/>
  <c r="J112" i="1"/>
  <c r="M109" i="1"/>
  <c r="G112" i="1" s="1"/>
  <c r="B116" i="1"/>
  <c r="C116" i="1"/>
  <c r="D116" i="1"/>
  <c r="E116" i="1"/>
  <c r="F116" i="1"/>
  <c r="C115" i="1"/>
  <c r="D115" i="1"/>
  <c r="E115" i="1"/>
  <c r="F115" i="1"/>
  <c r="K111" i="1" s="1"/>
  <c r="B115" i="1"/>
  <c r="J111" i="1"/>
  <c r="J103" i="1"/>
  <c r="J104" i="1"/>
  <c r="J102" i="1"/>
  <c r="H103" i="1"/>
  <c r="H104" i="1"/>
  <c r="C108" i="1"/>
  <c r="D108" i="1"/>
  <c r="E108" i="1"/>
  <c r="F108" i="1"/>
  <c r="B108" i="1"/>
  <c r="C107" i="1"/>
  <c r="D107" i="1"/>
  <c r="E107" i="1"/>
  <c r="F107" i="1"/>
  <c r="K103" i="1" s="1"/>
  <c r="B107" i="1"/>
  <c r="B106" i="1"/>
  <c r="H102" i="1"/>
  <c r="C106" i="1"/>
  <c r="D106" i="1"/>
  <c r="E106" i="1"/>
  <c r="F106" i="1"/>
  <c r="K102" i="1" s="1"/>
  <c r="F140" i="1" l="1"/>
  <c r="F136" i="1"/>
  <c r="F138" i="1"/>
  <c r="F132" i="1"/>
  <c r="F131" i="1"/>
  <c r="J120" i="1"/>
  <c r="J121" i="1"/>
  <c r="G115" i="1"/>
  <c r="G111" i="1"/>
  <c r="G108" i="1"/>
  <c r="I104" i="1" s="1"/>
  <c r="G116" i="1"/>
  <c r="I112" i="1" s="1"/>
  <c r="I111" i="1"/>
  <c r="G107" i="1"/>
  <c r="I103" i="1" s="1"/>
  <c r="G106" i="1"/>
  <c r="I102" i="1" s="1"/>
  <c r="F98" i="1"/>
  <c r="E98" i="1"/>
  <c r="D98" i="1"/>
  <c r="C98" i="1"/>
  <c r="B98" i="1"/>
  <c r="A98" i="1"/>
  <c r="E96" i="1"/>
  <c r="B87" i="1"/>
  <c r="A85" i="1"/>
  <c r="D76" i="1"/>
  <c r="D69" i="1"/>
  <c r="B63" i="1"/>
  <c r="A65" i="1"/>
  <c r="B65" i="1" s="1"/>
  <c r="B35" i="1"/>
  <c r="B33" i="1"/>
  <c r="B32" i="1"/>
  <c r="C32" i="1" l="1"/>
  <c r="H98" i="1"/>
  <c r="C65" i="1"/>
  <c r="F24" i="1"/>
  <c r="F23" i="1"/>
  <c r="B24" i="1"/>
  <c r="D24" i="1"/>
  <c r="D23" i="1"/>
  <c r="D25" i="1" s="1"/>
  <c r="B23" i="1"/>
  <c r="B25" i="1" s="1"/>
  <c r="F22" i="1" s="1"/>
  <c r="D22" i="1"/>
  <c r="B22" i="1"/>
  <c r="D14" i="1"/>
  <c r="B14" i="1"/>
  <c r="B6" i="1"/>
  <c r="D2" i="1" s="1"/>
  <c r="B5" i="1"/>
  <c r="F25" i="1" l="1"/>
  <c r="D13" i="1"/>
</calcChain>
</file>

<file path=xl/sharedStrings.xml><?xml version="1.0" encoding="utf-8"?>
<sst xmlns="http://schemas.openxmlformats.org/spreadsheetml/2006/main" count="97" uniqueCount="55">
  <si>
    <t>Ra</t>
  </si>
  <si>
    <t>n</t>
  </si>
  <si>
    <t>i</t>
  </si>
  <si>
    <t>S</t>
  </si>
  <si>
    <t>A</t>
  </si>
  <si>
    <t>p</t>
  </si>
  <si>
    <t>m</t>
  </si>
  <si>
    <t>i_q</t>
  </si>
  <si>
    <t>A_1</t>
  </si>
  <si>
    <t>i_a</t>
  </si>
  <si>
    <t>R</t>
  </si>
  <si>
    <t>A_2</t>
  </si>
  <si>
    <t>i_s</t>
  </si>
  <si>
    <t>Анализ инвест процессов</t>
  </si>
  <si>
    <t>ПРЕНУМ</t>
  </si>
  <si>
    <t>ПОСТНУМ</t>
  </si>
  <si>
    <t>Inv</t>
  </si>
  <si>
    <t>R1</t>
  </si>
  <si>
    <t>R2</t>
  </si>
  <si>
    <t>R3</t>
  </si>
  <si>
    <t>R4</t>
  </si>
  <si>
    <t>NPV - ?</t>
  </si>
  <si>
    <t>I</t>
  </si>
  <si>
    <t>4 ЗАДАНИЕ</t>
  </si>
  <si>
    <t>3 ЗАДАНИЕ</t>
  </si>
  <si>
    <t>2 ЗАДАНИЕ</t>
  </si>
  <si>
    <t>1 ЗАДАНИЕ</t>
  </si>
  <si>
    <t>Средний срок окупаемости</t>
  </si>
  <si>
    <t>года</t>
  </si>
  <si>
    <t>осталось</t>
  </si>
  <si>
    <t>доля года вернём 4000 от 14000</t>
  </si>
  <si>
    <t>5 ЗАДАЧА</t>
  </si>
  <si>
    <t>А</t>
  </si>
  <si>
    <t>Б</t>
  </si>
  <si>
    <t>В</t>
  </si>
  <si>
    <t>Дисконтный счет</t>
  </si>
  <si>
    <t>ЧПС</t>
  </si>
  <si>
    <t>Рентабельность</t>
  </si>
  <si>
    <t>Дисконт А</t>
  </si>
  <si>
    <t>Дисконт Б</t>
  </si>
  <si>
    <t>Дисконт В</t>
  </si>
  <si>
    <t>Бух срок</t>
  </si>
  <si>
    <t>Фин срок</t>
  </si>
  <si>
    <t>i=</t>
  </si>
  <si>
    <t>-</t>
  </si>
  <si>
    <t>6 ЗАДАЧА</t>
  </si>
  <si>
    <t>m=</t>
  </si>
  <si>
    <t>SUMM</t>
  </si>
  <si>
    <t>i(г)</t>
  </si>
  <si>
    <t>7 ЗАДАЧА</t>
  </si>
  <si>
    <t>8 ЗАДАЧА</t>
  </si>
  <si>
    <t>Платеж</t>
  </si>
  <si>
    <t>Год</t>
  </si>
  <si>
    <t>СУММ</t>
  </si>
  <si>
    <t>Дома: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</si>
</sst>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00"/>
    <numFmt numFmtId="165" formatCode="0.0%"/>
    <numFmt numFmtId="170" formatCode="0.000%"/>
    <numFmt numFmtId="171" formatCode="0.000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1" fillId="2" borderId="0" xfId="2" applyFont="1" applyAlignment="1">
      <alignment horizontal="center"/>
    </xf>
    <xf numFmtId="165" fontId="2" fillId="2" borderId="0" xfId="2" applyNumberFormat="1" applyAlignment="1">
      <alignment horizontal="center"/>
    </xf>
    <xf numFmtId="9" fontId="0" fillId="0" borderId="0" xfId="1" applyFont="1"/>
    <xf numFmtId="44" fontId="0" fillId="0" borderId="0" xfId="3" applyFont="1"/>
    <xf numFmtId="170" fontId="0" fillId="0" borderId="0" xfId="0" applyNumberFormat="1"/>
    <xf numFmtId="171" fontId="0" fillId="0" borderId="0" xfId="0" applyNumberFormat="1"/>
    <xf numFmtId="0" fontId="0" fillId="0" borderId="0" xfId="1" applyNumberFormat="1" applyFont="1"/>
  </cellXfs>
  <cellStyles count="4">
    <cellStyle name="Денежный" xfId="3" builtinId="4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F304-7257-4F01-9127-D4A53380EE2C}">
  <dimension ref="A1:N295"/>
  <sheetViews>
    <sheetView tabSelected="1" topLeftCell="A128" zoomScale="115" zoomScaleNormal="115" workbookViewId="0">
      <selection activeCell="D147" sqref="D147"/>
    </sheetView>
  </sheetViews>
  <sheetFormatPr defaultRowHeight="15" x14ac:dyDescent="0.25"/>
  <cols>
    <col min="1" max="1" width="11" customWidth="1"/>
    <col min="2" max="2" width="13.140625" bestFit="1" customWidth="1"/>
    <col min="3" max="3" width="10.85546875" bestFit="1" customWidth="1"/>
    <col min="4" max="4" width="12.140625" customWidth="1"/>
    <col min="6" max="6" width="9.85546875" bestFit="1" customWidth="1"/>
    <col min="7" max="7" width="10" bestFit="1" customWidth="1"/>
    <col min="9" max="9" width="15.85546875" bestFit="1" customWidth="1"/>
    <col min="10" max="10" width="8.7109375" bestFit="1" customWidth="1"/>
    <col min="11" max="11" width="9.28515625" bestFit="1" customWidth="1"/>
    <col min="12" max="12" width="12.28515625" customWidth="1"/>
  </cols>
  <sheetData>
    <row r="1" spans="1:4" x14ac:dyDescent="0.25">
      <c r="A1" s="9">
        <v>11</v>
      </c>
      <c r="B1" s="9"/>
      <c r="C1" s="9"/>
      <c r="D1" s="9"/>
    </row>
    <row r="2" spans="1:4" x14ac:dyDescent="0.25">
      <c r="A2" t="s">
        <v>0</v>
      </c>
      <c r="B2">
        <v>600</v>
      </c>
      <c r="D2" s="1">
        <f>-PMT(B4,7,B6)</f>
        <v>773.29286884487533</v>
      </c>
    </row>
    <row r="3" spans="1:4" x14ac:dyDescent="0.25">
      <c r="A3" t="s">
        <v>1</v>
      </c>
      <c r="B3">
        <v>10</v>
      </c>
      <c r="D3">
        <v>7</v>
      </c>
    </row>
    <row r="4" spans="1:4" x14ac:dyDescent="0.25">
      <c r="A4" t="s">
        <v>2</v>
      </c>
      <c r="B4">
        <v>0.08</v>
      </c>
      <c r="D4">
        <v>0.08</v>
      </c>
    </row>
    <row r="5" spans="1:4" x14ac:dyDescent="0.25">
      <c r="A5" t="s">
        <v>3</v>
      </c>
      <c r="B5" s="1">
        <f>-(FV(B4,B3,B2))</f>
        <v>8691.937479545908</v>
      </c>
    </row>
    <row r="6" spans="1:4" x14ac:dyDescent="0.25">
      <c r="A6" t="s">
        <v>4</v>
      </c>
      <c r="B6" s="1">
        <f>-PV(B4,B3,B2)</f>
        <v>4026.0488393648679</v>
      </c>
    </row>
    <row r="7" spans="1:4" x14ac:dyDescent="0.25">
      <c r="A7" s="9">
        <v>12</v>
      </c>
      <c r="B7" s="9"/>
      <c r="C7" s="9"/>
      <c r="D7" s="9"/>
    </row>
    <row r="8" spans="1:4" x14ac:dyDescent="0.25">
      <c r="A8" t="s">
        <v>0</v>
      </c>
      <c r="B8">
        <v>1000</v>
      </c>
      <c r="D8" s="2">
        <v>600</v>
      </c>
    </row>
    <row r="9" spans="1:4" x14ac:dyDescent="0.25">
      <c r="A9" t="s">
        <v>5</v>
      </c>
      <c r="B9">
        <v>1</v>
      </c>
      <c r="D9">
        <v>2</v>
      </c>
    </row>
    <row r="10" spans="1:4" x14ac:dyDescent="0.25">
      <c r="A10" t="s">
        <v>1</v>
      </c>
      <c r="B10">
        <v>10</v>
      </c>
    </row>
    <row r="11" spans="1:4" x14ac:dyDescent="0.25">
      <c r="A11" t="s">
        <v>2</v>
      </c>
      <c r="B11">
        <v>0.08</v>
      </c>
      <c r="D11">
        <v>0.08</v>
      </c>
    </row>
    <row r="12" spans="1:4" x14ac:dyDescent="0.25">
      <c r="A12" t="s">
        <v>6</v>
      </c>
      <c r="B12" s="2">
        <v>1</v>
      </c>
      <c r="D12">
        <v>1</v>
      </c>
    </row>
    <row r="13" spans="1:4" x14ac:dyDescent="0.25">
      <c r="A13" t="s">
        <v>3</v>
      </c>
      <c r="D13" s="3">
        <f>NPER(D14%,D8,-B14)</f>
        <v>15.009110526419674</v>
      </c>
    </row>
    <row r="14" spans="1:4" x14ac:dyDescent="0.25">
      <c r="A14" t="s">
        <v>4</v>
      </c>
      <c r="B14" s="4">
        <f>-PV(B11,B10,B8)</f>
        <v>6710.0813989414464</v>
      </c>
      <c r="D14" s="4">
        <f>NOMINAL(D11,D9)/2*100</f>
        <v>3.9230484541326494</v>
      </c>
    </row>
    <row r="15" spans="1:4" x14ac:dyDescent="0.25">
      <c r="A15" s="9">
        <v>17</v>
      </c>
      <c r="B15" s="9"/>
      <c r="C15" s="9"/>
      <c r="D15" s="9"/>
    </row>
    <row r="16" spans="1:4" x14ac:dyDescent="0.25">
      <c r="A16" t="s">
        <v>0</v>
      </c>
      <c r="B16">
        <v>500</v>
      </c>
      <c r="D16" s="2">
        <v>100</v>
      </c>
    </row>
    <row r="17" spans="1:6" x14ac:dyDescent="0.25">
      <c r="A17" t="s">
        <v>5</v>
      </c>
      <c r="B17">
        <v>4</v>
      </c>
      <c r="D17">
        <v>2</v>
      </c>
      <c r="F17">
        <v>1</v>
      </c>
    </row>
    <row r="18" spans="1:6" x14ac:dyDescent="0.25">
      <c r="A18" t="s">
        <v>1</v>
      </c>
      <c r="B18">
        <v>3</v>
      </c>
      <c r="D18">
        <v>6</v>
      </c>
      <c r="F18">
        <v>10</v>
      </c>
    </row>
    <row r="19" spans="1:6" x14ac:dyDescent="0.25">
      <c r="A19" t="s">
        <v>2</v>
      </c>
      <c r="B19">
        <v>0.1</v>
      </c>
      <c r="D19">
        <v>0.16</v>
      </c>
      <c r="F19">
        <v>0.15</v>
      </c>
    </row>
    <row r="20" spans="1:6" x14ac:dyDescent="0.25">
      <c r="A20" t="s">
        <v>6</v>
      </c>
      <c r="B20" s="2">
        <v>2</v>
      </c>
      <c r="D20">
        <v>4</v>
      </c>
      <c r="F20">
        <v>12</v>
      </c>
    </row>
    <row r="21" spans="1:6" x14ac:dyDescent="0.25">
      <c r="A21" t="s">
        <v>3</v>
      </c>
      <c r="D21" s="3"/>
    </row>
    <row r="22" spans="1:6" x14ac:dyDescent="0.25">
      <c r="A22" t="s">
        <v>4</v>
      </c>
      <c r="B22" s="4">
        <f>-PV(B19,B18,B16)</f>
        <v>1243.4259954921124</v>
      </c>
      <c r="D22" s="4">
        <f>NOMINAL(D19,D17)/2*100</f>
        <v>7.7032961426900748</v>
      </c>
      <c r="F22" s="1">
        <f>B25+D25</f>
        <v>5885.7645234468309</v>
      </c>
    </row>
    <row r="23" spans="1:6" x14ac:dyDescent="0.25">
      <c r="A23" t="s">
        <v>7</v>
      </c>
      <c r="B23" s="5">
        <f>((1+0.1/2)^(1/2)-1)%*100</f>
        <v>2.4695076595959931E-2</v>
      </c>
      <c r="C23" t="s">
        <v>12</v>
      </c>
      <c r="D23" s="5">
        <f>((1+0.16/4)^(2)-1)%*100</f>
        <v>8.1600000000000117E-2</v>
      </c>
      <c r="E23" t="s">
        <v>9</v>
      </c>
      <c r="F23" s="5">
        <f>(1+0.15/12)^12-1</f>
        <v>0.16075451772299854</v>
      </c>
    </row>
    <row r="24" spans="1:6" x14ac:dyDescent="0.25">
      <c r="B24" s="5">
        <f>NOMINAL(EFFECT(10%,2),4)/4</f>
        <v>2.4695076595959931E-2</v>
      </c>
      <c r="D24" s="5">
        <f>NOMINAL(EFFECT(16%,4),2)/2</f>
        <v>8.1600000000000117E-2</v>
      </c>
      <c r="F24" s="5">
        <f>EFFECT(15%,12)</f>
        <v>0.16075451772299854</v>
      </c>
    </row>
    <row r="25" spans="1:6" x14ac:dyDescent="0.25">
      <c r="A25" t="s">
        <v>8</v>
      </c>
      <c r="B25" s="1">
        <f>PV(B23,12,-500)</f>
        <v>5138.3643694567854</v>
      </c>
      <c r="C25" t="s">
        <v>11</v>
      </c>
      <c r="D25" s="1">
        <f>PV(D23,12,-100)</f>
        <v>747.40015399004506</v>
      </c>
      <c r="E25" t="s">
        <v>10</v>
      </c>
      <c r="F25" s="1">
        <f>PMT(F23,10,-F22)</f>
        <v>1221.1936423269949</v>
      </c>
    </row>
    <row r="27" spans="1:6" x14ac:dyDescent="0.25">
      <c r="A27" s="9" t="s">
        <v>13</v>
      </c>
      <c r="B27" s="9"/>
      <c r="C27" s="9"/>
      <c r="D27" s="9"/>
      <c r="E27" s="9"/>
    </row>
    <row r="29" spans="1:6" x14ac:dyDescent="0.25">
      <c r="A29" t="s">
        <v>5</v>
      </c>
      <c r="B29">
        <v>2</v>
      </c>
    </row>
    <row r="30" spans="1:6" x14ac:dyDescent="0.25">
      <c r="A30" t="s">
        <v>6</v>
      </c>
      <c r="B30">
        <v>2</v>
      </c>
    </row>
    <row r="31" spans="1:6" x14ac:dyDescent="0.25">
      <c r="A31" t="s">
        <v>2</v>
      </c>
      <c r="B31" s="6">
        <v>0.24</v>
      </c>
    </row>
    <row r="32" spans="1:6" x14ac:dyDescent="0.25">
      <c r="A32" t="s">
        <v>15</v>
      </c>
      <c r="B32" s="1">
        <f>NPV(B31/2,40,50,45,70)</f>
        <v>152.09035623177837</v>
      </c>
      <c r="C32">
        <f>B33/B32</f>
        <v>1.1200000000000001</v>
      </c>
    </row>
    <row r="33" spans="1:4" x14ac:dyDescent="0.25">
      <c r="A33" t="s">
        <v>14</v>
      </c>
      <c r="B33" s="1">
        <f>NPV(B31/2,50,45,70)+40</f>
        <v>170.34119897959181</v>
      </c>
    </row>
    <row r="35" spans="1:4" x14ac:dyDescent="0.25">
      <c r="B35" s="1">
        <f>NPV(7.2%/12,15000,16000,16500,0,25000,10000)</f>
        <v>80837.533633675834</v>
      </c>
    </row>
    <row r="36" spans="1:4" x14ac:dyDescent="0.25">
      <c r="A36" s="10">
        <v>7.4999999999999997E-2</v>
      </c>
      <c r="B36" s="10"/>
      <c r="C36" s="10"/>
      <c r="D36" s="10"/>
    </row>
    <row r="37" spans="1:4" x14ac:dyDescent="0.25">
      <c r="A37">
        <v>1</v>
      </c>
      <c r="B37">
        <v>0</v>
      </c>
    </row>
    <row r="38" spans="1:4" x14ac:dyDescent="0.25">
      <c r="A38">
        <v>2</v>
      </c>
      <c r="B38">
        <v>0</v>
      </c>
    </row>
    <row r="39" spans="1:4" x14ac:dyDescent="0.25">
      <c r="A39">
        <v>3</v>
      </c>
      <c r="B39">
        <v>1500</v>
      </c>
    </row>
    <row r="40" spans="1:4" x14ac:dyDescent="0.25">
      <c r="A40">
        <v>4</v>
      </c>
      <c r="B40">
        <v>1516</v>
      </c>
    </row>
    <row r="41" spans="1:4" x14ac:dyDescent="0.25">
      <c r="A41">
        <v>5</v>
      </c>
      <c r="B41">
        <v>1532</v>
      </c>
    </row>
    <row r="42" spans="1:4" x14ac:dyDescent="0.25">
      <c r="A42">
        <v>6</v>
      </c>
      <c r="B42">
        <v>1548</v>
      </c>
    </row>
    <row r="43" spans="1:4" x14ac:dyDescent="0.25">
      <c r="A43">
        <v>7</v>
      </c>
      <c r="B43">
        <v>1564</v>
      </c>
    </row>
    <row r="44" spans="1:4" x14ac:dyDescent="0.25">
      <c r="A44">
        <v>8</v>
      </c>
      <c r="B44">
        <v>1580</v>
      </c>
    </row>
    <row r="45" spans="1:4" x14ac:dyDescent="0.25">
      <c r="A45">
        <v>9</v>
      </c>
      <c r="B45">
        <v>1596</v>
      </c>
    </row>
    <row r="46" spans="1:4" x14ac:dyDescent="0.25">
      <c r="A46">
        <v>10</v>
      </c>
      <c r="B46">
        <v>1612</v>
      </c>
    </row>
    <row r="47" spans="1:4" x14ac:dyDescent="0.25">
      <c r="A47">
        <v>11</v>
      </c>
      <c r="B47">
        <v>1628</v>
      </c>
    </row>
    <row r="48" spans="1:4" x14ac:dyDescent="0.25">
      <c r="A48">
        <v>12</v>
      </c>
      <c r="B48">
        <v>1644</v>
      </c>
    </row>
    <row r="49" spans="1:2" x14ac:dyDescent="0.25">
      <c r="A49">
        <v>13</v>
      </c>
      <c r="B49">
        <v>1660</v>
      </c>
    </row>
    <row r="50" spans="1:2" x14ac:dyDescent="0.25">
      <c r="A50">
        <v>14</v>
      </c>
      <c r="B50">
        <v>1676</v>
      </c>
    </row>
    <row r="51" spans="1:2" x14ac:dyDescent="0.25">
      <c r="A51">
        <v>15</v>
      </c>
      <c r="B51">
        <v>1692</v>
      </c>
    </row>
    <row r="52" spans="1:2" x14ac:dyDescent="0.25">
      <c r="A52">
        <v>16</v>
      </c>
      <c r="B52">
        <v>1708</v>
      </c>
    </row>
    <row r="53" spans="1:2" x14ac:dyDescent="0.25">
      <c r="A53">
        <v>17</v>
      </c>
      <c r="B53">
        <v>1724</v>
      </c>
    </row>
    <row r="54" spans="1:2" x14ac:dyDescent="0.25">
      <c r="A54">
        <v>18</v>
      </c>
      <c r="B54">
        <v>1740</v>
      </c>
    </row>
    <row r="55" spans="1:2" x14ac:dyDescent="0.25">
      <c r="A55">
        <v>19</v>
      </c>
      <c r="B55">
        <v>1756</v>
      </c>
    </row>
    <row r="56" spans="1:2" x14ac:dyDescent="0.25">
      <c r="A56">
        <v>20</v>
      </c>
      <c r="B56">
        <v>1772</v>
      </c>
    </row>
    <row r="57" spans="1:2" x14ac:dyDescent="0.25">
      <c r="A57">
        <v>21</v>
      </c>
      <c r="B57">
        <v>1788</v>
      </c>
    </row>
    <row r="58" spans="1:2" x14ac:dyDescent="0.25">
      <c r="A58">
        <v>22</v>
      </c>
      <c r="B58">
        <v>1804</v>
      </c>
    </row>
    <row r="59" spans="1:2" x14ac:dyDescent="0.25">
      <c r="A59">
        <v>23</v>
      </c>
      <c r="B59">
        <v>1820</v>
      </c>
    </row>
    <row r="60" spans="1:2" x14ac:dyDescent="0.25">
      <c r="A60">
        <v>24</v>
      </c>
      <c r="B60">
        <v>1836</v>
      </c>
    </row>
    <row r="61" spans="1:2" x14ac:dyDescent="0.25">
      <c r="A61">
        <v>25</v>
      </c>
      <c r="B61">
        <v>1852</v>
      </c>
    </row>
    <row r="62" spans="1:2" x14ac:dyDescent="0.25">
      <c r="A62">
        <v>26</v>
      </c>
      <c r="B62">
        <v>1868</v>
      </c>
    </row>
    <row r="63" spans="1:2" x14ac:dyDescent="0.25">
      <c r="B63">
        <f>SUM(B37:B62)</f>
        <v>40416</v>
      </c>
    </row>
    <row r="65" spans="1:4" x14ac:dyDescent="0.25">
      <c r="A65" s="7">
        <f>NOMINAL(7.5%,12)/12</f>
        <v>6.0449190242917172E-3</v>
      </c>
      <c r="B65" s="1">
        <f>NPV(A65,B37:B62)</f>
        <v>36964.639273383771</v>
      </c>
      <c r="C65" s="1">
        <f>NPV(A65,,,B39:B62)</f>
        <v>36964.639273383771</v>
      </c>
    </row>
    <row r="67" spans="1:4" x14ac:dyDescent="0.25">
      <c r="A67" t="s">
        <v>26</v>
      </c>
    </row>
    <row r="68" spans="1:4" x14ac:dyDescent="0.25">
      <c r="A68" t="s">
        <v>16</v>
      </c>
      <c r="B68">
        <v>2000</v>
      </c>
      <c r="D68" t="s">
        <v>21</v>
      </c>
    </row>
    <row r="69" spans="1:4" x14ac:dyDescent="0.25">
      <c r="D69" s="1">
        <f>NPV(B74,B70,B71,B72,B73)-2000</f>
        <v>687.88068666135996</v>
      </c>
    </row>
    <row r="70" spans="1:4" x14ac:dyDescent="0.25">
      <c r="A70" t="s">
        <v>17</v>
      </c>
      <c r="B70">
        <v>1000</v>
      </c>
    </row>
    <row r="71" spans="1:4" x14ac:dyDescent="0.25">
      <c r="A71" t="s">
        <v>18</v>
      </c>
      <c r="B71">
        <v>800</v>
      </c>
    </row>
    <row r="72" spans="1:4" x14ac:dyDescent="0.25">
      <c r="A72" t="s">
        <v>19</v>
      </c>
      <c r="B72">
        <v>800</v>
      </c>
    </row>
    <row r="73" spans="1:4" x14ac:dyDescent="0.25">
      <c r="A73" t="s">
        <v>20</v>
      </c>
      <c r="B73">
        <v>600</v>
      </c>
    </row>
    <row r="74" spans="1:4" x14ac:dyDescent="0.25">
      <c r="A74" t="s">
        <v>2</v>
      </c>
      <c r="B74">
        <v>0.08</v>
      </c>
    </row>
    <row r="75" spans="1:4" x14ac:dyDescent="0.25">
      <c r="A75" t="s">
        <v>25</v>
      </c>
    </row>
    <row r="76" spans="1:4" x14ac:dyDescent="0.25">
      <c r="A76" t="s">
        <v>16</v>
      </c>
      <c r="B76">
        <v>37000</v>
      </c>
      <c r="D76" s="1">
        <f>NPV(B83,B77,B78,B79,B80,B81,B82)-B76</f>
        <v>3167.7701408301</v>
      </c>
    </row>
    <row r="77" spans="1:4" x14ac:dyDescent="0.25">
      <c r="B77">
        <v>8000</v>
      </c>
    </row>
    <row r="78" spans="1:4" x14ac:dyDescent="0.25">
      <c r="B78">
        <v>9200</v>
      </c>
    </row>
    <row r="79" spans="1:4" x14ac:dyDescent="0.25">
      <c r="B79">
        <v>10000</v>
      </c>
    </row>
    <row r="80" spans="1:4" x14ac:dyDescent="0.25">
      <c r="B80">
        <v>13900</v>
      </c>
    </row>
    <row r="81" spans="1:6" x14ac:dyDescent="0.25">
      <c r="B81">
        <v>14500</v>
      </c>
    </row>
    <row r="82" spans="1:6" x14ac:dyDescent="0.25">
      <c r="B82">
        <v>-5000</v>
      </c>
    </row>
    <row r="83" spans="1:6" x14ac:dyDescent="0.25">
      <c r="A83" t="s">
        <v>22</v>
      </c>
      <c r="B83">
        <v>0.08</v>
      </c>
    </row>
    <row r="84" spans="1:6" x14ac:dyDescent="0.25">
      <c r="A84" t="s">
        <v>24</v>
      </c>
    </row>
    <row r="85" spans="1:6" x14ac:dyDescent="0.25">
      <c r="A85" s="1">
        <f>NPV(0.15,0,0,400,80)-400</f>
        <v>-91.253247379762001</v>
      </c>
    </row>
    <row r="86" spans="1:6" x14ac:dyDescent="0.25">
      <c r="A86" t="s">
        <v>23</v>
      </c>
    </row>
    <row r="87" spans="1:6" x14ac:dyDescent="0.25">
      <c r="A87" t="s">
        <v>27</v>
      </c>
      <c r="B87" s="4">
        <f>80000/18000</f>
        <v>4.4444444444444446</v>
      </c>
      <c r="C87" t="s">
        <v>28</v>
      </c>
    </row>
    <row r="88" spans="1:6" x14ac:dyDescent="0.25">
      <c r="A88">
        <v>0</v>
      </c>
      <c r="B88">
        <v>-80000</v>
      </c>
    </row>
    <row r="89" spans="1:6" x14ac:dyDescent="0.25">
      <c r="A89">
        <v>1</v>
      </c>
      <c r="B89">
        <v>22000</v>
      </c>
    </row>
    <row r="90" spans="1:6" x14ac:dyDescent="0.25">
      <c r="A90" t="s">
        <v>29</v>
      </c>
      <c r="B90">
        <v>58000</v>
      </c>
    </row>
    <row r="91" spans="1:6" x14ac:dyDescent="0.25">
      <c r="A91">
        <v>2</v>
      </c>
      <c r="B91">
        <v>20000</v>
      </c>
    </row>
    <row r="92" spans="1:6" x14ac:dyDescent="0.25">
      <c r="A92" t="s">
        <v>29</v>
      </c>
      <c r="B92">
        <v>38000</v>
      </c>
    </row>
    <row r="93" spans="1:6" x14ac:dyDescent="0.25">
      <c r="A93">
        <v>3</v>
      </c>
      <c r="B93">
        <v>18000</v>
      </c>
    </row>
    <row r="94" spans="1:6" x14ac:dyDescent="0.25">
      <c r="A94" t="s">
        <v>29</v>
      </c>
      <c r="B94">
        <v>20000</v>
      </c>
    </row>
    <row r="95" spans="1:6" x14ac:dyDescent="0.25">
      <c r="A95">
        <v>4</v>
      </c>
      <c r="B95">
        <v>16000</v>
      </c>
    </row>
    <row r="96" spans="1:6" x14ac:dyDescent="0.25">
      <c r="A96" t="s">
        <v>29</v>
      </c>
      <c r="B96">
        <v>4000</v>
      </c>
      <c r="D96" t="s">
        <v>30</v>
      </c>
      <c r="E96">
        <f>4+4000/14000</f>
        <v>4.2857142857142856</v>
      </c>
      <c r="F96" t="s">
        <v>28</v>
      </c>
    </row>
    <row r="97" spans="1:13" x14ac:dyDescent="0.25">
      <c r="H97" t="s">
        <v>35</v>
      </c>
    </row>
    <row r="98" spans="1:13" x14ac:dyDescent="0.25">
      <c r="A98" s="8">
        <f>B88/(1+0.03)^0</f>
        <v>-80000</v>
      </c>
      <c r="B98" s="8">
        <f>B89/(1+0.03)^1</f>
        <v>21359.223300970873</v>
      </c>
      <c r="C98" s="8">
        <f>B91/(1+0.03)^2</f>
        <v>18851.918182675086</v>
      </c>
      <c r="D98" s="8">
        <f>B93/(1+0.03)^3</f>
        <v>16472.549868356873</v>
      </c>
      <c r="E98" s="8">
        <f>B95/(1+0.03)^4</f>
        <v>14215.792766651024</v>
      </c>
      <c r="F98" s="8">
        <f>14000/(1+0.03)^5</f>
        <v>12076.522981378297</v>
      </c>
      <c r="H98" s="4">
        <f>4+(ABS(SUM(A98:E98))/F98)</f>
        <v>4.7535708659999996</v>
      </c>
    </row>
    <row r="100" spans="1:13" x14ac:dyDescent="0.25">
      <c r="H100" t="s">
        <v>43</v>
      </c>
      <c r="I100" s="6">
        <v>0.1</v>
      </c>
    </row>
    <row r="101" spans="1:13" x14ac:dyDescent="0.25">
      <c r="A101" t="s">
        <v>31</v>
      </c>
      <c r="B101">
        <v>1</v>
      </c>
      <c r="C101">
        <v>2</v>
      </c>
      <c r="D101">
        <v>3</v>
      </c>
      <c r="E101">
        <v>4</v>
      </c>
      <c r="F101">
        <v>5</v>
      </c>
      <c r="I101" t="s">
        <v>37</v>
      </c>
      <c r="J101" t="s">
        <v>41</v>
      </c>
      <c r="K101" t="s">
        <v>42</v>
      </c>
    </row>
    <row r="102" spans="1:13" x14ac:dyDescent="0.25">
      <c r="A102" t="s">
        <v>32</v>
      </c>
      <c r="B102">
        <v>-100</v>
      </c>
      <c r="C102">
        <v>-150</v>
      </c>
      <c r="D102">
        <v>50</v>
      </c>
      <c r="E102">
        <v>200</v>
      </c>
      <c r="F102">
        <v>200</v>
      </c>
      <c r="G102" t="s">
        <v>36</v>
      </c>
      <c r="H102" s="1">
        <f>NPV($I$100,B102:F102)</f>
        <v>83.476662672072734</v>
      </c>
      <c r="I102" s="11">
        <f>G106/ABS(SUM(B106:C106))</f>
        <v>0.38848754551233883</v>
      </c>
      <c r="J102">
        <f>SUM(B102:E102)</f>
        <v>0</v>
      </c>
      <c r="K102">
        <f xml:space="preserve"> 4 + ABS(SUM(B102:E102))/F106</f>
        <v>4</v>
      </c>
    </row>
    <row r="103" spans="1:13" x14ac:dyDescent="0.25">
      <c r="A103" t="s">
        <v>33</v>
      </c>
      <c r="B103">
        <v>-200</v>
      </c>
      <c r="C103">
        <v>-50</v>
      </c>
      <c r="D103">
        <v>100</v>
      </c>
      <c r="E103">
        <v>150</v>
      </c>
      <c r="F103">
        <v>200</v>
      </c>
      <c r="H103" s="1">
        <f t="shared" ref="H103:H104" si="0">NPV($I$100,B103:F103)</f>
        <v>78.627267138980727</v>
      </c>
      <c r="I103" s="11">
        <f t="shared" ref="I103:I104" si="1">G107/ABS(SUM(B107:C107))</f>
        <v>0.35236664162283959</v>
      </c>
      <c r="J103">
        <f t="shared" ref="J103:J104" si="2">SUM(B103:E103)</f>
        <v>0</v>
      </c>
      <c r="K103">
        <f t="shared" ref="K103" si="3" xml:space="preserve"> 4 + ABS(SUM(B103:E103))/F107</f>
        <v>4</v>
      </c>
    </row>
    <row r="104" spans="1:13" x14ac:dyDescent="0.25">
      <c r="A104" t="s">
        <v>34</v>
      </c>
      <c r="B104">
        <v>-200</v>
      </c>
      <c r="C104">
        <v>-50</v>
      </c>
      <c r="D104">
        <v>50</v>
      </c>
      <c r="E104">
        <v>100</v>
      </c>
      <c r="F104">
        <v>100</v>
      </c>
      <c r="H104" s="1">
        <f t="shared" si="0"/>
        <v>-55.181277980267168</v>
      </c>
      <c r="I104" s="11">
        <f t="shared" si="1"/>
        <v>-0.24729387539304906</v>
      </c>
      <c r="J104">
        <f t="shared" si="2"/>
        <v>-100</v>
      </c>
      <c r="K104" t="s">
        <v>44</v>
      </c>
    </row>
    <row r="106" spans="1:13" x14ac:dyDescent="0.25">
      <c r="A106" t="s">
        <v>38</v>
      </c>
      <c r="B106">
        <f>B102/(1+$I$100)^B$101</f>
        <v>-90.909090909090907</v>
      </c>
      <c r="C106">
        <f t="shared" ref="C106:F106" si="4">C102/(1+$I$100)^C$101</f>
        <v>-123.96694214876031</v>
      </c>
      <c r="D106">
        <f t="shared" si="4"/>
        <v>37.565740045078876</v>
      </c>
      <c r="E106">
        <f t="shared" si="4"/>
        <v>136.60269107301411</v>
      </c>
      <c r="F106">
        <f t="shared" si="4"/>
        <v>124.184264611831</v>
      </c>
      <c r="G106">
        <f>SUM(B106:F106)</f>
        <v>83.476662672072791</v>
      </c>
    </row>
    <row r="107" spans="1:13" x14ac:dyDescent="0.25">
      <c r="A107" t="s">
        <v>39</v>
      </c>
      <c r="B107">
        <f>B103/(1+$I$100)^B$101</f>
        <v>-181.81818181818181</v>
      </c>
      <c r="C107">
        <f t="shared" ref="C107:F107" si="5">C103/(1+$I$100)^C$101</f>
        <v>-41.322314049586772</v>
      </c>
      <c r="D107">
        <f t="shared" si="5"/>
        <v>75.131480090157751</v>
      </c>
      <c r="E107">
        <f t="shared" si="5"/>
        <v>102.45201830476057</v>
      </c>
      <c r="F107">
        <f t="shared" si="5"/>
        <v>124.184264611831</v>
      </c>
      <c r="G107">
        <f t="shared" ref="G107:G108" si="6">SUM(B107:F107)</f>
        <v>78.627267138980727</v>
      </c>
    </row>
    <row r="108" spans="1:13" x14ac:dyDescent="0.25">
      <c r="A108" t="s">
        <v>40</v>
      </c>
      <c r="B108">
        <f>B104/(1+$I$100)^B$101</f>
        <v>-181.81818181818181</v>
      </c>
      <c r="C108">
        <f t="shared" ref="C108:F108" si="7">C104/(1+$I$100)^C$101</f>
        <v>-41.322314049586772</v>
      </c>
      <c r="D108">
        <f t="shared" si="7"/>
        <v>37.565740045078876</v>
      </c>
      <c r="E108">
        <f t="shared" si="7"/>
        <v>68.301345536507057</v>
      </c>
      <c r="F108">
        <f t="shared" si="7"/>
        <v>62.092132305915499</v>
      </c>
      <c r="G108">
        <f t="shared" si="6"/>
        <v>-55.18127798026714</v>
      </c>
    </row>
    <row r="109" spans="1:13" x14ac:dyDescent="0.25">
      <c r="H109" t="s">
        <v>43</v>
      </c>
      <c r="I109" s="6">
        <v>0.1</v>
      </c>
      <c r="J109" t="s">
        <v>46</v>
      </c>
      <c r="K109">
        <v>4</v>
      </c>
      <c r="L109" t="s">
        <v>48</v>
      </c>
      <c r="M109" s="7">
        <f>(1+0.1/4)^4-1</f>
        <v>0.10381289062499977</v>
      </c>
    </row>
    <row r="110" spans="1:13" x14ac:dyDescent="0.25">
      <c r="A110" t="s">
        <v>45</v>
      </c>
      <c r="B110">
        <v>1</v>
      </c>
      <c r="C110">
        <v>2</v>
      </c>
      <c r="D110">
        <v>3</v>
      </c>
      <c r="E110">
        <v>4</v>
      </c>
      <c r="F110">
        <v>5</v>
      </c>
      <c r="G110" t="s">
        <v>36</v>
      </c>
      <c r="I110" t="s">
        <v>37</v>
      </c>
      <c r="J110" t="s">
        <v>41</v>
      </c>
      <c r="K110" t="s">
        <v>42</v>
      </c>
    </row>
    <row r="111" spans="1:13" x14ac:dyDescent="0.25">
      <c r="A111" t="s">
        <v>32</v>
      </c>
      <c r="B111">
        <v>-100</v>
      </c>
      <c r="C111">
        <v>-150</v>
      </c>
      <c r="D111">
        <v>50</v>
      </c>
      <c r="E111">
        <v>200</v>
      </c>
      <c r="F111">
        <v>200</v>
      </c>
      <c r="G111" s="1">
        <f>NPV($M$109,B111:F111)</f>
        <v>80.249919422382163</v>
      </c>
      <c r="I111" s="11">
        <f>G115/ABS(SUM(B115:C115))</f>
        <v>0.37551367343334036</v>
      </c>
      <c r="J111">
        <f>SUM(B111:E111)</f>
        <v>0</v>
      </c>
      <c r="K111">
        <f xml:space="preserve"> 4 + ABS(SUM(B111:E111))/F115</f>
        <v>4</v>
      </c>
    </row>
    <row r="112" spans="1:13" x14ac:dyDescent="0.25">
      <c r="A112" t="s">
        <v>33</v>
      </c>
      <c r="B112">
        <v>-200</v>
      </c>
      <c r="C112">
        <v>-50</v>
      </c>
      <c r="D112">
        <v>100</v>
      </c>
      <c r="E112">
        <v>100</v>
      </c>
      <c r="F112">
        <v>250</v>
      </c>
      <c r="G112" s="1">
        <f>NPV($M$109,B112:F112)</f>
        <v>72.05836006877783</v>
      </c>
      <c r="I112" s="11">
        <f>G116/ABS(SUM(B116:C116))</f>
        <v>0.32425498126657659</v>
      </c>
      <c r="J112">
        <f>SUM(B112:E112)</f>
        <v>-50</v>
      </c>
      <c r="K112">
        <f xml:space="preserve"> 4 + ABS(SUM(B112:E112))/F112</f>
        <v>4.2</v>
      </c>
    </row>
    <row r="113" spans="1:14" x14ac:dyDescent="0.25">
      <c r="H113" s="1"/>
      <c r="I113" s="11"/>
    </row>
    <row r="114" spans="1:14" x14ac:dyDescent="0.25">
      <c r="G114" t="s">
        <v>47</v>
      </c>
    </row>
    <row r="115" spans="1:14" x14ac:dyDescent="0.25">
      <c r="A115" t="s">
        <v>38</v>
      </c>
      <c r="B115">
        <f>B111/(1+$I$100/4)^(B$101*4)</f>
        <v>-90.595064479975505</v>
      </c>
      <c r="C115">
        <f t="shared" ref="C115:C116" si="8">C111/(1+$I$100/4)^(C$101*4)</f>
        <v>-123.11198562196378</v>
      </c>
      <c r="D115">
        <f>D111/(1+$I$100/4)^(D$101*4)</f>
        <v>37.177794252265421</v>
      </c>
      <c r="E115">
        <f>E111/(1+$I$100/4)^(E$101*4)</f>
        <v>134.72498670028992</v>
      </c>
      <c r="F115">
        <f>F111/(1+$I$100/4)^(F$101*4)</f>
        <v>122.05418857176608</v>
      </c>
      <c r="G115" s="12">
        <f>SUM(B115:F115)</f>
        <v>80.249919422382135</v>
      </c>
    </row>
    <row r="116" spans="1:14" x14ac:dyDescent="0.25">
      <c r="A116" t="s">
        <v>39</v>
      </c>
      <c r="B116">
        <f>B112/(1+$I$100/4)^(B$101*4)</f>
        <v>-181.19012895995101</v>
      </c>
      <c r="C116">
        <f t="shared" si="8"/>
        <v>-41.037328540654592</v>
      </c>
      <c r="D116">
        <f>D112/(1+$I$100/4)^(D$101*4)</f>
        <v>74.355588504530843</v>
      </c>
      <c r="E116">
        <f>E112/(1+$I$100/4)^(E$101*4)</f>
        <v>67.362493350144959</v>
      </c>
      <c r="F116">
        <f>F112/(1+$I$100/4)^(F$101*4)</f>
        <v>152.5677357147076</v>
      </c>
      <c r="G116" s="12">
        <f>SUM(B116:F116)</f>
        <v>72.058360068777816</v>
      </c>
    </row>
    <row r="118" spans="1:14" x14ac:dyDescent="0.25">
      <c r="I118" t="s">
        <v>43</v>
      </c>
      <c r="J118" s="6">
        <v>0.1</v>
      </c>
      <c r="K118" t="s">
        <v>46</v>
      </c>
      <c r="L118">
        <v>4</v>
      </c>
      <c r="M118" t="s">
        <v>48</v>
      </c>
      <c r="N118" s="7">
        <f>(1+0.1/4)^4-1</f>
        <v>0.10381289062499977</v>
      </c>
    </row>
    <row r="119" spans="1:14" x14ac:dyDescent="0.25">
      <c r="A119" t="s">
        <v>49</v>
      </c>
      <c r="B119">
        <v>1</v>
      </c>
      <c r="C119">
        <v>2</v>
      </c>
      <c r="D119">
        <v>3</v>
      </c>
      <c r="E119">
        <v>4</v>
      </c>
      <c r="F119">
        <v>5</v>
      </c>
      <c r="G119">
        <v>6</v>
      </c>
      <c r="H119" t="s">
        <v>36</v>
      </c>
      <c r="J119" t="s">
        <v>37</v>
      </c>
      <c r="K119" t="s">
        <v>41</v>
      </c>
      <c r="L119" t="s">
        <v>42</v>
      </c>
    </row>
    <row r="120" spans="1:14" x14ac:dyDescent="0.25">
      <c r="A120" t="s">
        <v>32</v>
      </c>
      <c r="B120">
        <v>-100</v>
      </c>
      <c r="C120">
        <v>-150</v>
      </c>
      <c r="D120">
        <v>0</v>
      </c>
      <c r="E120">
        <v>50</v>
      </c>
      <c r="F120">
        <v>200</v>
      </c>
      <c r="G120">
        <v>200</v>
      </c>
      <c r="H120" s="1">
        <f>NPV($M$109,B120:G120)</f>
        <v>52.60345598200167</v>
      </c>
      <c r="J120" s="11">
        <f>H124/ABS(SUM(B124:C124))</f>
        <v>0.37551367343334036</v>
      </c>
      <c r="K120">
        <f>SUM(B120:F120)</f>
        <v>0</v>
      </c>
      <c r="L120">
        <f xml:space="preserve"> 4 + ABS(SUM(B120:F120))/G124</f>
        <v>4</v>
      </c>
    </row>
    <row r="121" spans="1:14" x14ac:dyDescent="0.25">
      <c r="A121" t="s">
        <v>33</v>
      </c>
      <c r="B121">
        <v>-200</v>
      </c>
      <c r="C121">
        <v>-50</v>
      </c>
      <c r="D121">
        <v>0</v>
      </c>
      <c r="E121">
        <v>100</v>
      </c>
      <c r="F121">
        <v>100</v>
      </c>
      <c r="G121">
        <v>250</v>
      </c>
      <c r="H121" s="1">
        <f>NPV($M$109,B121:G121)</f>
        <v>44.380968681800411</v>
      </c>
      <c r="J121" s="11">
        <f>H125/ABS(SUM(B125:C125))</f>
        <v>0.32425498126657659</v>
      </c>
      <c r="K121">
        <f>SUM(B121:F121)</f>
        <v>-50</v>
      </c>
      <c r="L121">
        <f xml:space="preserve"> 4 + ABS(SUM(B121:F121))/G121</f>
        <v>4.2</v>
      </c>
    </row>
    <row r="122" spans="1:14" x14ac:dyDescent="0.25">
      <c r="I122" s="1"/>
      <c r="J122" s="11"/>
    </row>
    <row r="123" spans="1:14" x14ac:dyDescent="0.25">
      <c r="H123" t="s">
        <v>47</v>
      </c>
    </row>
    <row r="124" spans="1:14" x14ac:dyDescent="0.25">
      <c r="A124" t="s">
        <v>38</v>
      </c>
      <c r="B124">
        <f>B120/(1+$I$100/4)^(B$101*4)</f>
        <v>-90.595064479975505</v>
      </c>
      <c r="C124">
        <f t="shared" ref="C124:C125" si="9">C120/(1+$I$100/4)^(C$101*4)</f>
        <v>-123.11198562196378</v>
      </c>
      <c r="D124">
        <v>0</v>
      </c>
      <c r="E124">
        <f>E120/(1+$I$100/4)^(D$101*4)</f>
        <v>37.177794252265421</v>
      </c>
      <c r="F124">
        <f>F120/(1+$I$100/4)^(E$101*4)</f>
        <v>134.72498670028992</v>
      </c>
      <c r="G124">
        <f>G120/(1+$I$100/4)^(F$101*4)</f>
        <v>122.05418857176608</v>
      </c>
      <c r="H124" s="12">
        <f>SUM(B124:G124)</f>
        <v>80.249919422382135</v>
      </c>
    </row>
    <row r="125" spans="1:14" x14ac:dyDescent="0.25">
      <c r="A125" t="s">
        <v>39</v>
      </c>
      <c r="B125">
        <f>B121/(1+$I$100/4)^(B$101*4)</f>
        <v>-181.19012895995101</v>
      </c>
      <c r="C125">
        <f t="shared" si="9"/>
        <v>-41.037328540654592</v>
      </c>
      <c r="D125">
        <v>0</v>
      </c>
      <c r="E125">
        <f>E121/(1+$I$100/4)^(D$101*4)</f>
        <v>74.355588504530843</v>
      </c>
      <c r="F125">
        <f>F121/(1+$I$100/4)^(E$101*4)</f>
        <v>67.362493350144959</v>
      </c>
      <c r="G125">
        <f>G121/(1+$I$100/4)^(F$101*4)</f>
        <v>152.5677357147076</v>
      </c>
      <c r="H125" s="12">
        <f>SUM(B125:G125)</f>
        <v>72.058360068777816</v>
      </c>
    </row>
    <row r="127" spans="1:14" x14ac:dyDescent="0.25">
      <c r="A127" t="s">
        <v>50</v>
      </c>
    </row>
    <row r="128" spans="1:14" x14ac:dyDescent="0.25">
      <c r="A128" t="s">
        <v>52</v>
      </c>
      <c r="B128">
        <v>1</v>
      </c>
      <c r="C128">
        <v>2</v>
      </c>
      <c r="D128">
        <v>3</v>
      </c>
      <c r="E128">
        <v>4</v>
      </c>
    </row>
    <row r="129" spans="1:14" x14ac:dyDescent="0.25">
      <c r="A129" t="s">
        <v>51</v>
      </c>
      <c r="B129">
        <v>-250</v>
      </c>
      <c r="C129">
        <v>100</v>
      </c>
      <c r="D129">
        <v>150</v>
      </c>
      <c r="E129">
        <v>250</v>
      </c>
      <c r="F129" t="s">
        <v>53</v>
      </c>
    </row>
    <row r="130" spans="1:14" x14ac:dyDescent="0.25">
      <c r="A130" s="6">
        <v>0.1</v>
      </c>
      <c r="B130">
        <f>B$129/(1+$A130)^B$128</f>
        <v>-227.27272727272725</v>
      </c>
      <c r="C130">
        <f t="shared" ref="C130:E145" si="10">C$129/(1+$A130)^C$128</f>
        <v>82.644628099173545</v>
      </c>
      <c r="D130">
        <f t="shared" si="10"/>
        <v>112.69722013523663</v>
      </c>
      <c r="E130">
        <f t="shared" si="10"/>
        <v>170.75336384126763</v>
      </c>
      <c r="F130">
        <f>SUM(B130:E130)</f>
        <v>138.82248480295056</v>
      </c>
      <c r="H130" s="6">
        <f>IRR(B129:E129)</f>
        <v>0.3703574671208345</v>
      </c>
    </row>
    <row r="131" spans="1:14" x14ac:dyDescent="0.25">
      <c r="A131" s="6">
        <v>0.15</v>
      </c>
      <c r="B131">
        <f t="shared" ref="B131:E146" si="11">B$129/(1+$A131)^B$128</f>
        <v>-217.39130434782609</v>
      </c>
      <c r="C131">
        <f t="shared" si="10"/>
        <v>75.61436672967865</v>
      </c>
      <c r="D131">
        <f t="shared" si="10"/>
        <v>98.627434864798261</v>
      </c>
      <c r="E131">
        <f t="shared" si="10"/>
        <v>142.93831139825835</v>
      </c>
      <c r="F131">
        <f>SUM(B131:E131)</f>
        <v>99.788808644909182</v>
      </c>
    </row>
    <row r="132" spans="1:14" x14ac:dyDescent="0.25">
      <c r="A132" s="6">
        <v>0.2</v>
      </c>
      <c r="B132">
        <f t="shared" si="11"/>
        <v>-208.33333333333334</v>
      </c>
      <c r="C132">
        <f t="shared" si="10"/>
        <v>69.444444444444443</v>
      </c>
      <c r="D132">
        <f t="shared" si="10"/>
        <v>86.805555555555557</v>
      </c>
      <c r="E132">
        <f t="shared" si="10"/>
        <v>120.56327160493828</v>
      </c>
      <c r="F132">
        <f>SUM(B132:E132)</f>
        <v>68.479938271604922</v>
      </c>
    </row>
    <row r="133" spans="1:14" x14ac:dyDescent="0.25">
      <c r="A133" s="6">
        <v>0.25</v>
      </c>
      <c r="B133">
        <f t="shared" si="11"/>
        <v>-200</v>
      </c>
      <c r="C133">
        <f t="shared" si="10"/>
        <v>64</v>
      </c>
      <c r="D133">
        <f t="shared" si="10"/>
        <v>76.8</v>
      </c>
      <c r="E133">
        <f t="shared" si="10"/>
        <v>102.4</v>
      </c>
      <c r="F133">
        <f>SUM(B133:E133)</f>
        <v>43.2</v>
      </c>
    </row>
    <row r="134" spans="1:14" x14ac:dyDescent="0.25">
      <c r="A134" s="6">
        <v>0.3</v>
      </c>
      <c r="B134">
        <f t="shared" si="11"/>
        <v>-192.30769230769229</v>
      </c>
      <c r="C134">
        <f t="shared" si="10"/>
        <v>59.171597633136088</v>
      </c>
      <c r="D134">
        <f t="shared" si="10"/>
        <v>68.274920345926247</v>
      </c>
      <c r="E134">
        <f t="shared" si="10"/>
        <v>87.531949161443904</v>
      </c>
      <c r="F134">
        <f t="shared" ref="F134:F149" si="12">SUM(B134:E134)</f>
        <v>22.670774832813947</v>
      </c>
    </row>
    <row r="135" spans="1:14" x14ac:dyDescent="0.25">
      <c r="A135" s="6">
        <v>0.35</v>
      </c>
      <c r="B135">
        <f t="shared" si="11"/>
        <v>-185.18518518518516</v>
      </c>
      <c r="C135">
        <f t="shared" si="10"/>
        <v>54.869684499314126</v>
      </c>
      <c r="D135">
        <f t="shared" si="10"/>
        <v>60.96631611034902</v>
      </c>
      <c r="E135">
        <f t="shared" si="10"/>
        <v>75.267056926356801</v>
      </c>
      <c r="F135">
        <f t="shared" si="12"/>
        <v>5.9178723508347986</v>
      </c>
    </row>
    <row r="136" spans="1:14" x14ac:dyDescent="0.25">
      <c r="A136" s="6">
        <v>0.4</v>
      </c>
      <c r="B136">
        <f t="shared" si="11"/>
        <v>-178.57142857142858</v>
      </c>
      <c r="C136">
        <f t="shared" si="10"/>
        <v>51.020408163265316</v>
      </c>
      <c r="D136">
        <f t="shared" si="10"/>
        <v>54.664723032069986</v>
      </c>
      <c r="E136">
        <f t="shared" si="10"/>
        <v>65.077051228654753</v>
      </c>
      <c r="F136">
        <f t="shared" si="12"/>
        <v>-7.8092461474385289</v>
      </c>
    </row>
    <row r="137" spans="1:14" x14ac:dyDescent="0.25">
      <c r="A137" s="6">
        <v>0.37</v>
      </c>
      <c r="B137">
        <f t="shared" si="11"/>
        <v>-182.48175182481751</v>
      </c>
      <c r="C137">
        <f t="shared" si="10"/>
        <v>53.279343598486861</v>
      </c>
      <c r="D137">
        <f t="shared" si="10"/>
        <v>58.335047735569546</v>
      </c>
      <c r="E137">
        <f t="shared" si="10"/>
        <v>70.96721135714057</v>
      </c>
      <c r="F137">
        <f t="shared" si="12"/>
        <v>9.9850866379469494E-2</v>
      </c>
    </row>
    <row r="138" spans="1:14" x14ac:dyDescent="0.25">
      <c r="A138" s="13">
        <v>0.37035000000000001</v>
      </c>
      <c r="B138">
        <f>B$129/(1+$A138)^B$128</f>
        <v>-182.43514430619916</v>
      </c>
      <c r="C138">
        <f>C$129/(1+$A138)^C$128</f>
        <v>53.252131004837935</v>
      </c>
      <c r="D138">
        <f>D$129/(1+$A138)^D$128</f>
        <v>58.290361226881387</v>
      </c>
      <c r="E138">
        <f>E$129/(1+$A138)^E$128</f>
        <v>70.89473641391055</v>
      </c>
      <c r="F138">
        <f>SUM(B138:E138)</f>
        <v>2.0843394307092922E-3</v>
      </c>
    </row>
    <row r="139" spans="1:14" x14ac:dyDescent="0.25">
      <c r="A139" s="14"/>
    </row>
    <row r="140" spans="1:14" x14ac:dyDescent="0.25">
      <c r="A140" s="14">
        <v>0.37035745225331373</v>
      </c>
      <c r="B140">
        <f>B$129/(1+$A140)^B$128</f>
        <v>-182.43415219067012</v>
      </c>
      <c r="C140">
        <f t="shared" si="10"/>
        <v>53.25155181684574</v>
      </c>
      <c r="D140">
        <f t="shared" si="10"/>
        <v>58.289410251262751</v>
      </c>
      <c r="E140">
        <f t="shared" si="10"/>
        <v>70.893194272555164</v>
      </c>
      <c r="F140">
        <f>SUM(B140:E140)</f>
        <v>4.1499935292677037E-6</v>
      </c>
    </row>
    <row r="141" spans="1:14" x14ac:dyDescent="0.25">
      <c r="A141" s="14"/>
    </row>
    <row r="142" spans="1:14" x14ac:dyDescent="0.25">
      <c r="A142" s="14" t="s">
        <v>54</v>
      </c>
    </row>
    <row r="143" spans="1:14" x14ac:dyDescent="0.25">
      <c r="A143" s="15">
        <v>9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</sheetData>
  <mergeCells count="5">
    <mergeCell ref="A7:D7"/>
    <mergeCell ref="A1:D1"/>
    <mergeCell ref="A15:D15"/>
    <mergeCell ref="A27:E27"/>
    <mergeCell ref="A36:D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k1_249_06</dc:creator>
  <cp:lastModifiedBy>k1_245_02</cp:lastModifiedBy>
  <dcterms:created xsi:type="dcterms:W3CDTF">2022-12-19T12:15:59Z</dcterms:created>
  <dcterms:modified xsi:type="dcterms:W3CDTF">2022-12-22T08:38:00Z</dcterms:modified>
</cp:coreProperties>
</file>