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ешение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2" authorId="0">
      <text>
        <r>
          <rPr>
            <sz val="9"/>
            <color rgb="FF000000"/>
            <rFont val="Tahoma"/>
            <family val="2"/>
          </rPr>
          <t xml:space="preserve">Фактические значения t-статистики превосходят табличное значение, поэтому параметры a, b, r статистически значимы
</t>
        </r>
      </text>
    </comment>
    <comment ref="P21" authorId="0">
      <text>
        <r>
          <rPr>
            <sz val="9"/>
            <color rgb="FF000000"/>
            <rFont val="Tahoma"/>
            <family val="2"/>
          </rPr>
          <t xml:space="preserve">Определим предельную ошибку для каждого показателя</t>
        </r>
      </text>
    </comment>
    <comment ref="Q8" authorId="0">
      <text>
        <r>
          <rPr>
            <sz val="9"/>
            <color rgb="FF000000"/>
            <rFont val="Tahoma"/>
            <family val="2"/>
          </rPr>
          <t xml:space="preserve">Определили тесноту линейной связи. Связь весьма тесная, судя по показателю
</t>
        </r>
      </text>
    </comment>
    <comment ref="Q9" authorId="0">
      <text>
        <r>
          <rPr>
            <sz val="9"/>
            <color rgb="FF000000"/>
            <rFont val="Tahoma"/>
            <family val="2"/>
          </rPr>
          <t xml:space="preserve">70% вариации ЗП объясняется вариацией фактора x - среднедушевого прожиточного минимума</t>
        </r>
      </text>
    </comment>
    <comment ref="Q10" authorId="0">
      <text>
        <r>
          <rPr>
            <sz val="9"/>
            <color rgb="FF000000"/>
            <rFont val="Tahoma"/>
            <family val="2"/>
          </rPr>
          <t xml:space="preserve">Качество модели оценивается как хорошее: значение не превышает 10(%)</t>
        </r>
      </text>
    </comment>
    <comment ref="Q11" authorId="0">
      <text>
        <r>
          <rPr>
            <sz val="9"/>
            <color rgb="FF000000"/>
            <rFont val="Tahoma"/>
            <family val="2"/>
          </rPr>
          <t xml:space="preserve">Провели оценку статистической зависимости уравнения регрессии в целом. Т.к. F(факт)&gt;F(табл) (23,30&gt;4,96), признаем наше уравнение регрессии статистически значимым</t>
        </r>
      </text>
    </comment>
    <comment ref="Q24" authorId="0">
      <text>
        <r>
          <rPr>
            <sz val="9"/>
            <color rgb="FF000000"/>
            <rFont val="Tahoma"/>
            <family val="2"/>
          </rPr>
          <t xml:space="preserve">Анализ верхней и нижней границ доверительных интервалов приводит к выводу о том, что с вероятностью p = 1 - a = 0.95 параметры а и б, находясь в указанных границах, не принимают нулевых значений, т.е. статистически значимы и существенно отличны от нуля
</t>
        </r>
      </text>
    </comment>
    <comment ref="Q26" authorId="0">
      <text>
        <r>
          <rPr>
            <sz val="9"/>
            <color rgb="FF000000"/>
            <rFont val="Tahoma"/>
            <family val="2"/>
          </rPr>
          <t xml:space="preserve">Если прогнозное значение прожиточного минимума составит
</t>
        </r>
      </text>
    </comment>
    <comment ref="Q27" authorId="0">
      <text>
        <r>
          <rPr>
            <sz val="9"/>
            <color rgb="FF000000"/>
            <rFont val="Tahoma"/>
            <family val="2"/>
          </rPr>
          <t xml:space="preserve">Тогда индивидуальное прогнозное значение зп составит:
</t>
        </r>
      </text>
    </comment>
    <comment ref="Q28" authorId="0">
      <text>
        <r>
          <rPr>
            <sz val="9"/>
            <color rgb="FF000000"/>
            <rFont val="Tahoma"/>
            <family val="2"/>
          </rPr>
          <t xml:space="preserve">Ошибка прогноза составит
</t>
        </r>
      </text>
    </comment>
    <comment ref="Q29" authorId="0">
      <text>
        <r>
          <rPr>
            <sz val="9"/>
            <color rgb="FF000000"/>
            <rFont val="Tahoma"/>
            <family val="2"/>
          </rPr>
          <t xml:space="preserve">Предельная ошибка, которая в 95% случаев не будет превышена</t>
        </r>
      </text>
    </comment>
  </commentList>
</comments>
</file>

<file path=xl/sharedStrings.xml><?xml version="1.0" encoding="utf-8"?>
<sst xmlns="http://schemas.openxmlformats.org/spreadsheetml/2006/main" count="98" uniqueCount="69">
  <si>
    <t xml:space="preserve">№</t>
  </si>
  <si>
    <t xml:space="preserve">x</t>
  </si>
  <si>
    <t xml:space="preserve">x-x(ср)</t>
  </si>
  <si>
    <t xml:space="preserve">(x-x(ср))²</t>
  </si>
  <si>
    <t xml:space="preserve">y-y(ср)</t>
  </si>
  <si>
    <t xml:space="preserve">(y-y(ср))²</t>
  </si>
  <si>
    <t xml:space="preserve">y</t>
  </si>
  <si>
    <t xml:space="preserve">y*x</t>
  </si>
  <si>
    <t xml:space="preserve">x²</t>
  </si>
  <si>
    <t xml:space="preserve">y²</t>
  </si>
  <si>
    <t xml:space="preserve">^yₓ</t>
  </si>
  <si>
    <t xml:space="preserve">y-^yₓ</t>
  </si>
  <si>
    <t xml:space="preserve">(y-^yₓ)²</t>
  </si>
  <si>
    <t xml:space="preserve">Aᵢ</t>
  </si>
  <si>
    <t xml:space="preserve">Решение</t>
  </si>
  <si>
    <t xml:space="preserve">Шаг 1: Находим параметры регрессии</t>
  </si>
  <si>
    <t xml:space="preserve">b=</t>
  </si>
  <si>
    <t xml:space="preserve">Числ. b=</t>
  </si>
  <si>
    <t xml:space="preserve">a=</t>
  </si>
  <si>
    <t xml:space="preserve">Знам. b=</t>
  </si>
  <si>
    <t xml:space="preserve">Получено уравнение регрессии</t>
  </si>
  <si>
    <t xml:space="preserve">y=</t>
  </si>
  <si>
    <t xml:space="preserve">77,88 + 0,87x</t>
  </si>
  <si>
    <t xml:space="preserve">Шаг 2: Определяем тесноту линейной связи</t>
  </si>
  <si>
    <t xml:space="preserve">σ=</t>
  </si>
  <si>
    <t xml:space="preserve">σ²=</t>
  </si>
  <si>
    <t xml:space="preserve">Коэффициент корреляции</t>
  </si>
  <si>
    <t xml:space="preserve">r(xy)=</t>
  </si>
  <si>
    <t xml:space="preserve">Коэффициент детерминации</t>
  </si>
  <si>
    <t xml:space="preserve">r²(xy)=</t>
  </si>
  <si>
    <t xml:space="preserve">Ошибка апроксимации</t>
  </si>
  <si>
    <t xml:space="preserve">A(ср)=</t>
  </si>
  <si>
    <t xml:space="preserve">Шаг 3: F критерий фишера</t>
  </si>
  <si>
    <t xml:space="preserve">F=</t>
  </si>
  <si>
    <t xml:space="preserve">Шаг 4: Считаем критерий t Стьюдента</t>
  </si>
  <si>
    <t xml:space="preserve">t(табл)=</t>
  </si>
  <si>
    <t xml:space="preserve">Определим стандартные ошибки</t>
  </si>
  <si>
    <t xml:space="preserve">S²(ост)=</t>
  </si>
  <si>
    <t xml:space="preserve">Итого</t>
  </si>
  <si>
    <t xml:space="preserve">-</t>
  </si>
  <si>
    <t xml:space="preserve">m(a)=</t>
  </si>
  <si>
    <t xml:space="preserve">Ср. знач.</t>
  </si>
  <si>
    <t xml:space="preserve">m(b)=</t>
  </si>
  <si>
    <t xml:space="preserve">σ</t>
  </si>
  <si>
    <t xml:space="preserve">m(r(xy))=</t>
  </si>
  <si>
    <t xml:space="preserve">σ²</t>
  </si>
  <si>
    <t xml:space="preserve">t(a)=</t>
  </si>
  <si>
    <t xml:space="preserve">p1</t>
  </si>
  <si>
    <t xml:space="preserve">Владислав</t>
  </si>
  <si>
    <t xml:space="preserve">t(b)=</t>
  </si>
  <si>
    <t xml:space="preserve">p2</t>
  </si>
  <si>
    <t xml:space="preserve">Пестерев</t>
  </si>
  <si>
    <t xml:space="preserve">t(r(xy))=</t>
  </si>
  <si>
    <t xml:space="preserve">Шаг 5: Определим интервалы</t>
  </si>
  <si>
    <t xml:space="preserve">∆(a)</t>
  </si>
  <si>
    <t xml:space="preserve">∆(b)</t>
  </si>
  <si>
    <t xml:space="preserve">Интервалы</t>
  </si>
  <si>
    <t xml:space="preserve">y= a ± ∆(a)</t>
  </si>
  <si>
    <t xml:space="preserve">y= b ± ∆(b)</t>
  </si>
  <si>
    <t xml:space="preserve">Шаг 6: прогноз</t>
  </si>
  <si>
    <t xml:space="preserve">x(0)</t>
  </si>
  <si>
    <t xml:space="preserve">^y(0)</t>
  </si>
  <si>
    <t xml:space="preserve">Шаг 7: Ошибка прогноза</t>
  </si>
  <si>
    <t xml:space="preserve">m(^y(0))=</t>
  </si>
  <si>
    <t xml:space="preserve">(x(0)*x(ср)^2))/(n*σ^2(x))</t>
  </si>
  <si>
    <t xml:space="preserve">∆^y(0)</t>
  </si>
  <si>
    <t xml:space="preserve">1/n</t>
  </si>
  <si>
    <t xml:space="preserve">Доверительный интервал</t>
  </si>
  <si>
    <t xml:space="preserve">γ(∆^y(0))= ^y(0) ± ∆^y(0)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</si>
</sst>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.000"/>
    <numFmt numFmtId="168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color rgb="FF000000"/>
      <name val="Times New Roman"/>
      <family val="1"/>
    </font>
    <font>
      <b val="true"/>
      <sz val="10"/>
      <name val="Times New Roman"/>
      <family val="1"/>
    </font>
    <font>
      <sz val="10"/>
      <color rgb="FF595959"/>
      <name val="Times New Roman"/>
      <family val="1"/>
    </font>
    <font>
      <sz val="10"/>
      <color rgb="FF000000"/>
      <name val="Times New Roman"/>
      <family val="1"/>
    </font>
    <font>
      <sz val="10"/>
      <color rgb="FF808080"/>
      <name val="Times New Roman"/>
      <family val="1"/>
    </font>
    <font>
      <sz val="9"/>
      <color rgb="FF000000"/>
      <name val="Tahoma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59229938826916"/>
          <c:y val="0.0454196519959058"/>
          <c:w val="0.893774739114789"/>
          <c:h val="0.83879222108495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Решение!$B$3:$B$14</c:f>
              <c:numCache>
                <c:formatCode>General</c:formatCode>
                <c:ptCount val="12"/>
                <c:pt idx="0">
                  <c:v>87</c:v>
                </c:pt>
                <c:pt idx="1">
                  <c:v>88</c:v>
                </c:pt>
                <c:pt idx="2">
                  <c:v>87</c:v>
                </c:pt>
                <c:pt idx="3">
                  <c:v>79</c:v>
                </c:pt>
                <c:pt idx="4">
                  <c:v>106</c:v>
                </c:pt>
                <c:pt idx="5">
                  <c:v>115</c:v>
                </c:pt>
                <c:pt idx="6">
                  <c:v>67</c:v>
                </c:pt>
                <c:pt idx="7">
                  <c:v>98</c:v>
                </c:pt>
                <c:pt idx="8">
                  <c:v>81</c:v>
                </c:pt>
                <c:pt idx="9">
                  <c:v>87</c:v>
                </c:pt>
                <c:pt idx="10">
                  <c:v>86</c:v>
                </c:pt>
                <c:pt idx="11">
                  <c:v>119</c:v>
                </c:pt>
              </c:numCache>
            </c:numRef>
          </c:xVal>
          <c:yVal>
            <c:numRef>
              <c:f>Решение!$G$3:$G$14</c:f>
              <c:numCache>
                <c:formatCode>General</c:formatCode>
                <c:ptCount val="12"/>
                <c:pt idx="0">
                  <c:v>141</c:v>
                </c:pt>
                <c:pt idx="1">
                  <c:v>148</c:v>
                </c:pt>
                <c:pt idx="2">
                  <c:v>144</c:v>
                </c:pt>
                <c:pt idx="3">
                  <c:v>154</c:v>
                </c:pt>
                <c:pt idx="4">
                  <c:v>166</c:v>
                </c:pt>
                <c:pt idx="5">
                  <c:v>195</c:v>
                </c:pt>
                <c:pt idx="6">
                  <c:v>139</c:v>
                </c:pt>
                <c:pt idx="7">
                  <c:v>166</c:v>
                </c:pt>
                <c:pt idx="8">
                  <c:v>152</c:v>
                </c:pt>
                <c:pt idx="9">
                  <c:v>162</c:v>
                </c:pt>
                <c:pt idx="10">
                  <c:v>154</c:v>
                </c:pt>
                <c:pt idx="11">
                  <c:v>173</c:v>
                </c:pt>
              </c:numCache>
            </c:numRef>
          </c:yVal>
          <c:smooth val="0"/>
        </c:ser>
        <c:axId val="84457562"/>
        <c:axId val="71556180"/>
      </c:scatterChart>
      <c:valAx>
        <c:axId val="844575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556180"/>
        <c:crosses val="autoZero"/>
        <c:crossBetween val="between"/>
      </c:valAx>
      <c:valAx>
        <c:axId val="715561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5756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471960</xdr:colOff>
      <xdr:row>18</xdr:row>
      <xdr:rowOff>47160</xdr:rowOff>
    </xdr:from>
    <xdr:to>
      <xdr:col>13</xdr:col>
      <xdr:colOff>200880</xdr:colOff>
      <xdr:row>35</xdr:row>
      <xdr:rowOff>97200</xdr:rowOff>
    </xdr:to>
    <xdr:graphicFrame>
      <xdr:nvGraphicFramePr>
        <xdr:cNvPr id="0" name=""/>
        <xdr:cNvGraphicFramePr/>
      </xdr:nvGraphicFramePr>
      <xdr:xfrm>
        <a:off x="2246760" y="2973240"/>
        <a:ext cx="5001840" cy="281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39" activeCellId="0" sqref="H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43"/>
    <col collapsed="false" customWidth="true" hidden="false" outlineLevel="0" max="2" min="2" style="1" width="9.94"/>
    <col collapsed="false" customWidth="true" hidden="false" outlineLevel="0" max="3" min="3" style="1" width="6.81"/>
    <col collapsed="false" customWidth="true" hidden="false" outlineLevel="0" max="4" min="4" style="1" width="8.55"/>
    <col collapsed="false" customWidth="true" hidden="false" outlineLevel="0" max="5" min="5" style="1" width="6.81"/>
    <col collapsed="false" customWidth="true" hidden="false" outlineLevel="0" max="6" min="6" style="1" width="8.55"/>
    <col collapsed="false" customWidth="true" hidden="false" outlineLevel="0" max="7" min="7" style="1" width="6.58"/>
    <col collapsed="false" customWidth="true" hidden="false" outlineLevel="0" max="8" min="8" style="1" width="8.43"/>
    <col collapsed="false" customWidth="true" hidden="false" outlineLevel="0" max="9" min="9" style="1" width="7.5"/>
    <col collapsed="false" customWidth="true" hidden="false" outlineLevel="0" max="10" min="10" style="1" width="8.43"/>
    <col collapsed="false" customWidth="true" hidden="false" outlineLevel="0" max="11" min="11" style="1" width="6.58"/>
    <col collapsed="false" customWidth="true" hidden="false" outlineLevel="0" max="12" min="12" style="1" width="6.23"/>
    <col collapsed="false" customWidth="true" hidden="false" outlineLevel="0" max="13" min="13" style="1" width="7.16"/>
    <col collapsed="false" customWidth="true" hidden="false" outlineLevel="0" max="14" min="14" style="1" width="4.72"/>
    <col collapsed="false" customWidth="true" hidden="false" outlineLevel="0" max="15" min="15" style="1" width="38.21"/>
    <col collapsed="false" customWidth="true" hidden="false" outlineLevel="0" max="16" min="16" style="1" width="9.48"/>
    <col collapsed="false" customWidth="true" hidden="false" outlineLevel="0" max="17" min="17" style="1" width="11.79"/>
    <col collapsed="false" customWidth="true" hidden="false" outlineLevel="0" max="18" min="18" style="1" width="8.61"/>
    <col collapsed="false" customWidth="true" hidden="false" outlineLevel="0" max="19" min="19" style="1" width="6.07"/>
    <col collapsed="false" customWidth="false" hidden="false" outlineLevel="0" max="16384" min="20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/>
      <c r="Q1" s="4"/>
      <c r="R1" s="5"/>
      <c r="S1" s="6"/>
    </row>
    <row r="2" customFormat="false" ht="12.8" hidden="false" customHeight="false" outlineLevel="0" collapsed="false">
      <c r="A2" s="7" t="n">
        <v>1</v>
      </c>
      <c r="B2" s="7" t="n">
        <v>2</v>
      </c>
      <c r="C2" s="7" t="n">
        <v>3</v>
      </c>
      <c r="D2" s="7" t="n">
        <v>4</v>
      </c>
      <c r="E2" s="7" t="n">
        <v>5</v>
      </c>
      <c r="F2" s="7" t="n">
        <v>6</v>
      </c>
      <c r="G2" s="7" t="n">
        <v>7</v>
      </c>
      <c r="H2" s="7" t="n">
        <v>8</v>
      </c>
      <c r="I2" s="7" t="n">
        <v>9</v>
      </c>
      <c r="J2" s="7" t="n">
        <v>10</v>
      </c>
      <c r="K2" s="7" t="n">
        <v>11</v>
      </c>
      <c r="L2" s="7" t="n">
        <v>12</v>
      </c>
      <c r="M2" s="7" t="n">
        <v>13</v>
      </c>
      <c r="N2" s="7" t="n">
        <v>14</v>
      </c>
      <c r="O2" s="8" t="s">
        <v>15</v>
      </c>
      <c r="P2" s="9" t="s">
        <v>16</v>
      </c>
      <c r="Q2" s="10" t="n">
        <f aca="false">S2/S3</f>
        <v>0.872233930453112</v>
      </c>
      <c r="R2" s="11" t="s">
        <v>17</v>
      </c>
      <c r="S2" s="12" t="n">
        <f aca="false">H16-(B16*G16)</f>
        <v>183.944444444443</v>
      </c>
    </row>
    <row r="3" customFormat="false" ht="12.8" hidden="false" customHeight="false" outlineLevel="0" collapsed="false">
      <c r="A3" s="2" t="n">
        <v>1</v>
      </c>
      <c r="B3" s="13" t="n">
        <f aca="false">78+$C$19</f>
        <v>87</v>
      </c>
      <c r="C3" s="14" t="n">
        <f aca="false">B3-$B$16</f>
        <v>-4.66666666666667</v>
      </c>
      <c r="D3" s="13" t="n">
        <f aca="false">C3^2</f>
        <v>21.7777777777778</v>
      </c>
      <c r="E3" s="14" t="n">
        <f aca="false">G3-$G$16</f>
        <v>-16.833333333333</v>
      </c>
      <c r="F3" s="13" t="n">
        <f aca="false">E3^2</f>
        <v>283.3611111111</v>
      </c>
      <c r="G3" s="13" t="n">
        <f aca="false">133+$C$20</f>
        <v>141</v>
      </c>
      <c r="H3" s="13" t="n">
        <f aca="false">G3*B3</f>
        <v>12267</v>
      </c>
      <c r="I3" s="13" t="n">
        <f aca="false">B3^2</f>
        <v>7569</v>
      </c>
      <c r="J3" s="13" t="n">
        <f aca="false">G3^2</f>
        <v>19881</v>
      </c>
      <c r="K3" s="14" t="n">
        <f aca="false">$Q$3+$Q$2*B3</f>
        <v>153.762908324552</v>
      </c>
      <c r="L3" s="14" t="n">
        <f aca="false">G3-K3</f>
        <v>-12.7629083245521</v>
      </c>
      <c r="M3" s="14" t="n">
        <f aca="false">L3^2</f>
        <v>162.891828900922</v>
      </c>
      <c r="N3" s="14" t="n">
        <f aca="false">ABS(L3/G3)*100</f>
        <v>9.05170803159727</v>
      </c>
      <c r="O3" s="15"/>
      <c r="P3" s="9" t="s">
        <v>18</v>
      </c>
      <c r="Q3" s="10" t="n">
        <f aca="false">G16-B16*Q2</f>
        <v>77.8785563751314</v>
      </c>
      <c r="R3" s="11" t="s">
        <v>19</v>
      </c>
      <c r="S3" s="12" t="n">
        <f aca="false">I16-(B16^2)</f>
        <v>210.888888888887</v>
      </c>
    </row>
    <row r="4" customFormat="false" ht="12.8" hidden="false" customHeight="false" outlineLevel="0" collapsed="false">
      <c r="A4" s="2" t="n">
        <v>2</v>
      </c>
      <c r="B4" s="13" t="n">
        <f aca="false">80+$C$20</f>
        <v>88</v>
      </c>
      <c r="C4" s="14" t="n">
        <f aca="false">B4-$B$16</f>
        <v>-3.66666666666667</v>
      </c>
      <c r="D4" s="13" t="n">
        <f aca="false">C4^2</f>
        <v>13.4444444444445</v>
      </c>
      <c r="E4" s="14" t="n">
        <f aca="false">G4-$G$16</f>
        <v>-9.833333333333</v>
      </c>
      <c r="F4" s="13" t="n">
        <f aca="false">E4^2</f>
        <v>96.6944444444379</v>
      </c>
      <c r="G4" s="13" t="n">
        <v>148</v>
      </c>
      <c r="H4" s="13" t="n">
        <f aca="false">G4*B4</f>
        <v>13024</v>
      </c>
      <c r="I4" s="13" t="n">
        <f aca="false">B4^2</f>
        <v>7744</v>
      </c>
      <c r="J4" s="13" t="n">
        <f aca="false">G4^2</f>
        <v>21904</v>
      </c>
      <c r="K4" s="14" t="n">
        <f aca="false">$Q$3+$Q$2*B4</f>
        <v>154.635142255005</v>
      </c>
      <c r="L4" s="14" t="n">
        <f aca="false">G4-K4</f>
        <v>-6.63514225500524</v>
      </c>
      <c r="M4" s="14" t="n">
        <f aca="false">L4^2</f>
        <v>44.025112744156</v>
      </c>
      <c r="N4" s="14" t="n">
        <f aca="false">ABS(L4/G4)*100</f>
        <v>4.48320422635489</v>
      </c>
      <c r="O4" s="16" t="s">
        <v>20</v>
      </c>
      <c r="P4" s="17" t="s">
        <v>21</v>
      </c>
      <c r="Q4" s="18" t="s">
        <v>22</v>
      </c>
      <c r="R4" s="19"/>
      <c r="S4" s="20"/>
    </row>
    <row r="5" customFormat="false" ht="12.8" hidden="false" customHeight="false" outlineLevel="0" collapsed="false">
      <c r="A5" s="2" t="n">
        <v>3</v>
      </c>
      <c r="B5" s="13" t="n">
        <v>87</v>
      </c>
      <c r="C5" s="14" t="n">
        <f aca="false">B5-$B$16</f>
        <v>-4.66666666666667</v>
      </c>
      <c r="D5" s="13" t="n">
        <f aca="false">C5^2</f>
        <v>21.7777777777778</v>
      </c>
      <c r="E5" s="14" t="n">
        <f aca="false">G5-$G$16</f>
        <v>-13.833333333333</v>
      </c>
      <c r="F5" s="13" t="n">
        <f aca="false">E5^2</f>
        <v>191.361111111102</v>
      </c>
      <c r="G5" s="13" t="n">
        <f aca="false">135+$C$19</f>
        <v>144</v>
      </c>
      <c r="H5" s="13" t="n">
        <f aca="false">G5*B5</f>
        <v>12528</v>
      </c>
      <c r="I5" s="13" t="n">
        <f aca="false">B5^2</f>
        <v>7569</v>
      </c>
      <c r="J5" s="13" t="n">
        <f aca="false">G5^2</f>
        <v>20736</v>
      </c>
      <c r="K5" s="14" t="n">
        <f aca="false">$Q$3+$Q$2*B5</f>
        <v>153.762908324552</v>
      </c>
      <c r="L5" s="14" t="n">
        <f aca="false">G5-K5</f>
        <v>-9.76290832455214</v>
      </c>
      <c r="M5" s="14" t="n">
        <f aca="false">L5^2</f>
        <v>95.3143789536095</v>
      </c>
      <c r="N5" s="14" t="n">
        <f aca="false">ABS(L5/G5)*100</f>
        <v>6.77979744760566</v>
      </c>
      <c r="O5" s="21" t="s">
        <v>23</v>
      </c>
      <c r="P5" s="22"/>
      <c r="Q5" s="23" t="s">
        <v>1</v>
      </c>
      <c r="R5" s="23" t="s">
        <v>6</v>
      </c>
      <c r="S5" s="24"/>
    </row>
    <row r="6" customFormat="false" ht="12.8" hidden="false" customHeight="false" outlineLevel="0" collapsed="false">
      <c r="A6" s="2" t="n">
        <v>4</v>
      </c>
      <c r="B6" s="13" t="n">
        <v>79</v>
      </c>
      <c r="C6" s="14" t="n">
        <f aca="false">B6-$B$16</f>
        <v>-12.6666666666667</v>
      </c>
      <c r="D6" s="13" t="n">
        <f aca="false">C6^2</f>
        <v>160.444444444445</v>
      </c>
      <c r="E6" s="14" t="n">
        <f aca="false">G6-$G$16</f>
        <v>-3.833333333333</v>
      </c>
      <c r="F6" s="13" t="n">
        <f aca="false">E6^2</f>
        <v>14.6944444444419</v>
      </c>
      <c r="G6" s="13" t="n">
        <v>154</v>
      </c>
      <c r="H6" s="13" t="n">
        <f aca="false">G6*B6</f>
        <v>12166</v>
      </c>
      <c r="I6" s="13" t="n">
        <f aca="false">B6^2</f>
        <v>6241</v>
      </c>
      <c r="J6" s="13" t="n">
        <f aca="false">G6^2</f>
        <v>23716</v>
      </c>
      <c r="K6" s="14" t="n">
        <f aca="false">$Q$3+$Q$2*B6</f>
        <v>146.785036880927</v>
      </c>
      <c r="L6" s="14" t="n">
        <f aca="false">G6-K6</f>
        <v>7.21496311907276</v>
      </c>
      <c r="M6" s="14" t="n">
        <f aca="false">L6^2</f>
        <v>52.0556928095802</v>
      </c>
      <c r="N6" s="14" t="n">
        <f aca="false">ABS(L6/G6)*100</f>
        <v>4.68504098641089</v>
      </c>
      <c r="O6" s="15"/>
      <c r="P6" s="25" t="s">
        <v>24</v>
      </c>
      <c r="Q6" s="26" t="n">
        <f aca="false">SQRT(D15/12)</f>
        <v>14.522013940528</v>
      </c>
      <c r="R6" s="26" t="n">
        <f aca="false">SQRT(F16)</f>
        <v>15.1428384246665</v>
      </c>
      <c r="S6" s="24"/>
    </row>
    <row r="7" customFormat="false" ht="12.8" hidden="false" customHeight="false" outlineLevel="0" collapsed="false">
      <c r="A7" s="2" t="n">
        <v>5</v>
      </c>
      <c r="B7" s="13" t="n">
        <v>106</v>
      </c>
      <c r="C7" s="14" t="n">
        <f aca="false">B7-$B$16</f>
        <v>14.3333333333333</v>
      </c>
      <c r="D7" s="13" t="n">
        <f aca="false">C7^2</f>
        <v>205.444444444444</v>
      </c>
      <c r="E7" s="14" t="n">
        <f aca="false">G7-$G$16</f>
        <v>8.166666666667</v>
      </c>
      <c r="F7" s="13" t="n">
        <f aca="false">E7^2</f>
        <v>66.6944444444499</v>
      </c>
      <c r="G7" s="13" t="n">
        <f aca="false">157+$C$19</f>
        <v>166</v>
      </c>
      <c r="H7" s="13" t="n">
        <f aca="false">G7*B7</f>
        <v>17596</v>
      </c>
      <c r="I7" s="13" t="n">
        <f aca="false">B7^2</f>
        <v>11236</v>
      </c>
      <c r="J7" s="13" t="n">
        <f aca="false">G7^2</f>
        <v>27556</v>
      </c>
      <c r="K7" s="14" t="n">
        <f aca="false">$Q$3+$Q$2*B7</f>
        <v>170.335353003161</v>
      </c>
      <c r="L7" s="14" t="n">
        <f aca="false">G7-K7</f>
        <v>-4.33535300316129</v>
      </c>
      <c r="M7" s="14" t="n">
        <f aca="false">L7^2</f>
        <v>18.7952856620196</v>
      </c>
      <c r="N7" s="14" t="n">
        <f aca="false">ABS(L7/G7)*100</f>
        <v>2.61165843563933</v>
      </c>
      <c r="O7" s="15"/>
      <c r="P7" s="25" t="s">
        <v>25</v>
      </c>
      <c r="Q7" s="26" t="n">
        <f aca="false">Q6^2</f>
        <v>210.888888888889</v>
      </c>
      <c r="R7" s="26" t="n">
        <f aca="false">R6^2</f>
        <v>229.305555555556</v>
      </c>
      <c r="S7" s="24"/>
    </row>
    <row r="8" customFormat="false" ht="12.8" hidden="false" customHeight="false" outlineLevel="0" collapsed="false">
      <c r="A8" s="2" t="n">
        <v>6</v>
      </c>
      <c r="B8" s="13" t="n">
        <f aca="false">106+$C$19</f>
        <v>115</v>
      </c>
      <c r="C8" s="14" t="n">
        <f aca="false">B8-$B$16</f>
        <v>23.3333333333333</v>
      </c>
      <c r="D8" s="13" t="n">
        <f aca="false">C8^2</f>
        <v>544.444444444444</v>
      </c>
      <c r="E8" s="14" t="n">
        <f aca="false">G8-$G$16</f>
        <v>37.166666666667</v>
      </c>
      <c r="F8" s="13" t="n">
        <f aca="false">E8^2</f>
        <v>1381.36111111114</v>
      </c>
      <c r="G8" s="13" t="n">
        <v>195</v>
      </c>
      <c r="H8" s="13" t="n">
        <f aca="false">G8*B8</f>
        <v>22425</v>
      </c>
      <c r="I8" s="13" t="n">
        <f aca="false">B8^2</f>
        <v>13225</v>
      </c>
      <c r="J8" s="13" t="n">
        <f aca="false">G8^2</f>
        <v>38025</v>
      </c>
      <c r="K8" s="14" t="n">
        <f aca="false">$Q$3+$Q$2*B8</f>
        <v>178.185458377239</v>
      </c>
      <c r="L8" s="14" t="n">
        <f aca="false">G8-K8</f>
        <v>16.8145416227607</v>
      </c>
      <c r="M8" s="14" t="n">
        <f aca="false">L8^2</f>
        <v>282.728809983553</v>
      </c>
      <c r="N8" s="14" t="n">
        <f aca="false">ABS(L8/G8)*100</f>
        <v>8.62284185782601</v>
      </c>
      <c r="O8" s="15" t="s">
        <v>26</v>
      </c>
      <c r="P8" s="27" t="s">
        <v>27</v>
      </c>
      <c r="Q8" s="28" t="n">
        <f aca="false">Q2*(Q6/R6)</f>
        <v>0.836474176255406</v>
      </c>
      <c r="R8" s="29"/>
      <c r="S8" s="24"/>
    </row>
    <row r="9" customFormat="false" ht="12.8" hidden="false" customHeight="false" outlineLevel="0" collapsed="false">
      <c r="A9" s="2" t="n">
        <v>7</v>
      </c>
      <c r="B9" s="13" t="n">
        <v>67</v>
      </c>
      <c r="C9" s="14" t="n">
        <f aca="false">B9-$B$16</f>
        <v>-24.6666666666667</v>
      </c>
      <c r="D9" s="13" t="n">
        <f aca="false">C9^2</f>
        <v>608.444444444445</v>
      </c>
      <c r="E9" s="14" t="n">
        <f aca="false">G9-$G$16</f>
        <v>-18.833333333333</v>
      </c>
      <c r="F9" s="13" t="n">
        <f aca="false">E9^2</f>
        <v>354.694444444432</v>
      </c>
      <c r="G9" s="13" t="n">
        <v>139</v>
      </c>
      <c r="H9" s="13" t="n">
        <f aca="false">G9*B9</f>
        <v>9313</v>
      </c>
      <c r="I9" s="13" t="n">
        <f aca="false">B9^2</f>
        <v>4489</v>
      </c>
      <c r="J9" s="13" t="n">
        <f aca="false">G9^2</f>
        <v>19321</v>
      </c>
      <c r="K9" s="14" t="n">
        <f aca="false">$Q$3+$Q$2*B9</f>
        <v>136.31822971549</v>
      </c>
      <c r="L9" s="14" t="n">
        <f aca="false">G9-K9</f>
        <v>2.68177028451009</v>
      </c>
      <c r="M9" s="14" t="n">
        <f aca="false">L9^2</f>
        <v>7.19189185888135</v>
      </c>
      <c r="N9" s="14" t="n">
        <f aca="false">ABS(L9/G9)*100</f>
        <v>1.92933113993532</v>
      </c>
      <c r="O9" s="15" t="s">
        <v>28</v>
      </c>
      <c r="P9" s="27" t="s">
        <v>29</v>
      </c>
      <c r="Q9" s="28" t="n">
        <f aca="false">Q8^2</f>
        <v>0.69968904754216</v>
      </c>
      <c r="R9" s="29"/>
      <c r="S9" s="24"/>
    </row>
    <row r="10" customFormat="false" ht="12.8" hidden="false" customHeight="false" outlineLevel="0" collapsed="false">
      <c r="A10" s="2" t="n">
        <v>8</v>
      </c>
      <c r="B10" s="13" t="n">
        <v>98</v>
      </c>
      <c r="C10" s="14" t="n">
        <f aca="false">B10-$B$16</f>
        <v>6.33333333333333</v>
      </c>
      <c r="D10" s="13" t="n">
        <f aca="false">C10^2</f>
        <v>40.1111111111111</v>
      </c>
      <c r="E10" s="14" t="n">
        <f aca="false">G10-$G$16</f>
        <v>8.166666666667</v>
      </c>
      <c r="F10" s="13" t="n">
        <f aca="false">E10^2</f>
        <v>66.6944444444499</v>
      </c>
      <c r="G10" s="13" t="n">
        <f aca="false">158+$C$20</f>
        <v>166</v>
      </c>
      <c r="H10" s="13" t="n">
        <f aca="false">G10*B10</f>
        <v>16268</v>
      </c>
      <c r="I10" s="13" t="n">
        <f aca="false">B10^2</f>
        <v>9604</v>
      </c>
      <c r="J10" s="13" t="n">
        <f aca="false">G10^2</f>
        <v>27556</v>
      </c>
      <c r="K10" s="14" t="n">
        <f aca="false">$Q$3+$Q$2*B10</f>
        <v>163.357481559536</v>
      </c>
      <c r="L10" s="14" t="n">
        <f aca="false">G10-K10</f>
        <v>2.64251844046362</v>
      </c>
      <c r="M10" s="14" t="n">
        <f aca="false">L10^2</f>
        <v>6.98290370819027</v>
      </c>
      <c r="N10" s="14" t="n">
        <f aca="false">ABS(L10/G10)*100</f>
        <v>1.59187857859254</v>
      </c>
      <c r="O10" s="16" t="s">
        <v>30</v>
      </c>
      <c r="P10" s="19" t="s">
        <v>31</v>
      </c>
      <c r="Q10" s="30" t="n">
        <f aca="false">N16</f>
        <v>4.40481230811545</v>
      </c>
      <c r="R10" s="31"/>
      <c r="S10" s="20"/>
    </row>
    <row r="11" customFormat="false" ht="12.8" hidden="false" customHeight="false" outlineLevel="0" collapsed="false">
      <c r="A11" s="2" t="n">
        <v>9</v>
      </c>
      <c r="B11" s="13" t="n">
        <f aca="false">73+$C$20</f>
        <v>81</v>
      </c>
      <c r="C11" s="14" t="n">
        <f aca="false">B11-$B$16</f>
        <v>-10.6666666666667</v>
      </c>
      <c r="D11" s="13" t="n">
        <f aca="false">C11^2</f>
        <v>113.777777777778</v>
      </c>
      <c r="E11" s="14" t="n">
        <f aca="false">G11-$G$16</f>
        <v>-5.833333333333</v>
      </c>
      <c r="F11" s="13" t="n">
        <f aca="false">E11^2</f>
        <v>34.0277777777739</v>
      </c>
      <c r="G11" s="13" t="n">
        <v>152</v>
      </c>
      <c r="H11" s="13" t="n">
        <f aca="false">G11*B11</f>
        <v>12312</v>
      </c>
      <c r="I11" s="13" t="n">
        <f aca="false">B11^2</f>
        <v>6561</v>
      </c>
      <c r="J11" s="13" t="n">
        <f aca="false">G11^2</f>
        <v>23104</v>
      </c>
      <c r="K11" s="14" t="n">
        <f aca="false">$Q$3+$Q$2*B11</f>
        <v>148.529504741833</v>
      </c>
      <c r="L11" s="14" t="n">
        <f aca="false">G11-K11</f>
        <v>3.47049525816652</v>
      </c>
      <c r="M11" s="14" t="n">
        <f aca="false">L11^2</f>
        <v>12.0443373369563</v>
      </c>
      <c r="N11" s="14" t="n">
        <f aca="false">ABS(L11/G11)*100</f>
        <v>2.28322056458324</v>
      </c>
      <c r="O11" s="32" t="s">
        <v>32</v>
      </c>
      <c r="P11" s="33" t="s">
        <v>33</v>
      </c>
      <c r="Q11" s="34" t="n">
        <f aca="false">(Q9/(1-Q9))*10</f>
        <v>23.2988188348005</v>
      </c>
      <c r="R11" s="35"/>
      <c r="S11" s="36"/>
    </row>
    <row r="12" customFormat="false" ht="12.8" hidden="false" customHeight="false" outlineLevel="0" collapsed="false">
      <c r="A12" s="2" t="n">
        <v>10</v>
      </c>
      <c r="B12" s="13" t="n">
        <v>87</v>
      </c>
      <c r="C12" s="14" t="n">
        <f aca="false">B12-$B$16</f>
        <v>-4.66666666666667</v>
      </c>
      <c r="D12" s="13" t="n">
        <f aca="false">C12^2</f>
        <v>21.7777777777778</v>
      </c>
      <c r="E12" s="14" t="n">
        <f aca="false">G12-$G$16</f>
        <v>4.166666666667</v>
      </c>
      <c r="F12" s="13" t="n">
        <f aca="false">E12^2</f>
        <v>17.3611111111139</v>
      </c>
      <c r="G12" s="13" t="n">
        <v>162</v>
      </c>
      <c r="H12" s="13" t="n">
        <f aca="false">G12*B12</f>
        <v>14094</v>
      </c>
      <c r="I12" s="13" t="n">
        <f aca="false">B12^2</f>
        <v>7569</v>
      </c>
      <c r="J12" s="13" t="n">
        <f aca="false">G12^2</f>
        <v>26244</v>
      </c>
      <c r="K12" s="14" t="n">
        <f aca="false">$Q$3+$Q$2*B12</f>
        <v>153.762908324552</v>
      </c>
      <c r="L12" s="14" t="n">
        <f aca="false">G12-K12</f>
        <v>8.23709167544786</v>
      </c>
      <c r="M12" s="14" t="n">
        <f aca="false">L12^2</f>
        <v>67.8496792697324</v>
      </c>
      <c r="N12" s="14" t="n">
        <f aca="false">ABS(L12/G12)*100</f>
        <v>5.0846244910172</v>
      </c>
      <c r="O12" s="3" t="s">
        <v>34</v>
      </c>
      <c r="P12" s="37"/>
      <c r="Q12" s="38"/>
      <c r="R12" s="35"/>
      <c r="S12" s="36"/>
    </row>
    <row r="13" customFormat="false" ht="12.8" hidden="false" customHeight="false" outlineLevel="0" collapsed="false">
      <c r="A13" s="2" t="n">
        <v>11</v>
      </c>
      <c r="B13" s="13" t="n">
        <v>86</v>
      </c>
      <c r="C13" s="14" t="n">
        <f aca="false">B13-$B$16</f>
        <v>-5.66666666666667</v>
      </c>
      <c r="D13" s="13" t="n">
        <f aca="false">C13^2</f>
        <v>32.1111111111112</v>
      </c>
      <c r="E13" s="14" t="n">
        <f aca="false">G13-$G$16</f>
        <v>-3.833333333333</v>
      </c>
      <c r="F13" s="13" t="n">
        <f aca="false">E13^2</f>
        <v>14.6944444444419</v>
      </c>
      <c r="G13" s="13" t="n">
        <f aca="false">146+$C$20</f>
        <v>154</v>
      </c>
      <c r="H13" s="13" t="n">
        <f aca="false">G13*B13</f>
        <v>13244</v>
      </c>
      <c r="I13" s="13" t="n">
        <f aca="false">B13^2</f>
        <v>7396</v>
      </c>
      <c r="J13" s="13" t="n">
        <f aca="false">G13^2</f>
        <v>23716</v>
      </c>
      <c r="K13" s="14" t="n">
        <f aca="false">$Q$3+$Q$2*B13</f>
        <v>152.890674394099</v>
      </c>
      <c r="L13" s="14" t="n">
        <f aca="false">G13-K13</f>
        <v>1.10932560590095</v>
      </c>
      <c r="M13" s="14" t="n">
        <f aca="false">L13^2</f>
        <v>1.23060329990751</v>
      </c>
      <c r="N13" s="14" t="n">
        <f aca="false">ABS(L13/G13)*100</f>
        <v>0.720341302533084</v>
      </c>
      <c r="O13" s="15" t="s">
        <v>35</v>
      </c>
      <c r="P13" s="39" t="n">
        <v>2.23</v>
      </c>
      <c r="Q13" s="40"/>
      <c r="R13" s="29"/>
      <c r="S13" s="0"/>
    </row>
    <row r="14" customFormat="false" ht="12.8" hidden="false" customHeight="false" outlineLevel="0" collapsed="false">
      <c r="A14" s="2" t="n">
        <v>12</v>
      </c>
      <c r="B14" s="13" t="n">
        <f aca="false">110+$C$19</f>
        <v>119</v>
      </c>
      <c r="C14" s="14" t="n">
        <f aca="false">B14-$B$16</f>
        <v>27.3333333333333</v>
      </c>
      <c r="D14" s="13" t="n">
        <f aca="false">C14^2</f>
        <v>747.111111111111</v>
      </c>
      <c r="E14" s="14" t="n">
        <f aca="false">G14-$G$16</f>
        <v>15.166666666667</v>
      </c>
      <c r="F14" s="13" t="n">
        <f aca="false">E14^2</f>
        <v>230.027777777788</v>
      </c>
      <c r="G14" s="13" t="n">
        <v>173</v>
      </c>
      <c r="H14" s="13" t="n">
        <f aca="false">G14*B14</f>
        <v>20587</v>
      </c>
      <c r="I14" s="13" t="n">
        <f aca="false">B14^2</f>
        <v>14161</v>
      </c>
      <c r="J14" s="13" t="n">
        <f aca="false">G14^2</f>
        <v>29929</v>
      </c>
      <c r="K14" s="14" t="n">
        <f aca="false">$Q$3+$Q$2*B14</f>
        <v>181.674394099052</v>
      </c>
      <c r="L14" s="14" t="n">
        <f aca="false">G14-K14</f>
        <v>-8.67439409905171</v>
      </c>
      <c r="M14" s="14" t="n">
        <f aca="false">L14^2</f>
        <v>75.2451129856631</v>
      </c>
      <c r="N14" s="14" t="n">
        <f aca="false">ABS(L14/G14)*100</f>
        <v>5.01410063529001</v>
      </c>
      <c r="O14" s="15" t="s">
        <v>36</v>
      </c>
      <c r="P14" s="27" t="s">
        <v>37</v>
      </c>
      <c r="Q14" s="28" t="n">
        <f aca="false">M15/10</f>
        <v>82.6355637513171</v>
      </c>
      <c r="R14" s="29"/>
      <c r="S14" s="24"/>
    </row>
    <row r="15" customFormat="false" ht="12.8" hidden="false" customHeight="false" outlineLevel="0" collapsed="false">
      <c r="A15" s="2" t="s">
        <v>38</v>
      </c>
      <c r="B15" s="13" t="n">
        <f aca="false">SUM(B3:B14)</f>
        <v>1100</v>
      </c>
      <c r="C15" s="13" t="s">
        <v>39</v>
      </c>
      <c r="D15" s="13" t="n">
        <f aca="false">SUM(D3:D14)</f>
        <v>2530.66666666667</v>
      </c>
      <c r="E15" s="13" t="s">
        <v>39</v>
      </c>
      <c r="F15" s="13" t="n">
        <f aca="false">SUM(F3:F14)</f>
        <v>2751.66666666667</v>
      </c>
      <c r="G15" s="13" t="n">
        <f aca="false">SUM(G3:G14)</f>
        <v>1894</v>
      </c>
      <c r="H15" s="13" t="n">
        <f aca="false">SUM(H3:H14)</f>
        <v>175824</v>
      </c>
      <c r="I15" s="13" t="n">
        <f aca="false">SUM(I3:I14)</f>
        <v>103364</v>
      </c>
      <c r="J15" s="13" t="n">
        <f aca="false">SUM(J3:J14)</f>
        <v>301688</v>
      </c>
      <c r="K15" s="13" t="n">
        <f aca="false">SUM(K3:K14)</f>
        <v>1894</v>
      </c>
      <c r="L15" s="13" t="s">
        <v>39</v>
      </c>
      <c r="M15" s="13" t="n">
        <f aca="false">SUM(M3:M14)</f>
        <v>826.355637513171</v>
      </c>
      <c r="N15" s="13" t="n">
        <f aca="false">SUM(N3:N14)</f>
        <v>52.8577476973854</v>
      </c>
      <c r="O15" s="15"/>
      <c r="P15" s="27" t="s">
        <v>40</v>
      </c>
      <c r="Q15" s="28" t="n">
        <f aca="false">SQRT((I15/((12^2)*Q7))*Q14)</f>
        <v>16.771042343513</v>
      </c>
      <c r="R15" s="29"/>
      <c r="S15" s="24"/>
    </row>
    <row r="16" customFormat="false" ht="12.8" hidden="false" customHeight="false" outlineLevel="0" collapsed="false">
      <c r="A16" s="2" t="s">
        <v>41</v>
      </c>
      <c r="B16" s="14" t="n">
        <f aca="false">AVERAGE(B3:B14)</f>
        <v>91.6666666666667</v>
      </c>
      <c r="C16" s="14" t="s">
        <v>39</v>
      </c>
      <c r="D16" s="14" t="n">
        <f aca="false">AVERAGE(D3:D14)</f>
        <v>210.888888888889</v>
      </c>
      <c r="E16" s="14" t="s">
        <v>39</v>
      </c>
      <c r="F16" s="14" t="n">
        <f aca="false">AVERAGE(F3:F14)</f>
        <v>229.305555555556</v>
      </c>
      <c r="G16" s="14" t="n">
        <f aca="false">AVERAGE(G3:G14)</f>
        <v>157.833333333333</v>
      </c>
      <c r="H16" s="14" t="n">
        <f aca="false">AVERAGE(H3:H14)</f>
        <v>14652</v>
      </c>
      <c r="I16" s="14" t="n">
        <f aca="false">AVERAGE(I3:I14)</f>
        <v>8613.66666666667</v>
      </c>
      <c r="J16" s="14" t="n">
        <f aca="false">AVERAGE(J3:J14)</f>
        <v>25140.6666666667</v>
      </c>
      <c r="K16" s="14" t="n">
        <f aca="false">AVERAGE(K3:K14)</f>
        <v>157.833333333333</v>
      </c>
      <c r="L16" s="14" t="s">
        <v>39</v>
      </c>
      <c r="M16" s="14" t="n">
        <f aca="false">AVERAGE(M3:M14)</f>
        <v>68.8629697927642</v>
      </c>
      <c r="N16" s="14" t="n">
        <f aca="false">AVERAGE(N3:N14)</f>
        <v>4.40481230811545</v>
      </c>
      <c r="O16" s="15"/>
      <c r="P16" s="27" t="s">
        <v>42</v>
      </c>
      <c r="Q16" s="28" t="n">
        <f aca="false">SQRT(Q14/(12*Q7))</f>
        <v>0.180703275479336</v>
      </c>
      <c r="R16" s="29"/>
      <c r="S16" s="24"/>
    </row>
    <row r="17" customFormat="false" ht="12.8" hidden="false" customHeight="false" outlineLevel="0" collapsed="false">
      <c r="A17" s="2" t="s">
        <v>43</v>
      </c>
      <c r="B17" s="14" t="n">
        <f aca="false">SQRT(D16)</f>
        <v>14.522013940528</v>
      </c>
      <c r="C17" s="2" t="s">
        <v>39</v>
      </c>
      <c r="D17" s="2" t="s">
        <v>39</v>
      </c>
      <c r="E17" s="2" t="s">
        <v>39</v>
      </c>
      <c r="F17" s="2" t="s">
        <v>39</v>
      </c>
      <c r="G17" s="14" t="n">
        <f aca="false">SQRT(F16)</f>
        <v>15.1428384246665</v>
      </c>
      <c r="H17" s="2" t="s">
        <v>39</v>
      </c>
      <c r="I17" s="2" t="s">
        <v>39</v>
      </c>
      <c r="J17" s="2" t="s">
        <v>39</v>
      </c>
      <c r="K17" s="2" t="s">
        <v>39</v>
      </c>
      <c r="L17" s="2" t="s">
        <v>39</v>
      </c>
      <c r="M17" s="2" t="s">
        <v>39</v>
      </c>
      <c r="N17" s="2" t="s">
        <v>39</v>
      </c>
      <c r="O17" s="15"/>
      <c r="P17" s="27" t="s">
        <v>44</v>
      </c>
      <c r="Q17" s="28" t="n">
        <f aca="false">SQRT((1-Q9)/10)</f>
        <v>0.173294821751211</v>
      </c>
      <c r="R17" s="29"/>
      <c r="S17" s="24"/>
    </row>
    <row r="18" customFormat="false" ht="12.8" hidden="false" customHeight="false" outlineLevel="0" collapsed="false">
      <c r="A18" s="2" t="s">
        <v>45</v>
      </c>
      <c r="B18" s="14" t="n">
        <f aca="false">B17^2</f>
        <v>210.88888888889</v>
      </c>
      <c r="C18" s="2" t="s">
        <v>39</v>
      </c>
      <c r="D18" s="2" t="s">
        <v>39</v>
      </c>
      <c r="E18" s="2" t="s">
        <v>39</v>
      </c>
      <c r="F18" s="2" t="s">
        <v>39</v>
      </c>
      <c r="G18" s="14" t="n">
        <f aca="false">G17^2</f>
        <v>229.305555555556</v>
      </c>
      <c r="H18" s="2" t="s">
        <v>39</v>
      </c>
      <c r="I18" s="2" t="s">
        <v>39</v>
      </c>
      <c r="J18" s="2" t="s">
        <v>39</v>
      </c>
      <c r="K18" s="2" t="s">
        <v>39</v>
      </c>
      <c r="L18" s="2" t="s">
        <v>39</v>
      </c>
      <c r="M18" s="2" t="s">
        <v>39</v>
      </c>
      <c r="N18" s="2" t="s">
        <v>39</v>
      </c>
      <c r="O18" s="15"/>
      <c r="P18" s="27" t="s">
        <v>46</v>
      </c>
      <c r="Q18" s="28" t="n">
        <f aca="false">Q3/Q15</f>
        <v>4.64363244573493</v>
      </c>
      <c r="R18" s="29"/>
      <c r="S18" s="24"/>
    </row>
    <row r="19" customFormat="false" ht="12.8" hidden="false" customHeight="false" outlineLevel="0" collapsed="false">
      <c r="A19" s="25" t="s">
        <v>47</v>
      </c>
      <c r="B19" s="1" t="s">
        <v>48</v>
      </c>
      <c r="C19" s="1" t="n">
        <f aca="false">LEN(B19)</f>
        <v>9</v>
      </c>
      <c r="G19" s="41"/>
      <c r="O19" s="15"/>
      <c r="P19" s="27" t="s">
        <v>49</v>
      </c>
      <c r="Q19" s="28" t="n">
        <f aca="false">Q2/Q16</f>
        <v>4.82688500327075</v>
      </c>
      <c r="R19" s="29"/>
      <c r="S19" s="24"/>
    </row>
    <row r="20" customFormat="false" ht="12.8" hidden="false" customHeight="false" outlineLevel="0" collapsed="false">
      <c r="A20" s="25" t="s">
        <v>50</v>
      </c>
      <c r="B20" s="1" t="s">
        <v>51</v>
      </c>
      <c r="C20" s="1" t="n">
        <f aca="false">LEN(B20)</f>
        <v>8</v>
      </c>
      <c r="G20" s="41"/>
      <c r="O20" s="15"/>
      <c r="P20" s="27" t="s">
        <v>52</v>
      </c>
      <c r="Q20" s="28" t="n">
        <f aca="false">Q8/Q17</f>
        <v>4.82688500327079</v>
      </c>
      <c r="R20" s="29"/>
      <c r="S20" s="24"/>
    </row>
    <row r="21" customFormat="false" ht="12.8" hidden="false" customHeight="false" outlineLevel="0" collapsed="false">
      <c r="A21" s="41"/>
      <c r="B21" s="41"/>
      <c r="C21" s="41"/>
      <c r="D21" s="41"/>
      <c r="E21" s="41"/>
      <c r="F21" s="41"/>
      <c r="G21" s="41"/>
      <c r="O21" s="8" t="s">
        <v>53</v>
      </c>
      <c r="P21" s="22" t="s">
        <v>54</v>
      </c>
      <c r="Q21" s="40" t="n">
        <f aca="false">$P$13*Q15</f>
        <v>37.399424426034</v>
      </c>
      <c r="R21" s="29"/>
      <c r="S21" s="24"/>
    </row>
    <row r="22" customFormat="false" ht="12.8" hidden="false" customHeight="false" outlineLevel="0" collapsed="false">
      <c r="O22" s="15"/>
      <c r="P22" s="22" t="s">
        <v>55</v>
      </c>
      <c r="Q22" s="40" t="n">
        <f aca="false">$P$13*Q16</f>
        <v>0.40296830431892</v>
      </c>
      <c r="R22" s="29"/>
      <c r="S22" s="24"/>
    </row>
    <row r="23" customFormat="false" ht="12.8" hidden="false" customHeight="false" outlineLevel="0" collapsed="false">
      <c r="O23" s="15" t="s">
        <v>56</v>
      </c>
      <c r="P23" s="22"/>
      <c r="Q23" s="40"/>
      <c r="R23" s="29"/>
      <c r="S23" s="24"/>
    </row>
    <row r="24" customFormat="false" ht="12.8" hidden="false" customHeight="false" outlineLevel="0" collapsed="false">
      <c r="O24" s="15" t="s">
        <v>57</v>
      </c>
      <c r="P24" s="42" t="n">
        <f aca="false">Q3-Q21</f>
        <v>40.4791319490974</v>
      </c>
      <c r="Q24" s="43" t="n">
        <f aca="false">Q3+Q21</f>
        <v>115.277980801165</v>
      </c>
      <c r="R24" s="29"/>
      <c r="S24" s="24"/>
    </row>
    <row r="25" customFormat="false" ht="12.8" hidden="false" customHeight="false" outlineLevel="0" collapsed="false">
      <c r="O25" s="15" t="s">
        <v>58</v>
      </c>
      <c r="P25" s="42" t="n">
        <f aca="false">Q2-Q22</f>
        <v>0.469265626134192</v>
      </c>
      <c r="Q25" s="43" t="n">
        <f aca="false">Q2+Q22</f>
        <v>1.27520223477203</v>
      </c>
      <c r="R25" s="29"/>
      <c r="S25" s="24"/>
    </row>
    <row r="26" customFormat="false" ht="12.8" hidden="false" customHeight="false" outlineLevel="0" collapsed="false">
      <c r="O26" s="8" t="s">
        <v>59</v>
      </c>
      <c r="P26" s="22" t="s">
        <v>60</v>
      </c>
      <c r="Q26" s="40" t="n">
        <f aca="false">B16*1.07</f>
        <v>98.0833333333334</v>
      </c>
      <c r="R26" s="29"/>
      <c r="S26" s="24"/>
    </row>
    <row r="27" customFormat="false" ht="12.8" hidden="false" customHeight="false" outlineLevel="0" collapsed="false">
      <c r="O27" s="15"/>
      <c r="P27" s="22" t="s">
        <v>61</v>
      </c>
      <c r="Q27" s="40" t="n">
        <f aca="false">$Q$3+$Q$2*Q26</f>
        <v>163.430167720408</v>
      </c>
      <c r="R27" s="29"/>
      <c r="S27" s="24"/>
    </row>
    <row r="28" customFormat="false" ht="12.8" hidden="false" customHeight="false" outlineLevel="0" collapsed="false">
      <c r="O28" s="8" t="s">
        <v>62</v>
      </c>
      <c r="P28" s="22" t="s">
        <v>63</v>
      </c>
      <c r="Q28" s="40" t="n">
        <f aca="false">SQRT(Q14*(1+S28+S29))</f>
        <v>9.5323832484697</v>
      </c>
      <c r="R28" s="29"/>
      <c r="S28" s="44" t="n">
        <f aca="false">((Q26-B16)^2)/(12*Q7)</f>
        <v>0.0162698674042852</v>
      </c>
      <c r="T28" s="1" t="s">
        <v>64</v>
      </c>
    </row>
    <row r="29" customFormat="false" ht="12.8" hidden="false" customHeight="false" outlineLevel="0" collapsed="false">
      <c r="O29" s="15"/>
      <c r="P29" s="22" t="s">
        <v>65</v>
      </c>
      <c r="Q29" s="40" t="n">
        <f aca="false">P13*Q28</f>
        <v>21.2572146440874</v>
      </c>
      <c r="R29" s="29"/>
      <c r="S29" s="45" t="n">
        <f aca="false">1/12</f>
        <v>0.0833333333333333</v>
      </c>
      <c r="T29" s="1" t="s">
        <v>66</v>
      </c>
    </row>
    <row r="30" customFormat="false" ht="12.8" hidden="false" customHeight="false" outlineLevel="0" collapsed="false">
      <c r="O30" s="15" t="s">
        <v>67</v>
      </c>
      <c r="P30" s="22"/>
      <c r="Q30" s="40"/>
      <c r="R30" s="29"/>
      <c r="S30" s="24"/>
    </row>
    <row r="31" customFormat="false" ht="12.8" hidden="false" customHeight="false" outlineLevel="0" collapsed="false">
      <c r="O31" s="15" t="s">
        <v>68</v>
      </c>
      <c r="P31" s="46" t="n">
        <f aca="false">Q27-Q29</f>
        <v>142.17295307632</v>
      </c>
      <c r="Q31" s="47" t="n">
        <f aca="false">Q27+Q29</f>
        <v>184.687382364495</v>
      </c>
      <c r="R31" s="29"/>
      <c r="S31" s="24"/>
    </row>
    <row r="32" customFormat="false" ht="12.8" hidden="false" customHeight="false" outlineLevel="0" collapsed="false">
      <c r="O32" s="16"/>
      <c r="P32" s="19"/>
      <c r="Q32" s="48"/>
      <c r="R32" s="31"/>
      <c r="S32" s="20"/>
    </row>
    <row r="33" customFormat="false" ht="12.8" hidden="false" customHeight="false" outlineLevel="0" collapsed="false">
      <c r="O33" s="0"/>
      <c r="P33" s="0"/>
      <c r="Q33" s="0"/>
      <c r="R33" s="0"/>
      <c r="S33" s="0"/>
    </row>
    <row r="34" customFormat="false" ht="12.8" hidden="false" customHeight="false" outlineLevel="0" collapsed="false">
      <c r="O34" s="0"/>
      <c r="P34" s="0"/>
      <c r="Q34" s="0"/>
      <c r="R34" s="0"/>
      <c r="S34" s="0"/>
    </row>
    <row r="35" customFormat="false" ht="12.8" hidden="false" customHeight="false" outlineLevel="0" collapsed="false">
      <c r="O35" s="0"/>
      <c r="P35" s="0"/>
      <c r="Q35" s="0"/>
      <c r="R35" s="0"/>
      <c r="S35" s="0"/>
    </row>
    <row r="36" customFormat="false" ht="12.8" hidden="false" customHeight="false" outlineLevel="0" collapsed="false">
      <c r="O36" s="0"/>
      <c r="P36" s="0"/>
      <c r="Q36" s="0"/>
      <c r="R36" s="0"/>
      <c r="S36" s="0"/>
    </row>
    <row r="37" customFormat="false" ht="12.8" hidden="false" customHeight="false" outlineLevel="0" collapsed="false">
      <c r="O37" s="0"/>
      <c r="P37" s="0"/>
      <c r="Q37" s="0"/>
      <c r="R37" s="0"/>
      <c r="S37" s="0"/>
    </row>
    <row r="38" customFormat="false" ht="12.8" hidden="false" customHeight="false" outlineLevel="0" collapsed="false">
      <c r="O38" s="0"/>
      <c r="P38" s="0"/>
      <c r="Q38" s="0"/>
      <c r="R38" s="0"/>
      <c r="S38" s="0"/>
    </row>
    <row r="39" customFormat="false" ht="12.8" hidden="false" customHeight="false" outlineLevel="0" collapsed="false">
      <c r="O39" s="0"/>
      <c r="P39" s="0"/>
      <c r="Q39" s="0"/>
      <c r="R39" s="0"/>
      <c r="S39" s="0"/>
    </row>
    <row r="40" customFormat="false" ht="12.8" hidden="false" customHeight="false" outlineLevel="0" collapsed="false">
      <c r="O40" s="41"/>
      <c r="P40" s="0"/>
      <c r="Q40" s="41"/>
      <c r="R40" s="41"/>
      <c r="S40" s="41"/>
    </row>
    <row r="41" customFormat="false" ht="12.8" hidden="false" customHeight="false" outlineLevel="0" collapsed="false">
      <c r="O41" s="41"/>
      <c r="P41" s="41"/>
      <c r="Q41" s="41"/>
      <c r="R41" s="41"/>
      <c r="S41" s="41"/>
    </row>
    <row r="42" customFormat="false" ht="12.8" hidden="false" customHeight="false" outlineLevel="0" collapsed="false">
      <c r="O42" s="41"/>
      <c r="P42" s="41"/>
      <c r="Q42" s="41"/>
      <c r="R42" s="41"/>
      <c r="S42" s="41"/>
    </row>
    <row r="43" customFormat="false" ht="12.8" hidden="false" customHeight="false" outlineLevel="0" collapsed="false">
      <c r="O43" s="41"/>
      <c r="P43" s="41"/>
      <c r="Q43" s="41"/>
      <c r="R43" s="41"/>
      <c r="S43" s="41"/>
    </row>
    <row r="44" customFormat="false" ht="12.8" hidden="false" customHeight="false" outlineLevel="0" collapsed="false">
      <c r="O44" s="41"/>
      <c r="P44" s="41"/>
      <c r="Q44" s="41"/>
      <c r="R44" s="41"/>
      <c r="S44" s="4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2022-12-08T21:45:30Z</dcterms:created>
  <dc:creator/>
  <dc:description/>
  <dc:language>ru-RU</dc:language>
  <cp:lastModifiedBy/>
  <dcterms:modified xsi:type="dcterms:W3CDTF">2022-12-11T14:34:04Z</dcterms:modified>
  <cp:revision>36</cp:revision>
  <dc:subject/>
  <dc:title/>
</cp:coreProperties>
</file>