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группы" sheetId="1" r:id="rId3"/>
    <sheet state="hidden" name="подтверждение" sheetId="2" r:id="rId4"/>
    <sheet state="visible" name="самост. работа 1 " sheetId="3" r:id="rId5"/>
    <sheet state="hidden" name="черновик" sheetId="4" r:id="rId6"/>
    <sheet state="hidden" name="Сам. работа 2 " sheetId="5" r:id="rId7"/>
    <sheet state="visible" name="итоги" sheetId="6" r:id="rId8"/>
  </sheets>
  <definedNames/>
  <calcPr/>
</workbook>
</file>

<file path=xl/sharedStrings.xml><?xml version="1.0" encoding="utf-8"?>
<sst xmlns="http://schemas.openxmlformats.org/spreadsheetml/2006/main" count="220" uniqueCount="188">
  <si>
    <t>методические материалы</t>
  </si>
  <si>
    <t>проверка качества изучения теоретической части</t>
  </si>
  <si>
    <t>тексты лабораторных</t>
  </si>
  <si>
    <t>https://habr.com/ru/post/61884/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</si>
  <si>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</si>
  <si>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</si>
  <si>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</si>
  <si>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</si>
  <si>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</si>
  <si>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</si>
  <si>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</si>
  <si>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</si>
  <si>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</si>
  <si>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</si>
  <si>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</si>
  <si>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</si>
  <si>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</si>
  <si>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</si>
  <si>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</si>
  <si>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</si>
  <si>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</si>
  <si>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</si>
  <si>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</si>
  <si>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</si>
  <si>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</si>
  <si>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</si>
  <si>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</si>
  <si>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</si>
  <si>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</si>
  <si>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</si>
  <si>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</si>
  <si>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</si>
  <si>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</si>
  <si>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</si>
  <si>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</si>
  <si>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</si>
  <si>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подтверждение 
получения 
доступа</t>
  </si>
  <si>
    <t xml:space="preserve">Арсеньев Виктор </t>
  </si>
  <si>
    <t>arsnvv@gmail.com</t>
  </si>
  <si>
    <t>Борисов Михаил</t>
  </si>
  <si>
    <t>misha.borisov.qwertytwo@gmail.com</t>
  </si>
  <si>
    <t xml:space="preserve">   да</t>
  </si>
  <si>
    <t xml:space="preserve">Галлингер Павел </t>
  </si>
  <si>
    <t>pavelgallinger@gmail.com</t>
  </si>
  <si>
    <t xml:space="preserve">Глебова Ирина </t>
  </si>
  <si>
    <t>irngl73@gmail.com</t>
  </si>
  <si>
    <t xml:space="preserve"> +</t>
  </si>
  <si>
    <t xml:space="preserve">Камашев Артур </t>
  </si>
  <si>
    <t>lunar13kirin@gmail.com</t>
  </si>
  <si>
    <t>Подтверждаю</t>
  </si>
  <si>
    <t xml:space="preserve">Копосов Вячеслав </t>
  </si>
  <si>
    <t>mrkompo3itor@gmail.com</t>
  </si>
  <si>
    <t xml:space="preserve">Лапшин Валерий </t>
  </si>
  <si>
    <t>lapshin_valera@mail.ru</t>
  </si>
  <si>
    <t>ммм)</t>
  </si>
  <si>
    <t xml:space="preserve">Магац Александр </t>
  </si>
  <si>
    <t>sasha1998magats@gmail.com</t>
  </si>
  <si>
    <t xml:space="preserve">Матвийчук Богдан </t>
  </si>
  <si>
    <t>bogda.matwiichuck119988@gmail.com</t>
  </si>
  <si>
    <t xml:space="preserve">Некрасова Елена </t>
  </si>
  <si>
    <t>eonekrasova@gmail.com</t>
  </si>
  <si>
    <t>+</t>
  </si>
  <si>
    <t xml:space="preserve">Рочев Алексей </t>
  </si>
  <si>
    <t>letergold@gmail.com</t>
  </si>
  <si>
    <t xml:space="preserve">Смоленцев Антон </t>
  </si>
  <si>
    <t>ant.smolenzev@gmail.com</t>
  </si>
  <si>
    <t>Плюсик</t>
  </si>
  <si>
    <t>Степанова Ольга</t>
  </si>
  <si>
    <t>olga.malik.99@mail.ru</t>
  </si>
  <si>
    <t xml:space="preserve">Стрекалов Ростислав </t>
  </si>
  <si>
    <t>rastrekalov@gmail.com</t>
  </si>
  <si>
    <t xml:space="preserve">Тимошенко Аксинья </t>
  </si>
  <si>
    <t>aksinya2016@gmail.com</t>
  </si>
  <si>
    <t>ПОДТВЕРЖДЕНА</t>
  </si>
  <si>
    <t xml:space="preserve">Филиппов Денис </t>
  </si>
  <si>
    <t>mixtapev11@gmail.com</t>
  </si>
  <si>
    <t xml:space="preserve">Шевцов Эрик </t>
  </si>
  <si>
    <t>ericcc3998@gmail.com</t>
  </si>
  <si>
    <t>задача 1</t>
  </si>
  <si>
    <t>задача 2</t>
  </si>
  <si>
    <t>задача 3</t>
  </si>
  <si>
    <t>задача 4</t>
  </si>
  <si>
    <t>задача 5</t>
  </si>
  <si>
    <t>задача 6</t>
  </si>
  <si>
    <t>задача 7</t>
  </si>
  <si>
    <t>задача 8</t>
  </si>
  <si>
    <t>задача 9</t>
  </si>
  <si>
    <t>задача 10</t>
  </si>
  <si>
    <t>задача 11</t>
  </si>
  <si>
    <t>задача 12</t>
  </si>
  <si>
    <t>задача 13</t>
  </si>
  <si>
    <t>задача 14</t>
  </si>
  <si>
    <t>ФИО</t>
  </si>
  <si>
    <t>множитель наращения для кредита</t>
  </si>
  <si>
    <t>множитель наращения с учетом капитализации</t>
  </si>
  <si>
    <t>маржа</t>
  </si>
  <si>
    <t>чистый доход</t>
  </si>
  <si>
    <t>простая i</t>
  </si>
  <si>
    <t>простая d</t>
  </si>
  <si>
    <t>сложная i</t>
  </si>
  <si>
    <t>сложная d</t>
  </si>
  <si>
    <t>сумма к получению</t>
  </si>
  <si>
    <t>дисконт</t>
  </si>
  <si>
    <t>годовая ставка</t>
  </si>
  <si>
    <t>Вариант 1. Множитель наращения для простой ставки</t>
  </si>
  <si>
    <t>Вариант 1. Множитель наращения для сложной ставки</t>
  </si>
  <si>
    <t>вариант 2 для простой ставки</t>
  </si>
  <si>
    <t>вариант 2 для сложной ставки</t>
  </si>
  <si>
    <t>вывод</t>
  </si>
  <si>
    <t>эффективная ставка</t>
  </si>
  <si>
    <t>величина вклада</t>
  </si>
  <si>
    <t>годовая сложная ставка</t>
  </si>
  <si>
    <t>множитель наращения</t>
  </si>
  <si>
    <t>расчет 1</t>
  </si>
  <si>
    <t>расчет 2</t>
  </si>
  <si>
    <t>налог для простой ставки</t>
  </si>
  <si>
    <t>налог для сложной ставки</t>
  </si>
  <si>
    <t>сложная ставка с учетом инфляции</t>
  </si>
  <si>
    <t>сумма к погашению</t>
  </si>
  <si>
    <t>вспомогательный расчет</t>
  </si>
  <si>
    <t>последний платеж</t>
  </si>
  <si>
    <t>заработала Маша</t>
  </si>
  <si>
    <t>заработала Катя</t>
  </si>
  <si>
    <t>вывод 
(задача 14)</t>
  </si>
  <si>
    <t>Мижгородский В.Б.</t>
  </si>
  <si>
    <t>Выгоднее вложить на 3 месяца под годовую ставку 12%</t>
  </si>
  <si>
    <t>Катя заработала больше</t>
  </si>
  <si>
    <t>Гончаров И.В.</t>
  </si>
  <si>
    <t>Гарматко А.С.</t>
  </si>
  <si>
    <t>Выгоднее вложить 15 тыс. руб. на 3 мес. под 12%</t>
  </si>
  <si>
    <t>Лейманн В.А.</t>
  </si>
  <si>
    <t>Костромин Д.Р.</t>
  </si>
  <si>
    <t>первое выгоднее</t>
  </si>
  <si>
    <t>Жариков А.А.</t>
  </si>
  <si>
    <t xml:space="preserve">1-ое выгоднее </t>
  </si>
  <si>
    <t>Ватаманов А. А.</t>
  </si>
  <si>
    <t>Получается, первое более выгодно</t>
  </si>
  <si>
    <t>Черняев А.Г.</t>
  </si>
  <si>
    <t>1-ый вклад выгоднее</t>
  </si>
  <si>
    <t>Корнилов А.А.</t>
  </si>
  <si>
    <t>Выгоднее первое (под 12,5%)</t>
  </si>
  <si>
    <t>Пестерев В.О.</t>
  </si>
  <si>
    <t>Первый способ вложения выгоднее</t>
  </si>
  <si>
    <t>Удоратин Д.С.</t>
  </si>
  <si>
    <t>Карманов С.А.</t>
  </si>
  <si>
    <t>Выгоднее второе</t>
  </si>
  <si>
    <t>Выгоднее первое</t>
  </si>
  <si>
    <t>Попова О.А.</t>
  </si>
  <si>
    <t>Выгоднее вложить 15 тыс. рублей на 3 месяца под 12%</t>
  </si>
  <si>
    <t>Эйхман Д.А.</t>
  </si>
  <si>
    <t>Иванов С.В.</t>
  </si>
  <si>
    <t>ПЕРВОЕ</t>
  </si>
  <si>
    <t>Пакшина К.В.</t>
  </si>
  <si>
    <t>ПРИМЕРЫ:</t>
  </si>
  <si>
    <t xml:space="preserve"> =1+0,12</t>
  </si>
  <si>
    <t xml:space="preserve"> =(1+0,12/4)^4</t>
  </si>
  <si>
    <t xml:space="preserve"> =D16-C16</t>
  </si>
  <si>
    <t xml:space="preserve"> =E16*5000000</t>
  </si>
  <si>
    <t>Задания для самостоятельной работы.</t>
  </si>
  <si>
    <t xml:space="preserve"> Решить задачи. Тексты задач находятся в файле "Сам. работа 1.pdf" в ячейке A2.</t>
  </si>
  <si>
    <t>Задачи можно решать как с помощью функций, так и формул. См. пример в ячейках строки 31.</t>
  </si>
  <si>
    <t>современная стоимость потока</t>
  </si>
  <si>
    <t>наращенная  стоимость потока</t>
  </si>
  <si>
    <t>Конечная сумма</t>
  </si>
  <si>
    <t>Срок операции</t>
  </si>
  <si>
    <t>Величина платежа</t>
  </si>
  <si>
    <t>вспом. расчет 1</t>
  </si>
  <si>
    <t>вспом. расчет 2</t>
  </si>
  <si>
    <t>Современная величина</t>
  </si>
  <si>
    <t>пункт 1</t>
  </si>
  <si>
    <t>вспом. расчет</t>
  </si>
  <si>
    <t>пункт 2</t>
  </si>
  <si>
    <t>ПРИМЕР:</t>
  </si>
  <si>
    <t xml:space="preserve"> =(-4000)/(1+5%)+1000/(1+5%)^2+2000/(1+5%)^3+3000/(1+5%)^4</t>
  </si>
  <si>
    <t xml:space="preserve"> =БС(7%; 4*2; -2000) или =БС(7%; 4*2; -2000; ; 1)</t>
  </si>
  <si>
    <t xml:space="preserve"> =ПЛТ(8%;5;-5000;;0)</t>
  </si>
  <si>
    <t>1. Решить задачи. Тексты задач находятся в файле "Сам. работа 2.pdf" в ячейке A3.</t>
  </si>
  <si>
    <t>Задачи можно решать как с помощью функций, так и формул. См. пример в ячейках B16:C16.</t>
  </si>
  <si>
    <t>2. К этим задачам задать 5 вопросов на понимание процесса решения или анализа результата.</t>
  </si>
  <si>
    <t>тест 1</t>
  </si>
  <si>
    <t>тест 2</t>
  </si>
  <si>
    <t>тест 3</t>
  </si>
  <si>
    <t>задание 1</t>
  </si>
  <si>
    <t>задание 2</t>
  </si>
  <si>
    <t>тест, зачет</t>
  </si>
  <si>
    <t>Итого</t>
  </si>
  <si>
    <t>отработка пропусков</t>
  </si>
  <si>
    <t>информация о зачете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</si>
</sst>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[$р.-419]#,##0.00"/>
    <numFmt numFmtId="165" formatCode="#,##0.0000"/>
    <numFmt numFmtId="166" formatCode="0.000%"/>
    <numFmt numFmtId="167" formatCode="#,##0.000"/>
    <numFmt numFmtId="168" formatCode="0.000"/>
    <numFmt numFmtId="169" formatCode="0.0000"/>
    <numFmt numFmtId="170" formatCode="_-[$р.-419]* #,##0.00_-;_-[$р.-419]* \-#,##0.00_-;_-[$р.-419]* &quot;-&quot;??_-;_-@"/>
    <numFmt numFmtId="171" formatCode="#,##0.00000000"/>
    <numFmt numFmtId="172" formatCode="#,##0.0000000"/>
    <numFmt numFmtId="173" formatCode="0.00000"/>
    <numFmt numFmtId="174" formatCode="0.0000000"/>
    <numFmt numFmtId="175" formatCode="m/d/yyyy h:mm:ss"/>
    <numFmt numFmtId="176" formatCode="0&quot; / 10&quot;"/>
    <numFmt numFmtId="177" formatCode="0&quot; / 30&quot;"/>
    <numFmt numFmtId="178" formatCode="0&quot; / 9&quot;"/>
  </numFmts>
  <fonts count="51">
    <font>
      <sz val="10.0"/>
      <color rgb="FF000000"/>
      <name val="Arial"/>
    </font>
    <font>
      <sz val="12.0"/>
      <name val="Times New Roman"/>
    </font>
    <font>
      <sz val="20.0"/>
      <name val="Times New Roman"/>
    </font>
    <font>
      <sz val="14.0"/>
      <name val="Times New Roman"/>
    </font>
    <font>
      <sz val="16.0"/>
      <name val="Times New Roman"/>
    </font>
    <font>
      <u/>
      <sz val="12.0"/>
      <color rgb="FF0000FF"/>
      <name val="Times New Roman"/>
    </font>
    <font>
      <sz val="11.0"/>
      <name val="&quot;Times New Roman&quot;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sz val="12.0"/>
      <color rgb="FF0000FF"/>
      <name val="Times New Roman"/>
    </font>
    <font>
      <u/>
      <sz val="12.0"/>
      <color rgb="FF0000FF"/>
      <name val="Times New Roman"/>
    </font>
    <font>
      <sz val="12.0"/>
      <name val="Arial"/>
    </font>
    <font>
      <u/>
      <sz val="12.0"/>
      <color rgb="FF0000FF"/>
      <name val="Times New Roman"/>
    </font>
    <font>
      <sz val="12.0"/>
    </font>
    <font>
      <u/>
      <sz val="12.0"/>
      <color rgb="FF1155CC"/>
    </font>
    <font>
      <sz val="12.0"/>
      <name val="&quot;Times New Roman&quot;"/>
    </font>
    <font>
      <color rgb="FF555555"/>
      <name val="Roboto"/>
    </font>
    <font>
      <sz val="14.0"/>
      <color rgb="FF555555"/>
      <name val="Times New Roman"/>
    </font>
    <font>
      <i/>
      <sz val="14.0"/>
      <color rgb="FFCCCCCC"/>
      <name val="Comic Sans MS"/>
    </font>
    <font>
      <sz val="14.0"/>
      <name val="Caveat"/>
    </font>
    <font/>
    <font>
      <sz val="18.0"/>
      <name val="Caveat"/>
    </font>
    <font>
      <b/>
      <sz val="12.0"/>
      <color rgb="FFFF0000"/>
      <name val="Pacifico"/>
    </font>
    <font>
      <name val="Arial"/>
    </font>
    <font>
      <b/>
      <u/>
      <sz val="18.0"/>
      <color rgb="FF000000"/>
      <name val="Times New Roman"/>
    </font>
    <font>
      <sz val="10.0"/>
      <color rgb="FF000000"/>
      <name val="Comic Sans MS"/>
    </font>
    <font>
      <sz val="10.0"/>
      <name val="Comic Sans MS"/>
    </font>
    <font>
      <name val="Comic Sans MS"/>
    </font>
    <font>
      <name val="Times New Roman"/>
    </font>
    <font>
      <sz val="10.0"/>
      <name val="Arial"/>
    </font>
    <font>
      <sz val="11.0"/>
      <color rgb="FF1155CC"/>
      <name val="Inconsolata"/>
    </font>
    <font>
      <sz val="10.0"/>
      <color rgb="FF222222"/>
      <name val="Comic Sans MS"/>
    </font>
    <font>
      <sz val="11.0"/>
      <color rgb="FF000000"/>
      <name val="Arial"/>
    </font>
    <font>
      <u/>
      <sz val="11.0"/>
      <color rgb="FF000000"/>
      <name val="Inconsolata"/>
    </font>
    <font>
      <color rgb="FF000000"/>
      <name val="Comic Sans MS"/>
    </font>
    <font>
      <sz val="11.0"/>
      <color rgb="FF000000"/>
      <name val="Comic Sans MS"/>
    </font>
    <font>
      <color rgb="FF000000"/>
    </font>
    <font>
      <sz val="11.0"/>
      <color rgb="FF000000"/>
      <name val="Calibri"/>
    </font>
    <font>
      <sz val="12.0"/>
      <color rgb="FF000000"/>
      <name val="Times New Roman"/>
    </font>
    <font>
      <sz val="11.0"/>
      <color rgb="FF000000"/>
      <name val="Inconsolata"/>
    </font>
    <font>
      <sz val="11.0"/>
      <color rgb="FF000000"/>
      <name val="Roboto"/>
    </font>
    <font>
      <sz val="14.0"/>
      <name val="Arial"/>
    </font>
    <font>
      <b/>
      <sz val="12.0"/>
      <name val="Times New Roman"/>
    </font>
    <font>
      <u/>
      <sz val="18.0"/>
      <color rgb="FF0000FF"/>
      <name val="Times New Roman"/>
    </font>
    <font>
      <b/>
      <sz val="18.0"/>
      <color rgb="FF000000"/>
      <name val="Times New Roman"/>
    </font>
    <font>
      <color rgb="FF0000FF"/>
      <name val="Arial"/>
    </font>
    <font>
      <sz val="11.0"/>
      <color rgb="FFF7981D"/>
      <name val="Inconsolata"/>
    </font>
    <font>
      <u/>
      <sz val="12.0"/>
      <color rgb="FF0000FF"/>
    </font>
    <font>
      <b/>
      <sz val="12.0"/>
      <name val="&quot;Arial&quot;"/>
    </font>
    <font>
      <b/>
      <sz val="12.0"/>
      <color rgb="FF000000"/>
    </font>
    <font>
      <sz val="12.0"/>
      <name val="&quot;Arial&quot;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5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FF"/>
      </right>
      <bottom style="medium">
        <color rgb="FF000000"/>
      </bottom>
    </border>
    <border>
      <top style="thick">
        <color rgb="FF0000FF"/>
      </top>
      <bottom style="medium">
        <color rgb="FF000000"/>
      </bottom>
    </border>
    <border>
      <right style="thick">
        <color rgb="FF0000FF"/>
      </right>
      <top style="thick">
        <color rgb="FF0000FF"/>
      </top>
      <bottom style="medium">
        <color rgb="FF000000"/>
      </bottom>
    </border>
    <border>
      <left style="medium">
        <color rgb="FF0000FF"/>
      </left>
      <right style="medium">
        <color rgb="FF0000FF"/>
      </right>
      <top style="medium">
        <color rgb="FF0000FF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ck">
        <color rgb="FF0000FF"/>
      </right>
    </border>
    <border>
      <right style="medium">
        <color rgb="FF000000"/>
      </right>
    </border>
    <border>
      <left style="medium">
        <color rgb="FF0000FF"/>
      </left>
      <right style="medium">
        <color rgb="FF0000FF"/>
      </right>
      <bottom style="medium">
        <color rgb="FF0000FF"/>
      </bottom>
    </border>
    <border>
      <left style="thin">
        <color rgb="FF000000"/>
      </left>
      <right style="medium">
        <color rgb="FF0000FF"/>
      </right>
      <top style="medium">
        <color rgb="FF0000FF"/>
      </top>
      <bottom style="thin">
        <color rgb="FF000000"/>
      </bottom>
    </border>
    <border>
      <left style="medium">
        <color rgb="FF0000FF"/>
      </left>
      <right style="thin">
        <color rgb="FF000000"/>
      </right>
      <top style="medium">
        <color rgb="FF0000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FF"/>
      </top>
      <bottom style="thin">
        <color rgb="FF000000"/>
      </bottom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00"/>
      </bottom>
    </border>
    <border>
      <right style="medium">
        <color rgb="FF0000FF"/>
      </right>
      <top style="medium">
        <color rgb="FF0000FF"/>
      </top>
    </border>
    <border>
      <left style="thin">
        <color rgb="FF000000"/>
      </left>
      <right style="medium">
        <color rgb="FF0000FF"/>
      </right>
      <top style="thin">
        <color rgb="FF000000"/>
      </top>
      <bottom style="thin">
        <color rgb="FF000000"/>
      </bottom>
    </border>
    <border>
      <left style="medium">
        <color rgb="FF0000FF"/>
      </left>
      <right style="medium">
        <color rgb="FF0000FF"/>
      </right>
      <top style="thin">
        <color rgb="FF000000"/>
      </top>
      <bottom style="thin">
        <color rgb="FF000000"/>
      </bottom>
    </border>
    <border>
      <left style="medium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FF"/>
      </right>
      <top style="thin">
        <color rgb="FF000000"/>
      </top>
      <bottom style="thin">
        <color rgb="FF000000"/>
      </bottom>
    </border>
    <border>
      <right style="medium">
        <color rgb="FF0000F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FF"/>
      </left>
      <top style="thin">
        <color rgb="FF000000"/>
      </top>
      <bottom style="thin">
        <color rgb="FF000000"/>
      </bottom>
    </border>
    <border>
      <right style="medium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FF"/>
      </right>
      <top style="thin">
        <color rgb="FF000000"/>
      </top>
      <bottom style="medium">
        <color rgb="FF0000FF"/>
      </bottom>
    </border>
    <border>
      <left style="medium">
        <color rgb="FF0000FF"/>
      </left>
      <right style="thin">
        <color rgb="FF000000"/>
      </right>
      <top style="thin">
        <color rgb="FF000000"/>
      </top>
      <bottom style="medium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FF"/>
      </bottom>
    </border>
    <border>
      <left style="medium">
        <color rgb="FF0000FF"/>
      </left>
      <right style="medium">
        <color rgb="FF0000FF"/>
      </right>
      <top style="thin">
        <color rgb="FF000000"/>
      </top>
      <bottom style="medium">
        <color rgb="FF0000FF"/>
      </bottom>
    </border>
    <border>
      <right style="medium">
        <color rgb="FF0000FF"/>
      </right>
      <bottom style="medium">
        <color rgb="FF0000FF"/>
      </bottom>
    </border>
    <border>
      <bottom style="medium">
        <color rgb="FF000000"/>
      </bottom>
    </border>
    <border>
      <left style="thick">
        <color rgb="FF0000FF"/>
      </left>
      <top style="thick">
        <color rgb="FF0000FF"/>
      </top>
      <bottom style="medium">
        <color rgb="FF000000"/>
      </bottom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F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FF"/>
      </left>
      <right style="thick">
        <color rgb="FF0000FF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FF"/>
      </right>
      <bottom style="thin">
        <color rgb="FF000000"/>
      </bottom>
    </border>
    <border>
      <left style="thick">
        <color rgb="FF0000FF"/>
      </left>
      <right style="thick">
        <color rgb="FF0000FF"/>
      </right>
      <bottom style="thin">
        <color rgb="FF000000"/>
      </bottom>
    </border>
    <border>
      <right style="thick">
        <color rgb="FF0000FF"/>
      </right>
      <bottom style="thin">
        <color rgb="FF000000"/>
      </bottom>
    </border>
    <border>
      <left style="thick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FF"/>
      </left>
      <right style="thick">
        <color rgb="FF0000FF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ck">
        <color rgb="FF0000FF"/>
      </left>
      <right style="thin">
        <color rgb="FF000000"/>
      </right>
      <bottom style="thick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FF"/>
      </left>
      <right style="thin">
        <color rgb="FF000000"/>
      </right>
      <top style="thin">
        <color rgb="FF000000"/>
      </top>
      <bottom style="thick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FF"/>
      </bottom>
    </border>
    <border>
      <left style="thick">
        <color rgb="FF0000FF"/>
      </left>
      <right style="thick">
        <color rgb="FF0000FF"/>
      </right>
      <top style="thin">
        <color rgb="FF000000"/>
      </top>
      <bottom style="thick">
        <color rgb="FF0000FF"/>
      </bottom>
    </border>
    <border>
      <left style="thin">
        <color rgb="FF000000"/>
      </left>
      <right style="thick">
        <color rgb="FF0000FF"/>
      </right>
      <top style="thin">
        <color rgb="FF000000"/>
      </top>
      <bottom style="thick">
        <color rgb="FF0000FF"/>
      </bottom>
    </border>
    <border>
      <left style="thin">
        <color rgb="FF000000"/>
      </left>
      <right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readingOrder="0"/>
    </xf>
    <xf borderId="1" fillId="0" fontId="3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right" readingOrder="0" vertical="bottom"/>
    </xf>
    <xf borderId="0" fillId="0" fontId="7" numFmtId="0" xfId="0" applyAlignment="1" applyFont="1">
      <alignment readingOrder="0"/>
    </xf>
    <xf borderId="3" fillId="2" fontId="8" numFmtId="0" xfId="0" applyAlignment="1" applyBorder="1" applyFill="1" applyFont="1">
      <alignment shrinkToFit="0" vertical="bottom" wrapText="0"/>
    </xf>
    <xf borderId="0" fillId="2" fontId="9" numFmtId="0" xfId="0" applyFont="1"/>
    <xf borderId="4" fillId="0" fontId="6" numFmtId="0" xfId="0" applyAlignment="1" applyBorder="1" applyFont="1">
      <alignment horizontal="right" readingOrder="0" vertical="bottom"/>
    </xf>
    <xf borderId="0" fillId="0" fontId="10" numFmtId="0" xfId="0" applyFont="1"/>
    <xf borderId="0" fillId="2" fontId="11" numFmtId="0" xfId="0" applyAlignment="1" applyFont="1">
      <alignment vertical="bottom"/>
    </xf>
    <xf borderId="0" fillId="0" fontId="12" numFmtId="0" xfId="0" applyAlignment="1" applyFont="1">
      <alignment horizontal="right" readingOrder="0"/>
    </xf>
    <xf borderId="0" fillId="0" fontId="13" numFmtId="0" xfId="0" applyFont="1"/>
    <xf borderId="0" fillId="0" fontId="14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4" fillId="0" fontId="15" numFmtId="0" xfId="0" applyAlignment="1" applyBorder="1" applyFont="1">
      <alignment horizontal="left" readingOrder="0" vertical="bottom"/>
    </xf>
    <xf borderId="4" fillId="0" fontId="6" numFmtId="0" xfId="0" applyAlignment="1" applyBorder="1" applyFont="1">
      <alignment horizontal="left" readingOrder="0" vertical="bottom"/>
    </xf>
    <xf borderId="1" fillId="0" fontId="15" numFmtId="0" xfId="0" applyAlignment="1" applyBorder="1" applyFont="1">
      <alignment horizontal="left" readingOrder="0" vertical="bottom"/>
    </xf>
    <xf borderId="0" fillId="3" fontId="16" numFmtId="0" xfId="0" applyAlignment="1" applyFill="1" applyFont="1">
      <alignment horizontal="left" readingOrder="0" shrinkToFit="0" vertical="top" wrapText="0"/>
    </xf>
    <xf borderId="1" fillId="0" fontId="3" numFmtId="0" xfId="0" applyAlignment="1" applyBorder="1" applyFont="1">
      <alignment readingOrder="0" vertical="bottom"/>
    </xf>
    <xf borderId="5" fillId="3" fontId="17" numFmtId="0" xfId="0" applyAlignment="1" applyBorder="1" applyFont="1">
      <alignment vertical="bottom"/>
    </xf>
    <xf borderId="6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vertical="bottom"/>
    </xf>
    <xf borderId="7" fillId="3" fontId="17" numFmtId="0" xfId="0" applyAlignment="1" applyBorder="1" applyFont="1">
      <alignment vertical="bottom"/>
    </xf>
    <xf borderId="1" fillId="3" fontId="18" numFmtId="0" xfId="0" applyAlignment="1" applyBorder="1" applyFont="1">
      <alignment horizontal="right" readingOrder="0" textRotation="0" vertical="center"/>
    </xf>
    <xf borderId="1" fillId="0" fontId="3" numFmtId="0" xfId="0" applyAlignment="1" applyBorder="1" applyFont="1">
      <alignment vertical="bottom"/>
    </xf>
    <xf borderId="4" fillId="0" fontId="3" numFmtId="0" xfId="0" applyBorder="1" applyFont="1"/>
    <xf borderId="1" fillId="0" fontId="3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0" fillId="0" fontId="20" numFmtId="0" xfId="0" applyAlignment="1" applyFont="1">
      <alignment readingOrder="0" textRotation="0"/>
    </xf>
    <xf borderId="0" fillId="0" fontId="21" numFmtId="0" xfId="0" applyAlignment="1" applyFont="1">
      <alignment readingOrder="0" textRotation="0"/>
    </xf>
    <xf quotePrefix="1"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0" fillId="0" fontId="20" numFmtId="0" xfId="0" applyAlignment="1" applyFont="1">
      <alignment readingOrder="0"/>
    </xf>
    <xf borderId="1" fillId="0" fontId="22" numFmtId="0" xfId="0" applyAlignment="1" applyBorder="1" applyFont="1">
      <alignment horizontal="right" readingOrder="0" shrinkToFit="0" textRotation="0" vertical="top" wrapText="0"/>
    </xf>
    <xf borderId="1" fillId="3" fontId="17" numFmtId="0" xfId="0" applyAlignment="1" applyBorder="1" applyFont="1">
      <alignment vertical="bottom"/>
    </xf>
    <xf borderId="8" fillId="3" fontId="23" numFmtId="0" xfId="0" applyAlignment="1" applyBorder="1" applyFont="1">
      <alignment vertical="bottom"/>
    </xf>
    <xf borderId="9" fillId="0" fontId="23" numFmtId="0" xfId="0" applyAlignment="1" applyBorder="1" applyFont="1">
      <alignment horizontal="center" shrinkToFit="0" vertical="bottom" wrapText="1"/>
    </xf>
    <xf borderId="10" fillId="0" fontId="23" numFmtId="0" xfId="0" applyAlignment="1" applyBorder="1" applyFont="1">
      <alignment horizontal="center" shrinkToFit="0" vertical="bottom" wrapText="1"/>
    </xf>
    <xf borderId="10" fillId="0" fontId="20" numFmtId="0" xfId="0" applyBorder="1" applyFont="1"/>
    <xf borderId="11" fillId="0" fontId="20" numFmtId="0" xfId="0" applyBorder="1" applyFont="1"/>
    <xf borderId="11" fillId="0" fontId="23" numFmtId="0" xfId="0" applyAlignment="1" applyBorder="1" applyFont="1">
      <alignment horizontal="center" shrinkToFit="0" vertical="bottom" wrapText="1"/>
    </xf>
    <xf borderId="12" fillId="0" fontId="23" numFmtId="0" xfId="0" applyAlignment="1" applyBorder="1" applyFont="1">
      <alignment horizontal="center" shrinkToFit="0" vertical="bottom" wrapText="1"/>
    </xf>
    <xf borderId="0" fillId="0" fontId="23" numFmtId="0" xfId="0" applyAlignment="1" applyFont="1">
      <alignment horizontal="center" shrinkToFit="0" vertical="bottom" wrapText="1"/>
    </xf>
    <xf borderId="13" fillId="4" fontId="24" numFmtId="0" xfId="0" applyAlignment="1" applyBorder="1" applyFill="1" applyFont="1">
      <alignment horizontal="center" shrinkToFit="0" vertical="top" wrapText="1"/>
    </xf>
    <xf borderId="14" fillId="0" fontId="23" numFmtId="0" xfId="0" applyAlignment="1" applyBorder="1" applyFont="1">
      <alignment horizontal="center" readingOrder="0" shrinkToFit="0" vertical="top" wrapText="1"/>
    </xf>
    <xf borderId="15" fillId="0" fontId="23" numFmtId="0" xfId="0" applyAlignment="1" applyBorder="1" applyFont="1">
      <alignment horizontal="center" shrinkToFit="0" vertical="top" wrapText="1"/>
    </xf>
    <xf borderId="15" fillId="0" fontId="23" numFmtId="0" xfId="0" applyAlignment="1" applyBorder="1" applyFont="1">
      <alignment horizontal="center" readingOrder="0" shrinkToFit="0" vertical="top" wrapText="1"/>
    </xf>
    <xf borderId="14" fillId="0" fontId="23" numFmtId="0" xfId="0" applyAlignment="1" applyBorder="1" applyFont="1">
      <alignment horizontal="center" shrinkToFit="0" vertical="top" wrapText="1"/>
    </xf>
    <xf borderId="14" fillId="0" fontId="23" numFmtId="10" xfId="0" applyAlignment="1" applyBorder="1" applyFont="1" applyNumberFormat="1">
      <alignment horizontal="center" shrinkToFit="0" vertical="top" wrapText="1"/>
    </xf>
    <xf borderId="0" fillId="0" fontId="23" numFmtId="0" xfId="0" applyAlignment="1" applyFont="1">
      <alignment horizontal="center" shrinkToFit="0" vertical="top" wrapText="1"/>
    </xf>
    <xf borderId="16" fillId="0" fontId="23" numFmtId="0" xfId="0" applyAlignment="1" applyBorder="1" applyFont="1">
      <alignment horizontal="center" readingOrder="0" shrinkToFit="0" vertical="top" wrapText="1"/>
    </xf>
    <xf borderId="1" fillId="0" fontId="15" numFmtId="0" xfId="0" applyAlignment="1" applyBorder="1" applyFont="1">
      <alignment horizontal="left" readingOrder="0" vertical="bottom"/>
    </xf>
    <xf borderId="17" fillId="3" fontId="20" numFmtId="164" xfId="0" applyAlignment="1" applyBorder="1" applyFont="1" applyNumberFormat="1">
      <alignment readingOrder="0"/>
    </xf>
    <xf borderId="18" fillId="3" fontId="25" numFmtId="2" xfId="0" applyBorder="1" applyFont="1" applyNumberFormat="1"/>
    <xf borderId="19" fillId="3" fontId="25" numFmtId="165" xfId="0" applyBorder="1" applyFont="1" applyNumberFormat="1"/>
    <xf borderId="19" fillId="3" fontId="25" numFmtId="10" xfId="0" applyAlignment="1" applyBorder="1" applyFont="1" applyNumberFormat="1">
      <alignment readingOrder="0"/>
    </xf>
    <xf borderId="17" fillId="3" fontId="25" numFmtId="164" xfId="0" applyBorder="1" applyFont="1" applyNumberFormat="1"/>
    <xf borderId="18" fillId="3" fontId="25" numFmtId="10" xfId="0" applyBorder="1" applyFont="1" applyNumberFormat="1"/>
    <xf borderId="19" fillId="3" fontId="25" numFmtId="10" xfId="0" applyBorder="1" applyFont="1" applyNumberFormat="1"/>
    <xf borderId="19" fillId="3" fontId="25" numFmtId="166" xfId="0" applyBorder="1" applyFont="1" applyNumberFormat="1"/>
    <xf borderId="17" fillId="3" fontId="25" numFmtId="166" xfId="0" applyBorder="1" applyFont="1" applyNumberFormat="1"/>
    <xf borderId="18" fillId="3" fontId="25" numFmtId="164" xfId="0" applyBorder="1" applyFont="1" applyNumberFormat="1"/>
    <xf borderId="17" fillId="3" fontId="25" numFmtId="164" xfId="0" applyBorder="1" applyFont="1" applyNumberFormat="1"/>
    <xf borderId="20" fillId="3" fontId="25" numFmtId="10" xfId="0" applyBorder="1" applyFont="1" applyNumberFormat="1"/>
    <xf borderId="18" fillId="3" fontId="25" numFmtId="4" xfId="0" applyBorder="1" applyFont="1" applyNumberFormat="1"/>
    <xf borderId="19" fillId="3" fontId="26" numFmtId="165" xfId="0" applyBorder="1" applyFont="1" applyNumberFormat="1"/>
    <xf borderId="19" fillId="3" fontId="26" numFmtId="10" xfId="0" applyBorder="1" applyFont="1" applyNumberFormat="1"/>
    <xf borderId="17" fillId="3" fontId="26" numFmtId="10" xfId="0" applyBorder="1" applyFont="1" applyNumberFormat="1"/>
    <xf borderId="20" fillId="3" fontId="26" numFmtId="0" xfId="0" applyAlignment="1" applyBorder="1" applyFont="1">
      <alignment readingOrder="0"/>
    </xf>
    <xf borderId="20" fillId="3" fontId="26" numFmtId="10" xfId="0" applyBorder="1" applyFont="1" applyNumberFormat="1"/>
    <xf borderId="20" fillId="3" fontId="26" numFmtId="164" xfId="0" applyBorder="1" applyFont="1" applyNumberFormat="1"/>
    <xf borderId="18" fillId="3" fontId="26" numFmtId="2" xfId="0" applyBorder="1" applyFont="1" applyNumberFormat="1"/>
    <xf borderId="17" fillId="3" fontId="20" numFmtId="10" xfId="0" applyBorder="1" applyFont="1" applyNumberFormat="1"/>
    <xf borderId="18" fillId="3" fontId="20" numFmtId="164" xfId="0" applyBorder="1" applyFont="1" applyNumberFormat="1"/>
    <xf borderId="19" fillId="3" fontId="20" numFmtId="164" xfId="0" applyBorder="1" applyFont="1" applyNumberFormat="1"/>
    <xf borderId="17" fillId="3" fontId="20" numFmtId="0" xfId="0" applyAlignment="1" applyBorder="1" applyFont="1">
      <alignment readingOrder="0"/>
    </xf>
    <xf borderId="18" fillId="3" fontId="20" numFmtId="0" xfId="0" applyBorder="1" applyFont="1"/>
    <xf borderId="17" fillId="3" fontId="20" numFmtId="0" xfId="0" applyBorder="1" applyFont="1"/>
    <xf borderId="18" fillId="3" fontId="20" numFmtId="10" xfId="0" applyBorder="1" applyFont="1" applyNumberFormat="1"/>
    <xf borderId="19" fillId="3" fontId="20" numFmtId="2" xfId="0" applyBorder="1" applyFont="1" applyNumberFormat="1"/>
    <xf borderId="18" fillId="3" fontId="20" numFmtId="2" xfId="0" applyBorder="1" applyFont="1" applyNumberFormat="1"/>
    <xf borderId="17" fillId="3" fontId="20" numFmtId="2" xfId="0" applyBorder="1" applyFont="1" applyNumberFormat="1"/>
    <xf borderId="18" fillId="3" fontId="20" numFmtId="0" xfId="0" applyAlignment="1" applyBorder="1" applyFont="1">
      <alignment readingOrder="0"/>
    </xf>
    <xf borderId="19" fillId="3" fontId="20" numFmtId="0" xfId="0" applyBorder="1" applyFont="1"/>
    <xf borderId="21" fillId="3" fontId="20" numFmtId="0" xfId="0" applyAlignment="1" applyBorder="1" applyFont="1">
      <alignment readingOrder="0"/>
    </xf>
    <xf borderId="0" fillId="3" fontId="20" numFmtId="0" xfId="0" applyFont="1"/>
    <xf borderId="22" fillId="0" fontId="20" numFmtId="0" xfId="0" applyAlignment="1" applyBorder="1" applyFont="1">
      <alignment readingOrder="0"/>
    </xf>
    <xf borderId="1" fillId="3" fontId="26" numFmtId="10" xfId="0" applyBorder="1" applyFont="1" applyNumberFormat="1"/>
    <xf borderId="22" fillId="3" fontId="26" numFmtId="10" xfId="0" applyBorder="1" applyFont="1" applyNumberFormat="1"/>
    <xf borderId="23" fillId="3" fontId="26" numFmtId="0" xfId="0" applyAlignment="1" applyBorder="1" applyFont="1">
      <alignment readingOrder="0"/>
    </xf>
    <xf borderId="24" fillId="3" fontId="20" numFmtId="0" xfId="0" applyBorder="1" applyFont="1"/>
    <xf borderId="22" fillId="3" fontId="23" numFmtId="0" xfId="0" applyAlignment="1" applyBorder="1" applyFont="1">
      <alignment vertical="top"/>
    </xf>
    <xf borderId="24" fillId="3" fontId="20" numFmtId="10" xfId="0" applyBorder="1" applyFont="1" applyNumberFormat="1"/>
    <xf borderId="1" fillId="3" fontId="20" numFmtId="2" xfId="0" applyBorder="1" applyFont="1" applyNumberFormat="1"/>
    <xf borderId="22" fillId="3" fontId="27" numFmtId="0" xfId="0" applyBorder="1" applyFont="1"/>
    <xf borderId="25" fillId="3" fontId="27" numFmtId="164" xfId="0" applyAlignment="1" applyBorder="1" applyFont="1" applyNumberFormat="1">
      <alignment readingOrder="0"/>
    </xf>
    <xf borderId="2" fillId="0" fontId="25" numFmtId="167" xfId="0" applyAlignment="1" applyBorder="1" applyFont="1" applyNumberFormat="1">
      <alignment readingOrder="0" vertical="bottom"/>
    </xf>
    <xf borderId="1" fillId="3" fontId="25" numFmtId="165" xfId="0" applyAlignment="1" applyBorder="1" applyFont="1" applyNumberFormat="1">
      <alignment readingOrder="0"/>
    </xf>
    <xf borderId="1" fillId="3" fontId="25" numFmtId="10" xfId="0" applyAlignment="1" applyBorder="1" applyFont="1" applyNumberFormat="1">
      <alignment readingOrder="0"/>
    </xf>
    <xf borderId="22" fillId="3" fontId="25" numFmtId="164" xfId="0" applyBorder="1" applyFont="1" applyNumberFormat="1"/>
    <xf borderId="2" fillId="3" fontId="25" numFmtId="10" xfId="0" applyAlignment="1" applyBorder="1" applyFont="1" applyNumberFormat="1">
      <alignment textRotation="0"/>
    </xf>
    <xf borderId="1" fillId="3" fontId="25" numFmtId="10" xfId="0" applyBorder="1" applyFont="1" applyNumberFormat="1"/>
    <xf borderId="1" fillId="3" fontId="25" numFmtId="166" xfId="0" applyBorder="1" applyFont="1" applyNumberFormat="1"/>
    <xf borderId="22" fillId="3" fontId="25" numFmtId="166" xfId="0" applyBorder="1" applyFont="1" applyNumberFormat="1"/>
    <xf borderId="2" fillId="5" fontId="25" numFmtId="164" xfId="0" applyBorder="1" applyFill="1" applyFont="1" applyNumberFormat="1"/>
    <xf borderId="22" fillId="3" fontId="25" numFmtId="164" xfId="0" applyBorder="1" applyFont="1" applyNumberFormat="1"/>
    <xf borderId="23" fillId="3" fontId="25" numFmtId="10" xfId="0" applyBorder="1" applyFont="1" applyNumberFormat="1"/>
    <xf borderId="24" fillId="3" fontId="25" numFmtId="4" xfId="0" applyBorder="1" applyFont="1" applyNumberFormat="1"/>
    <xf borderId="1" fillId="3" fontId="26" numFmtId="165" xfId="0" applyBorder="1" applyFont="1" applyNumberFormat="1"/>
    <xf borderId="23" fillId="3" fontId="26" numFmtId="10" xfId="0" applyBorder="1" applyFont="1" applyNumberFormat="1"/>
    <xf borderId="23" fillId="3" fontId="26" numFmtId="164" xfId="0" applyBorder="1" applyFont="1" applyNumberFormat="1"/>
    <xf borderId="23" fillId="3" fontId="26" numFmtId="10" xfId="0" applyAlignment="1" applyBorder="1" applyFont="1" applyNumberFormat="1">
      <alignment readingOrder="0"/>
    </xf>
    <xf borderId="24" fillId="3" fontId="26" numFmtId="2" xfId="0" applyBorder="1" applyFont="1" applyNumberFormat="1"/>
    <xf borderId="22" fillId="3" fontId="20" numFmtId="10" xfId="0" applyBorder="1" applyFont="1" applyNumberFormat="1"/>
    <xf borderId="24" fillId="3" fontId="20" numFmtId="164" xfId="0" applyBorder="1" applyFont="1" applyNumberFormat="1"/>
    <xf borderId="1" fillId="3" fontId="20" numFmtId="164" xfId="0" applyBorder="1" applyFont="1" applyNumberFormat="1"/>
    <xf borderId="22" fillId="3" fontId="20" numFmtId="0" xfId="0" applyAlignment="1" applyBorder="1" applyFont="1">
      <alignment readingOrder="0"/>
    </xf>
    <xf borderId="24" fillId="3" fontId="27" numFmtId="0" xfId="0" applyBorder="1" applyFont="1"/>
    <xf borderId="1" fillId="3" fontId="27" numFmtId="0" xfId="0" applyBorder="1" applyFont="1"/>
    <xf borderId="26" fillId="3" fontId="20" numFmtId="0" xfId="0" applyBorder="1" applyFont="1"/>
    <xf borderId="25" fillId="3" fontId="20" numFmtId="164" xfId="0" applyAlignment="1" applyBorder="1" applyFont="1" applyNumberFormat="1">
      <alignment readingOrder="0"/>
    </xf>
    <xf borderId="2" fillId="3" fontId="25" numFmtId="10" xfId="0" applyBorder="1" applyFont="1" applyNumberFormat="1"/>
    <xf borderId="22" fillId="3" fontId="20" numFmtId="164" xfId="0" applyBorder="1" applyFont="1" applyNumberFormat="1"/>
    <xf borderId="1" fillId="3" fontId="20" numFmtId="164" xfId="0" applyAlignment="1" applyBorder="1" applyFont="1" applyNumberFormat="1">
      <alignment readingOrder="0"/>
    </xf>
    <xf borderId="26" fillId="3" fontId="20" numFmtId="164" xfId="0" applyBorder="1" applyFont="1" applyNumberFormat="1"/>
    <xf borderId="0" fillId="3" fontId="20" numFmtId="164" xfId="0" applyFont="1" applyNumberFormat="1"/>
    <xf borderId="22" fillId="3" fontId="20" numFmtId="164" xfId="0" applyAlignment="1" applyBorder="1" applyFont="1" applyNumberFormat="1">
      <alignment readingOrder="0"/>
    </xf>
    <xf borderId="24" fillId="3" fontId="25" numFmtId="167" xfId="0" applyBorder="1" applyFont="1" applyNumberFormat="1"/>
    <xf borderId="1" fillId="3" fontId="25" numFmtId="167" xfId="0" applyAlignment="1" applyBorder="1" applyFont="1" applyNumberFormat="1">
      <alignment readingOrder="0"/>
    </xf>
    <xf borderId="0" fillId="3" fontId="25" numFmtId="10" xfId="0" applyFont="1" applyNumberFormat="1"/>
    <xf borderId="0" fillId="3" fontId="25" numFmtId="166" xfId="0" applyFont="1" applyNumberFormat="1"/>
    <xf borderId="24" fillId="5" fontId="25" numFmtId="164" xfId="0" applyBorder="1" applyFont="1" applyNumberFormat="1"/>
    <xf borderId="22" fillId="3" fontId="25" numFmtId="4" xfId="0" applyBorder="1" applyFont="1" applyNumberFormat="1"/>
    <xf borderId="1" fillId="3" fontId="25" numFmtId="4" xfId="0" applyBorder="1" applyFont="1" applyNumberFormat="1"/>
    <xf borderId="23" fillId="3" fontId="25" numFmtId="4" xfId="0" applyBorder="1" applyFont="1" applyNumberFormat="1"/>
    <xf borderId="24" fillId="3" fontId="0" numFmtId="164" xfId="0" applyBorder="1" applyFont="1" applyNumberFormat="1"/>
    <xf borderId="22" fillId="3" fontId="0" numFmtId="4" xfId="0" applyAlignment="1" applyBorder="1" applyFont="1" applyNumberFormat="1">
      <alignment readingOrder="0"/>
    </xf>
    <xf borderId="24" fillId="3" fontId="0" numFmtId="4" xfId="0" applyBorder="1" applyFont="1" applyNumberFormat="1"/>
    <xf borderId="22" fillId="3" fontId="0" numFmtId="4" xfId="0" applyAlignment="1" applyBorder="1" applyFont="1" applyNumberFormat="1">
      <alignment vertical="top"/>
    </xf>
    <xf borderId="1" fillId="3" fontId="0" numFmtId="4" xfId="0" applyBorder="1" applyFont="1" applyNumberFormat="1"/>
    <xf borderId="22" fillId="3" fontId="0" numFmtId="4" xfId="0" applyBorder="1" applyFont="1" applyNumberFormat="1"/>
    <xf borderId="24" fillId="3" fontId="20" numFmtId="2" xfId="0" applyBorder="1" applyFont="1" applyNumberFormat="1"/>
    <xf borderId="22" fillId="3" fontId="20" numFmtId="2" xfId="0" applyBorder="1" applyFont="1" applyNumberFormat="1"/>
    <xf borderId="22" fillId="3" fontId="23" numFmtId="164" xfId="0" applyAlignment="1" applyBorder="1" applyFont="1" applyNumberFormat="1">
      <alignment readingOrder="0" vertical="bottom"/>
    </xf>
    <xf borderId="24" fillId="3" fontId="25" numFmtId="167" xfId="0" applyAlignment="1" applyBorder="1" applyFont="1" applyNumberFormat="1">
      <alignment readingOrder="0" vertical="bottom"/>
    </xf>
    <xf borderId="1" fillId="3" fontId="25" numFmtId="165" xfId="0" applyAlignment="1" applyBorder="1" applyFont="1" applyNumberFormat="1">
      <alignment readingOrder="0" vertical="bottom"/>
    </xf>
    <xf borderId="22" fillId="3" fontId="25" numFmtId="164" xfId="0" applyAlignment="1" applyBorder="1" applyFont="1" applyNumberFormat="1">
      <alignment readingOrder="0" vertical="bottom"/>
    </xf>
    <xf borderId="24" fillId="3" fontId="25" numFmtId="10" xfId="0" applyBorder="1" applyFont="1" applyNumberFormat="1"/>
    <xf borderId="22" fillId="3" fontId="25" numFmtId="166" xfId="0" applyAlignment="1" applyBorder="1" applyFont="1" applyNumberFormat="1">
      <alignment readingOrder="0"/>
    </xf>
    <xf borderId="24" fillId="5" fontId="25" numFmtId="164" xfId="0" applyAlignment="1" applyBorder="1" applyFont="1" applyNumberFormat="1">
      <alignment readingOrder="0"/>
    </xf>
    <xf borderId="1" fillId="3" fontId="26" numFmtId="0" xfId="0" applyAlignment="1" applyBorder="1" applyFont="1">
      <alignment readingOrder="0"/>
    </xf>
    <xf borderId="22" fillId="3" fontId="26" numFmtId="0" xfId="0" applyAlignment="1" applyBorder="1" applyFont="1">
      <alignment readingOrder="0"/>
    </xf>
    <xf borderId="24" fillId="3" fontId="20" numFmtId="164" xfId="0" applyAlignment="1" applyBorder="1" applyFont="1" applyNumberFormat="1">
      <alignment readingOrder="0"/>
    </xf>
    <xf borderId="22" fillId="3" fontId="20" numFmtId="0" xfId="0" applyBorder="1" applyFont="1"/>
    <xf borderId="22" fillId="3" fontId="28" numFmtId="164" xfId="0" applyAlignment="1" applyBorder="1" applyFont="1" applyNumberFormat="1">
      <alignment readingOrder="0"/>
    </xf>
    <xf borderId="24" fillId="3" fontId="25" numFmtId="4" xfId="0" applyAlignment="1" applyBorder="1" applyFont="1" applyNumberFormat="1">
      <alignment readingOrder="0"/>
    </xf>
    <xf borderId="1" fillId="3" fontId="25" numFmtId="4" xfId="0" applyAlignment="1" applyBorder="1" applyFont="1" applyNumberFormat="1">
      <alignment readingOrder="0"/>
    </xf>
    <xf borderId="22" fillId="3" fontId="25" numFmtId="164" xfId="0" applyAlignment="1" applyBorder="1" applyFont="1" applyNumberFormat="1">
      <alignment readingOrder="0"/>
    </xf>
    <xf borderId="1" fillId="3" fontId="25" numFmtId="166" xfId="0" applyAlignment="1" applyBorder="1" applyFont="1" applyNumberFormat="1">
      <alignment readingOrder="0"/>
    </xf>
    <xf borderId="24" fillId="3" fontId="20" numFmtId="0" xfId="0" applyAlignment="1" applyBorder="1" applyFont="1">
      <alignment readingOrder="0"/>
    </xf>
    <xf borderId="1" fillId="3" fontId="20" numFmtId="0" xfId="0" applyBorder="1" applyFont="1"/>
    <xf borderId="26" fillId="3" fontId="28" numFmtId="0" xfId="0" applyBorder="1" applyFont="1"/>
    <xf borderId="0" fillId="3" fontId="28" numFmtId="0" xfId="0" applyFont="1"/>
    <xf borderId="22" fillId="3" fontId="20" numFmtId="164" xfId="0" applyAlignment="1" applyBorder="1" applyFont="1" applyNumberFormat="1">
      <alignment readingOrder="0"/>
    </xf>
    <xf borderId="24" fillId="3" fontId="25" numFmtId="168" xfId="0" applyBorder="1" applyFont="1" applyNumberFormat="1"/>
    <xf borderId="1" fillId="3" fontId="25" numFmtId="169" xfId="0" applyBorder="1" applyFont="1" applyNumberFormat="1"/>
    <xf borderId="24" fillId="3" fontId="25" numFmtId="10" xfId="0" applyAlignment="1" applyBorder="1" applyFont="1" applyNumberFormat="1">
      <alignment readingOrder="0"/>
    </xf>
    <xf borderId="0" fillId="6" fontId="25" numFmtId="164" xfId="0" applyAlignment="1" applyFill="1" applyFont="1" applyNumberFormat="1">
      <alignment horizontal="right" readingOrder="0" shrinkToFit="0" vertical="bottom" wrapText="0"/>
    </xf>
    <xf borderId="22" fillId="3" fontId="25" numFmtId="164" xfId="0" applyAlignment="1" applyBorder="1" applyFont="1" applyNumberFormat="1">
      <alignment readingOrder="0"/>
    </xf>
    <xf borderId="1" fillId="3" fontId="26" numFmtId="165" xfId="0" applyAlignment="1" applyBorder="1" applyFont="1" applyNumberFormat="1">
      <alignment readingOrder="0"/>
    </xf>
    <xf borderId="23" fillId="3" fontId="26" numFmtId="164" xfId="0" applyAlignment="1" applyBorder="1" applyFont="1" applyNumberFormat="1">
      <alignment readingOrder="0"/>
    </xf>
    <xf borderId="22" fillId="3" fontId="29" numFmtId="164" xfId="0" applyBorder="1" applyFont="1" applyNumberFormat="1"/>
    <xf borderId="24" fillId="3" fontId="29" numFmtId="164" xfId="0" applyBorder="1" applyFont="1" applyNumberFormat="1"/>
    <xf borderId="24" fillId="3" fontId="29" numFmtId="164" xfId="0" applyAlignment="1" applyBorder="1" applyFont="1" applyNumberFormat="1">
      <alignment readingOrder="0"/>
    </xf>
    <xf borderId="1" fillId="3" fontId="29" numFmtId="164" xfId="0" applyBorder="1" applyFont="1" applyNumberFormat="1"/>
    <xf borderId="24" fillId="7" fontId="25" numFmtId="164" xfId="0" applyBorder="1" applyFill="1" applyFont="1" applyNumberFormat="1"/>
    <xf borderId="0" fillId="3" fontId="26" numFmtId="0" xfId="0" applyFont="1"/>
    <xf borderId="0" fillId="3" fontId="30" numFmtId="10" xfId="0" applyFont="1" applyNumberFormat="1"/>
    <xf borderId="22" fillId="3" fontId="29" numFmtId="0" xfId="0" applyBorder="1" applyFont="1"/>
    <xf borderId="0" fillId="3" fontId="30" numFmtId="0" xfId="0" applyFont="1"/>
    <xf borderId="24" fillId="3" fontId="29" numFmtId="0" xfId="0" applyAlignment="1" applyBorder="1" applyFont="1">
      <alignment readingOrder="0"/>
    </xf>
    <xf borderId="1" fillId="3" fontId="29" numFmtId="0" xfId="0" applyBorder="1" applyFont="1"/>
    <xf borderId="24" fillId="3" fontId="25" numFmtId="0" xfId="0" applyBorder="1" applyFont="1"/>
    <xf borderId="1" fillId="3" fontId="25" numFmtId="165" xfId="0" applyBorder="1" applyFont="1" applyNumberFormat="1"/>
    <xf borderId="24" fillId="3" fontId="29" numFmtId="0" xfId="0" applyBorder="1" applyFont="1"/>
    <xf borderId="24" fillId="3" fontId="25" numFmtId="0" xfId="0" applyAlignment="1" applyBorder="1" applyFont="1">
      <alignment readingOrder="0"/>
    </xf>
    <xf borderId="24" fillId="3" fontId="25" numFmtId="169" xfId="0" applyAlignment="1" applyBorder="1" applyFont="1" applyNumberFormat="1">
      <alignment readingOrder="0"/>
    </xf>
    <xf borderId="24" fillId="3" fontId="25" numFmtId="164" xfId="0" applyAlignment="1" applyBorder="1" applyFont="1" applyNumberFormat="1">
      <alignment readingOrder="0"/>
    </xf>
    <xf borderId="24" fillId="3" fontId="26" numFmtId="165" xfId="0" applyAlignment="1" applyBorder="1" applyFont="1" applyNumberFormat="1">
      <alignment readingOrder="0"/>
    </xf>
    <xf borderId="24" fillId="3" fontId="26" numFmtId="10" xfId="0" applyAlignment="1" applyBorder="1" applyFont="1" applyNumberFormat="1">
      <alignment readingOrder="0"/>
    </xf>
    <xf borderId="24" fillId="3" fontId="26" numFmtId="0" xfId="0" applyAlignment="1" applyBorder="1" applyFont="1">
      <alignment readingOrder="0"/>
    </xf>
    <xf borderId="22" fillId="3" fontId="20" numFmtId="170" xfId="0" applyAlignment="1" applyBorder="1" applyFont="1" applyNumberFormat="1">
      <alignment readingOrder="0"/>
    </xf>
    <xf borderId="22" fillId="3" fontId="25" numFmtId="10" xfId="0" applyBorder="1" applyFont="1" applyNumberFormat="1"/>
    <xf borderId="22" fillId="3" fontId="25" numFmtId="166" xfId="0" applyAlignment="1" applyBorder="1" applyFont="1" applyNumberFormat="1">
      <alignment vertical="top"/>
    </xf>
    <xf borderId="24" fillId="3" fontId="25" numFmtId="164" xfId="0" applyBorder="1" applyFont="1" applyNumberFormat="1"/>
    <xf borderId="27" fillId="3" fontId="25" numFmtId="164" xfId="0" applyBorder="1" applyFont="1" applyNumberFormat="1"/>
    <xf borderId="2" fillId="3" fontId="25" numFmtId="4" xfId="0" applyAlignment="1" applyBorder="1" applyFont="1" applyNumberFormat="1">
      <alignment readingOrder="0"/>
    </xf>
    <xf borderId="0" fillId="3" fontId="25" numFmtId="165" xfId="0" applyFont="1" applyNumberFormat="1"/>
    <xf borderId="1" fillId="3" fontId="26" numFmtId="164" xfId="0" applyBorder="1" applyFont="1" applyNumberFormat="1"/>
    <xf borderId="22" fillId="3" fontId="26" numFmtId="164" xfId="0" applyBorder="1" applyFont="1" applyNumberFormat="1"/>
    <xf borderId="28" fillId="3" fontId="26" numFmtId="0" xfId="0" applyBorder="1" applyFont="1"/>
    <xf borderId="1" fillId="3" fontId="31" numFmtId="10" xfId="0" applyBorder="1" applyFont="1" applyNumberFormat="1"/>
    <xf borderId="29" fillId="3" fontId="26" numFmtId="164" xfId="0" applyBorder="1" applyFont="1" applyNumberFormat="1"/>
    <xf borderId="0" fillId="3" fontId="25" numFmtId="164" xfId="0" applyFont="1" applyNumberFormat="1"/>
    <xf borderId="27" fillId="3" fontId="25" numFmtId="164" xfId="0" applyAlignment="1" applyBorder="1" applyFont="1" applyNumberFormat="1">
      <alignment vertical="top"/>
    </xf>
    <xf borderId="1" fillId="3" fontId="26" numFmtId="0" xfId="0" applyBorder="1" applyFont="1"/>
    <xf borderId="22" fillId="3" fontId="26" numFmtId="0" xfId="0" applyBorder="1" applyFont="1"/>
    <xf borderId="24" fillId="3" fontId="23" numFmtId="0" xfId="0" applyAlignment="1" applyBorder="1" applyFont="1">
      <alignment vertical="top"/>
    </xf>
    <xf borderId="1" fillId="3" fontId="23" numFmtId="0" xfId="0" applyAlignment="1" applyBorder="1" applyFont="1">
      <alignment vertical="top"/>
    </xf>
    <xf borderId="26" fillId="3" fontId="23" numFmtId="0" xfId="0" applyAlignment="1" applyBorder="1" applyFont="1">
      <alignment vertical="top"/>
    </xf>
    <xf borderId="0" fillId="3" fontId="23" numFmtId="0" xfId="0" applyAlignment="1" applyFont="1">
      <alignment vertical="top"/>
    </xf>
    <xf borderId="22" fillId="3" fontId="25" numFmtId="166" xfId="0" applyAlignment="1" applyBorder="1" applyFont="1" applyNumberFormat="1">
      <alignment horizontal="right"/>
    </xf>
    <xf borderId="24" fillId="7" fontId="25" numFmtId="164" xfId="0" applyAlignment="1" applyBorder="1" applyFont="1" applyNumberFormat="1">
      <alignment readingOrder="0" vertical="top"/>
    </xf>
    <xf borderId="22" fillId="3" fontId="25" numFmtId="164" xfId="0" applyAlignment="1" applyBorder="1" applyFont="1" applyNumberFormat="1">
      <alignment readingOrder="0" vertical="top"/>
    </xf>
    <xf borderId="23" fillId="3" fontId="25" numFmtId="10" xfId="0" applyAlignment="1" applyBorder="1" applyFont="1" applyNumberFormat="1">
      <alignment readingOrder="0" vertical="top"/>
    </xf>
    <xf borderId="22" fillId="3" fontId="25" numFmtId="10" xfId="0" applyAlignment="1" applyBorder="1" applyFont="1" applyNumberFormat="1">
      <alignment horizontal="left"/>
    </xf>
    <xf borderId="24" fillId="3" fontId="26" numFmtId="2" xfId="0" applyAlignment="1" applyBorder="1" applyFont="1" applyNumberFormat="1">
      <alignment readingOrder="0"/>
    </xf>
    <xf borderId="22" fillId="3" fontId="20" numFmtId="4" xfId="0" applyBorder="1" applyFont="1" applyNumberFormat="1"/>
    <xf borderId="24" fillId="3" fontId="32" numFmtId="0" xfId="0" applyAlignment="1" applyBorder="1" applyFont="1">
      <alignment readingOrder="0"/>
    </xf>
    <xf borderId="1" fillId="3" fontId="32" numFmtId="0" xfId="0" applyAlignment="1" applyBorder="1" applyFont="1">
      <alignment readingOrder="0"/>
    </xf>
    <xf borderId="24" fillId="7" fontId="25" numFmtId="164" xfId="0" applyAlignment="1" applyBorder="1" applyFont="1" applyNumberFormat="1">
      <alignment vertical="top"/>
    </xf>
    <xf borderId="22" fillId="3" fontId="25" numFmtId="164" xfId="0" applyAlignment="1" applyBorder="1" applyFont="1" applyNumberFormat="1">
      <alignment vertical="top"/>
    </xf>
    <xf borderId="23" fillId="3" fontId="26" numFmtId="0" xfId="0" applyBorder="1" applyFont="1"/>
    <xf borderId="23" fillId="3" fontId="26" numFmtId="10" xfId="0" applyAlignment="1" applyBorder="1" applyFont="1" applyNumberFormat="1">
      <alignment vertical="top"/>
    </xf>
    <xf borderId="23" fillId="3" fontId="26" numFmtId="164" xfId="0" applyAlignment="1" applyBorder="1" applyFont="1" applyNumberFormat="1">
      <alignment readingOrder="0" vertical="top"/>
    </xf>
    <xf borderId="1" fillId="3" fontId="23" numFmtId="164" xfId="0" applyAlignment="1" applyBorder="1" applyFont="1" applyNumberFormat="1">
      <alignment vertical="top"/>
    </xf>
    <xf borderId="23" fillId="3" fontId="26" numFmtId="164" xfId="0" applyAlignment="1" applyBorder="1" applyFont="1" applyNumberFormat="1">
      <alignment vertical="top"/>
    </xf>
    <xf borderId="24" fillId="3" fontId="26" numFmtId="2" xfId="0" applyAlignment="1" applyBorder="1" applyFont="1" applyNumberFormat="1">
      <alignment vertical="top"/>
    </xf>
    <xf borderId="22" fillId="3" fontId="23" numFmtId="10" xfId="0" applyAlignment="1" applyBorder="1" applyFont="1" applyNumberFormat="1">
      <alignment vertical="top"/>
    </xf>
    <xf borderId="24" fillId="3" fontId="23" numFmtId="164" xfId="0" applyAlignment="1" applyBorder="1" applyFont="1" applyNumberFormat="1">
      <alignment vertical="top"/>
    </xf>
    <xf borderId="24" fillId="0" fontId="25" numFmtId="0" xfId="0" applyAlignment="1" applyBorder="1" applyFont="1">
      <alignment readingOrder="0"/>
    </xf>
    <xf borderId="1" fillId="0" fontId="25" numFmtId="0" xfId="0" applyBorder="1" applyFont="1"/>
    <xf borderId="22" fillId="0" fontId="25" numFmtId="0" xfId="0" applyAlignment="1" applyBorder="1" applyFont="1">
      <alignment readingOrder="0"/>
    </xf>
    <xf borderId="23" fillId="3" fontId="27" numFmtId="0" xfId="0" applyBorder="1" applyFont="1"/>
    <xf borderId="23" fillId="3" fontId="23" numFmtId="10" xfId="0" applyAlignment="1" applyBorder="1" applyFont="1" applyNumberFormat="1">
      <alignment vertical="top"/>
    </xf>
    <xf borderId="23" fillId="3" fontId="23" numFmtId="164" xfId="0" applyAlignment="1" applyBorder="1" applyFont="1" applyNumberFormat="1">
      <alignment vertical="top"/>
    </xf>
    <xf borderId="23" fillId="3" fontId="23" numFmtId="0" xfId="0" applyAlignment="1" applyBorder="1" applyFont="1">
      <alignment vertical="top"/>
    </xf>
    <xf borderId="24" fillId="3" fontId="23" numFmtId="2" xfId="0" applyAlignment="1" applyBorder="1" applyFont="1" applyNumberFormat="1">
      <alignment vertical="top"/>
    </xf>
    <xf borderId="0" fillId="0" fontId="23" numFmtId="0" xfId="0" applyAlignment="1" applyFont="1">
      <alignment vertical="top"/>
    </xf>
    <xf borderId="22" fillId="0" fontId="20" numFmtId="164" xfId="0" applyBorder="1" applyFont="1" applyNumberFormat="1"/>
    <xf borderId="24" fillId="0" fontId="25" numFmtId="2" xfId="0" applyBorder="1" applyFont="1" applyNumberFormat="1"/>
    <xf borderId="1" fillId="0" fontId="25" numFmtId="169" xfId="0" applyBorder="1" applyFont="1" applyNumberFormat="1"/>
    <xf borderId="22" fillId="0" fontId="25" numFmtId="164" xfId="0" applyBorder="1" applyFont="1" applyNumberFormat="1"/>
    <xf borderId="1" fillId="3" fontId="26" numFmtId="0" xfId="0" applyAlignment="1" applyBorder="1" applyFont="1">
      <alignment vertical="bottom"/>
    </xf>
    <xf borderId="22" fillId="3" fontId="23" numFmtId="164" xfId="0" applyAlignment="1" applyBorder="1" applyFont="1" applyNumberFormat="1">
      <alignment vertical="bottom"/>
    </xf>
    <xf borderId="24" fillId="3" fontId="25" numFmtId="0" xfId="0" applyAlignment="1" applyBorder="1" applyFont="1">
      <alignment vertical="bottom"/>
    </xf>
    <xf borderId="22" fillId="3" fontId="26" numFmtId="0" xfId="0" applyAlignment="1" applyBorder="1" applyFont="1">
      <alignment vertical="bottom"/>
    </xf>
    <xf borderId="23" fillId="3" fontId="27" numFmtId="0" xfId="0" applyAlignment="1" applyBorder="1" applyFont="1">
      <alignment vertical="bottom"/>
    </xf>
    <xf borderId="23" fillId="3" fontId="23" numFmtId="10" xfId="0" applyAlignment="1" applyBorder="1" applyFont="1" applyNumberFormat="1">
      <alignment vertical="bottom"/>
    </xf>
    <xf borderId="23" fillId="3" fontId="23" numFmtId="164" xfId="0" applyAlignment="1" applyBorder="1" applyFont="1" applyNumberFormat="1">
      <alignment vertical="bottom"/>
    </xf>
    <xf borderId="23" fillId="3" fontId="23" numFmtId="0" xfId="0" applyAlignment="1" applyBorder="1" applyFont="1">
      <alignment vertical="bottom"/>
    </xf>
    <xf borderId="24" fillId="3" fontId="23" numFmtId="2" xfId="0" applyAlignment="1" applyBorder="1" applyFont="1" applyNumberFormat="1">
      <alignment vertical="bottom"/>
    </xf>
    <xf borderId="22" fillId="3" fontId="33" numFmtId="10" xfId="0" applyAlignment="1" applyBorder="1" applyFont="1" applyNumberFormat="1">
      <alignment readingOrder="0"/>
    </xf>
    <xf borderId="24" fillId="3" fontId="23" numFmtId="164" xfId="0" applyAlignment="1" applyBorder="1" applyFont="1" applyNumberFormat="1">
      <alignment vertical="bottom"/>
    </xf>
    <xf borderId="1" fillId="3" fontId="23" numFmtId="164" xfId="0" applyAlignment="1" applyBorder="1" applyFont="1" applyNumberFormat="1">
      <alignment vertical="bottom"/>
    </xf>
    <xf borderId="22" fillId="3" fontId="23" numFmtId="0" xfId="0" applyAlignment="1" applyBorder="1" applyFont="1">
      <alignment vertical="bottom"/>
    </xf>
    <xf borderId="24" fillId="3" fontId="23" numFmtId="0" xfId="0" applyAlignment="1" applyBorder="1" applyFont="1">
      <alignment vertical="bottom"/>
    </xf>
    <xf borderId="1" fillId="3" fontId="23" numFmtId="0" xfId="0" applyAlignment="1" applyBorder="1" applyFont="1">
      <alignment vertical="bottom"/>
    </xf>
    <xf borderId="26" fillId="3" fontId="23" numFmtId="0" xfId="0" applyAlignment="1" applyBorder="1" applyFont="1">
      <alignment vertical="bottom"/>
    </xf>
    <xf borderId="0" fillId="0" fontId="23" numFmtId="0" xfId="0" applyAlignment="1" applyFont="1">
      <alignment vertical="bottom"/>
    </xf>
    <xf borderId="22" fillId="0" fontId="20" numFmtId="0" xfId="0" applyBorder="1" applyFont="1"/>
    <xf borderId="24" fillId="0" fontId="25" numFmtId="0" xfId="0" applyBorder="1" applyFont="1"/>
    <xf borderId="22" fillId="0" fontId="25" numFmtId="0" xfId="0" applyBorder="1" applyFont="1"/>
    <xf borderId="22" fillId="3" fontId="23" numFmtId="10" xfId="0" applyAlignment="1" applyBorder="1" applyFont="1" applyNumberFormat="1">
      <alignment vertical="bottom"/>
    </xf>
    <xf borderId="24" fillId="3" fontId="30" numFmtId="0" xfId="0" applyBorder="1" applyFont="1"/>
    <xf borderId="22" fillId="3" fontId="23" numFmtId="10" xfId="0" applyAlignment="1" applyBorder="1" applyFont="1" applyNumberFormat="1">
      <alignment readingOrder="0" vertical="bottom"/>
    </xf>
    <xf borderId="24" fillId="0" fontId="34" numFmtId="0" xfId="0" applyBorder="1" applyFont="1"/>
    <xf borderId="1" fillId="0" fontId="34" numFmtId="0" xfId="0" applyBorder="1" applyFont="1"/>
    <xf borderId="22" fillId="0" fontId="34" numFmtId="0" xfId="0" applyBorder="1" applyFont="1"/>
    <xf borderId="24" fillId="3" fontId="35" numFmtId="10" xfId="0" applyBorder="1" applyFont="1" applyNumberFormat="1"/>
    <xf borderId="1" fillId="3" fontId="34" numFmtId="10" xfId="0" applyBorder="1" applyFont="1" applyNumberFormat="1"/>
    <xf borderId="22" fillId="3" fontId="34" numFmtId="10" xfId="0" applyBorder="1" applyFont="1" applyNumberFormat="1"/>
    <xf borderId="24" fillId="3" fontId="34" numFmtId="164" xfId="0" applyBorder="1" applyFont="1" applyNumberFormat="1"/>
    <xf borderId="22" fillId="3" fontId="34" numFmtId="164" xfId="0" applyBorder="1" applyFont="1" applyNumberFormat="1"/>
    <xf borderId="23" fillId="3" fontId="34" numFmtId="10" xfId="0" applyBorder="1" applyFont="1" applyNumberFormat="1"/>
    <xf borderId="24" fillId="3" fontId="34" numFmtId="0" xfId="0" applyAlignment="1" applyBorder="1" applyFont="1">
      <alignment vertical="bottom"/>
    </xf>
    <xf borderId="1" fillId="3" fontId="27" numFmtId="0" xfId="0" applyAlignment="1" applyBorder="1" applyFont="1">
      <alignment vertical="bottom"/>
    </xf>
    <xf borderId="22" fillId="3" fontId="27" numFmtId="0" xfId="0" applyAlignment="1" applyBorder="1" applyFont="1">
      <alignment vertical="bottom"/>
    </xf>
    <xf borderId="22" fillId="3" fontId="30" numFmtId="10" xfId="0" applyAlignment="1" applyBorder="1" applyFont="1" applyNumberFormat="1">
      <alignment readingOrder="0"/>
    </xf>
    <xf borderId="22" fillId="0" fontId="23" numFmtId="0" xfId="0" applyAlignment="1" applyBorder="1" applyFont="1">
      <alignment vertical="bottom"/>
    </xf>
    <xf borderId="24" fillId="0" fontId="34" numFmtId="0" xfId="0" applyAlignment="1" applyBorder="1" applyFont="1">
      <alignment vertical="bottom"/>
    </xf>
    <xf borderId="1" fillId="0" fontId="34" numFmtId="0" xfId="0" applyAlignment="1" applyBorder="1" applyFont="1">
      <alignment vertical="bottom"/>
    </xf>
    <xf borderId="22" fillId="0" fontId="34" numFmtId="0" xfId="0" applyAlignment="1" applyBorder="1" applyFont="1">
      <alignment vertical="bottom"/>
    </xf>
    <xf borderId="24" fillId="0" fontId="36" numFmtId="0" xfId="0" applyAlignment="1" applyBorder="1" applyFont="1">
      <alignment readingOrder="0"/>
    </xf>
    <xf borderId="1" fillId="0" fontId="37" numFmtId="0" xfId="0" applyAlignment="1" applyBorder="1" applyFont="1">
      <alignment horizontal="right" readingOrder="0" shrinkToFit="0" vertical="bottom" wrapText="0"/>
    </xf>
    <xf borderId="1" fillId="3" fontId="38" numFmtId="171" xfId="0" applyAlignment="1" applyBorder="1" applyFont="1" applyNumberFormat="1">
      <alignment horizontal="right" readingOrder="0" shrinkToFit="0" wrapText="1"/>
    </xf>
    <xf borderId="22" fillId="0" fontId="36" numFmtId="0" xfId="0" applyBorder="1" applyFont="1"/>
    <xf borderId="24" fillId="3" fontId="39" numFmtId="10" xfId="0" applyBorder="1" applyFont="1" applyNumberFormat="1"/>
    <xf borderId="1" fillId="3" fontId="36" numFmtId="10" xfId="0" applyBorder="1" applyFont="1" applyNumberFormat="1"/>
    <xf borderId="22" fillId="3" fontId="36" numFmtId="10" xfId="0" applyBorder="1" applyFont="1" applyNumberFormat="1"/>
    <xf borderId="24" fillId="3" fontId="36" numFmtId="164" xfId="0" applyBorder="1" applyFont="1" applyNumberFormat="1"/>
    <xf borderId="22" fillId="3" fontId="36" numFmtId="164" xfId="0" applyBorder="1" applyFont="1" applyNumberFormat="1"/>
    <xf borderId="23" fillId="3" fontId="36" numFmtId="10" xfId="0" applyBorder="1" applyFont="1" applyNumberFormat="1"/>
    <xf borderId="24" fillId="3" fontId="36" numFmtId="0" xfId="0" applyBorder="1" applyFont="1"/>
    <xf borderId="23" fillId="3" fontId="20" numFmtId="0" xfId="0" applyBorder="1" applyFont="1"/>
    <xf borderId="23" fillId="3" fontId="20" numFmtId="10" xfId="0" applyBorder="1" applyFont="1" applyNumberFormat="1"/>
    <xf borderId="23" fillId="3" fontId="20" numFmtId="164" xfId="0" applyBorder="1" applyFont="1" applyNumberFormat="1"/>
    <xf borderId="24" fillId="3" fontId="40" numFmtId="0" xfId="0" applyAlignment="1" applyBorder="1" applyFont="1">
      <alignment horizontal="left" shrinkToFit="0" wrapText="1"/>
    </xf>
    <xf borderId="1" fillId="0" fontId="36" numFmtId="0" xfId="0" applyBorder="1" applyFont="1"/>
    <xf borderId="30" fillId="0" fontId="20" numFmtId="0" xfId="0" applyBorder="1" applyFont="1"/>
    <xf borderId="31" fillId="0" fontId="23" numFmtId="167" xfId="0" applyAlignment="1" applyBorder="1" applyFont="1" applyNumberFormat="1">
      <alignment readingOrder="0" vertical="bottom"/>
    </xf>
    <xf borderId="32" fillId="0" fontId="20" numFmtId="0" xfId="0" applyBorder="1" applyFont="1"/>
    <xf borderId="32" fillId="0" fontId="20" numFmtId="172" xfId="0" applyBorder="1" applyFont="1" applyNumberFormat="1"/>
    <xf borderId="31" fillId="0" fontId="20" numFmtId="10" xfId="0" applyAlignment="1" applyBorder="1" applyFont="1" applyNumberFormat="1">
      <alignment readingOrder="0"/>
    </xf>
    <xf borderId="32" fillId="0" fontId="20" numFmtId="10" xfId="0" applyAlignment="1" applyBorder="1" applyFont="1" applyNumberFormat="1">
      <alignment readingOrder="0"/>
    </xf>
    <xf borderId="30" fillId="3" fontId="20" numFmtId="10" xfId="0" applyAlignment="1" applyBorder="1" applyFont="1" applyNumberFormat="1">
      <alignment readingOrder="0"/>
    </xf>
    <xf borderId="31" fillId="0" fontId="20" numFmtId="164" xfId="0" applyBorder="1" applyFont="1" applyNumberFormat="1"/>
    <xf borderId="33" fillId="0" fontId="20" numFmtId="10" xfId="0" applyBorder="1" applyFont="1" applyNumberFormat="1"/>
    <xf borderId="31" fillId="0" fontId="20" numFmtId="10" xfId="0" applyBorder="1" applyFont="1" applyNumberFormat="1"/>
    <xf borderId="32" fillId="3" fontId="20" numFmtId="10" xfId="0" applyBorder="1" applyFont="1" applyNumberFormat="1"/>
    <xf borderId="32" fillId="3" fontId="20" numFmtId="0" xfId="0" applyBorder="1" applyFont="1"/>
    <xf borderId="30" fillId="3" fontId="20" numFmtId="0" xfId="0" applyBorder="1" applyFont="1"/>
    <xf borderId="33" fillId="3" fontId="20" numFmtId="0" xfId="0" applyBorder="1" applyFont="1"/>
    <xf borderId="33" fillId="3" fontId="20" numFmtId="10" xfId="0" applyBorder="1" applyFont="1" applyNumberFormat="1"/>
    <xf borderId="33" fillId="3" fontId="20" numFmtId="164" xfId="0" applyBorder="1" applyFont="1" applyNumberFormat="1"/>
    <xf borderId="31" fillId="3" fontId="20" numFmtId="2" xfId="0" applyBorder="1" applyFont="1" applyNumberFormat="1"/>
    <xf borderId="30" fillId="3" fontId="20" numFmtId="10" xfId="0" applyBorder="1" applyFont="1" applyNumberFormat="1"/>
    <xf borderId="31" fillId="3" fontId="20" numFmtId="164" xfId="0" applyBorder="1" applyFont="1" applyNumberFormat="1"/>
    <xf borderId="32" fillId="3" fontId="20" numFmtId="164" xfId="0" applyBorder="1" applyFont="1" applyNumberFormat="1"/>
    <xf borderId="31" fillId="3" fontId="20" numFmtId="0" xfId="0" applyBorder="1" applyFont="1"/>
    <xf borderId="34" fillId="3" fontId="20" numFmtId="0" xfId="0" applyBorder="1" applyFont="1"/>
    <xf borderId="0" fillId="0" fontId="23" numFmtId="0" xfId="0" applyAlignment="1" applyFont="1">
      <alignment horizontal="right" readingOrder="0" vertical="bottom"/>
    </xf>
    <xf borderId="0" fillId="0" fontId="23" numFmtId="167" xfId="0" applyAlignment="1" applyFont="1" applyNumberFormat="1">
      <alignment readingOrder="0" vertical="bottom"/>
    </xf>
    <xf borderId="0" fillId="0" fontId="23" numFmtId="165" xfId="0" applyAlignment="1" applyFont="1" applyNumberFormat="1">
      <alignment readingOrder="0" vertical="bottom"/>
    </xf>
    <xf borderId="0" fillId="0" fontId="23" numFmtId="164" xfId="0" applyAlignment="1" applyFont="1" applyNumberFormat="1">
      <alignment readingOrder="0" vertical="bottom"/>
    </xf>
    <xf borderId="0" fillId="0" fontId="23" numFmtId="164" xfId="0" applyAlignment="1" applyFont="1" applyNumberFormat="1">
      <alignment vertical="top"/>
    </xf>
    <xf borderId="0" fillId="0" fontId="41" numFmtId="0" xfId="0" applyAlignment="1" applyFont="1">
      <alignment shrinkToFit="0" vertical="bottom" wrapText="0"/>
    </xf>
    <xf borderId="3" fillId="0" fontId="41" numFmtId="0" xfId="0" applyAlignment="1" applyBorder="1" applyFont="1">
      <alignment shrinkToFit="0" vertical="bottom" wrapText="0"/>
    </xf>
    <xf borderId="0" fillId="3" fontId="23" numFmtId="0" xfId="0" applyAlignment="1" applyFont="1">
      <alignment readingOrder="0" shrinkToFit="0" vertical="bottom" wrapText="0"/>
    </xf>
    <xf borderId="3" fillId="3" fontId="23" numFmtId="0" xfId="0" applyAlignment="1" applyBorder="1" applyFont="1">
      <alignment readingOrder="0" shrinkToFit="0" vertical="bottom" wrapText="0"/>
    </xf>
    <xf borderId="3" fillId="0" fontId="23" numFmtId="0" xfId="0" applyAlignment="1" applyBorder="1" applyFont="1">
      <alignment vertical="bottom"/>
    </xf>
    <xf borderId="27" fillId="3" fontId="42" numFmtId="0" xfId="0" applyAlignment="1" applyBorder="1" applyFont="1">
      <alignment horizontal="center" readingOrder="0"/>
    </xf>
    <xf borderId="2" fillId="0" fontId="20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 vertical="center"/>
    </xf>
    <xf borderId="0" fillId="2" fontId="43" numFmtId="0" xfId="0" applyFont="1"/>
    <xf borderId="1" fillId="0" fontId="1" numFmtId="0" xfId="0" applyAlignment="1" applyBorder="1" applyFont="1">
      <alignment horizontal="right" readingOrder="0" vertical="center"/>
    </xf>
    <xf borderId="8" fillId="3" fontId="23" numFmtId="0" xfId="0" applyAlignment="1" applyBorder="1" applyFont="1">
      <alignment horizontal="center" shrinkToFit="0" vertical="center" wrapText="1"/>
    </xf>
    <xf borderId="35" fillId="0" fontId="23" numFmtId="0" xfId="0" applyAlignment="1" applyBorder="1" applyFont="1">
      <alignment horizontal="center" shrinkToFit="0" vertical="center" wrapText="1"/>
    </xf>
    <xf borderId="36" fillId="0" fontId="23" numFmtId="0" xfId="0" applyAlignment="1" applyBorder="1" applyFont="1">
      <alignment horizontal="center" shrinkToFit="0" vertical="center" wrapText="1"/>
    </xf>
    <xf borderId="37" fillId="0" fontId="23" numFmtId="0" xfId="0" applyAlignment="1" applyBorder="1" applyFont="1">
      <alignment horizontal="center" readingOrder="0" shrinkToFit="0" vertical="center" wrapText="1"/>
    </xf>
    <xf borderId="36" fillId="0" fontId="23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8" fillId="4" fontId="44" numFmtId="0" xfId="0" applyAlignment="1" applyBorder="1" applyFont="1">
      <alignment horizontal="center" readingOrder="0" shrinkToFit="0" vertical="center" wrapText="1"/>
    </xf>
    <xf borderId="38" fillId="3" fontId="23" numFmtId="0" xfId="0" applyAlignment="1" applyBorder="1" applyFont="1">
      <alignment horizontal="center" readingOrder="0" shrinkToFit="0" vertical="center" wrapText="1"/>
    </xf>
    <xf borderId="39" fillId="3" fontId="23" numFmtId="0" xfId="0" applyAlignment="1" applyBorder="1" applyFont="1">
      <alignment horizontal="center" readingOrder="0" shrinkToFit="0" vertical="center" wrapText="1"/>
    </xf>
    <xf borderId="40" fillId="3" fontId="23" numFmtId="0" xfId="0" applyAlignment="1" applyBorder="1" applyFont="1">
      <alignment horizontal="center" readingOrder="0" shrinkToFit="0" vertical="center" wrapText="1"/>
    </xf>
    <xf borderId="41" fillId="3" fontId="23" numFmtId="0" xfId="0" applyAlignment="1" applyBorder="1" applyFont="1">
      <alignment horizontal="center" readingOrder="0" shrinkToFit="0" vertical="center" wrapText="1"/>
    </xf>
    <xf borderId="42" fillId="3" fontId="23" numFmtId="0" xfId="0" applyAlignment="1" applyBorder="1" applyFont="1">
      <alignment horizontal="center" readingOrder="0" shrinkToFit="0" vertical="center" wrapText="1"/>
    </xf>
    <xf borderId="43" fillId="3" fontId="23" numFmtId="3" xfId="0" applyAlignment="1" applyBorder="1" applyFont="1" applyNumberFormat="1">
      <alignment readingOrder="0" vertical="bottom"/>
    </xf>
    <xf borderId="44" fillId="3" fontId="23" numFmtId="2" xfId="0" applyAlignment="1" applyBorder="1" applyFont="1" applyNumberFormat="1">
      <alignment vertical="bottom"/>
    </xf>
    <xf borderId="45" fillId="3" fontId="45" numFmtId="2" xfId="0" applyAlignment="1" applyBorder="1" applyFont="1" applyNumberFormat="1">
      <alignment vertical="bottom"/>
    </xf>
    <xf borderId="46" fillId="3" fontId="23" numFmtId="10" xfId="0" applyAlignment="1" applyBorder="1" applyFont="1" applyNumberFormat="1">
      <alignment vertical="bottom"/>
    </xf>
    <xf borderId="44" fillId="3" fontId="23" numFmtId="4" xfId="0" applyAlignment="1" applyBorder="1" applyFont="1" applyNumberFormat="1">
      <alignment vertical="bottom"/>
    </xf>
    <xf borderId="1" fillId="3" fontId="23" numFmtId="0" xfId="0" applyAlignment="1" applyBorder="1" applyFont="1">
      <alignment readingOrder="0" vertical="bottom"/>
    </xf>
    <xf borderId="47" fillId="3" fontId="23" numFmtId="164" xfId="0" applyAlignment="1" applyBorder="1" applyFont="1" applyNumberFormat="1">
      <alignment horizontal="center" readingOrder="0" shrinkToFit="0" vertical="bottom" wrapText="1"/>
    </xf>
    <xf borderId="0" fillId="3" fontId="39" numFmtId="0" xfId="0" applyAlignment="1" applyFont="1">
      <alignment readingOrder="0"/>
    </xf>
    <xf borderId="4" fillId="3" fontId="23" numFmtId="0" xfId="0" applyAlignment="1" applyBorder="1" applyFont="1">
      <alignment vertical="bottom"/>
    </xf>
    <xf borderId="45" fillId="3" fontId="23" numFmtId="0" xfId="0" applyAlignment="1" applyBorder="1" applyFont="1">
      <alignment vertical="bottom"/>
    </xf>
    <xf borderId="48" fillId="3" fontId="23" numFmtId="2" xfId="0" applyAlignment="1" applyBorder="1" applyFont="1" applyNumberFormat="1">
      <alignment vertical="top"/>
    </xf>
    <xf borderId="1" fillId="3" fontId="23" numFmtId="2" xfId="0" applyAlignment="1" applyBorder="1" applyFont="1" applyNumberFormat="1">
      <alignment vertical="top"/>
    </xf>
    <xf borderId="25" fillId="3" fontId="23" numFmtId="0" xfId="0" applyAlignment="1" applyBorder="1" applyFont="1">
      <alignment readingOrder="0" vertical="bottom"/>
    </xf>
    <xf borderId="0" fillId="3" fontId="23" numFmtId="0" xfId="0" applyAlignment="1" applyFont="1">
      <alignment vertical="bottom"/>
    </xf>
    <xf borderId="43" fillId="3" fontId="1" numFmtId="0" xfId="0" applyAlignment="1" applyBorder="1" applyFont="1">
      <alignment horizontal="left" readingOrder="0" vertical="bottom"/>
    </xf>
    <xf borderId="44" fillId="3" fontId="23" numFmtId="4" xfId="0" applyAlignment="1" applyBorder="1" applyFont="1" applyNumberFormat="1">
      <alignment readingOrder="0" vertical="bottom"/>
    </xf>
    <xf borderId="47" fillId="3" fontId="23" numFmtId="2" xfId="0" applyAlignment="1" applyBorder="1" applyFont="1" applyNumberFormat="1">
      <alignment horizontal="right" vertical="bottom"/>
    </xf>
    <xf borderId="48" fillId="3" fontId="23" numFmtId="164" xfId="0" applyAlignment="1" applyBorder="1" applyFont="1" applyNumberFormat="1">
      <alignment readingOrder="0" vertical="bottom"/>
    </xf>
    <xf borderId="44" fillId="3" fontId="23" numFmtId="1" xfId="0" applyAlignment="1" applyBorder="1" applyFont="1" applyNumberFormat="1">
      <alignment horizontal="right" vertical="bottom"/>
    </xf>
    <xf borderId="1" fillId="3" fontId="23" numFmtId="2" xfId="0" applyAlignment="1" applyBorder="1" applyFont="1" applyNumberFormat="1">
      <alignment readingOrder="0" vertical="bottom"/>
    </xf>
    <xf borderId="49" fillId="3" fontId="23" numFmtId="4" xfId="0" applyAlignment="1" applyBorder="1" applyFont="1" applyNumberFormat="1">
      <alignment vertical="bottom"/>
    </xf>
    <xf borderId="48" fillId="3" fontId="23" numFmtId="2" xfId="0" applyAlignment="1" applyBorder="1" applyFont="1" applyNumberFormat="1">
      <alignment vertical="bottom"/>
    </xf>
    <xf borderId="25" fillId="3" fontId="23" numFmtId="0" xfId="0" applyAlignment="1" applyBorder="1" applyFont="1">
      <alignment vertical="bottom"/>
    </xf>
    <xf borderId="48" fillId="3" fontId="23" numFmtId="4" xfId="0" applyAlignment="1" applyBorder="1" applyFont="1" applyNumberFormat="1">
      <alignment readingOrder="0" vertical="bottom"/>
    </xf>
    <xf borderId="44" fillId="3" fontId="23" numFmtId="2" xfId="0" applyAlignment="1" applyBorder="1" applyFont="1" applyNumberFormat="1">
      <alignment horizontal="right" vertical="bottom"/>
    </xf>
    <xf borderId="1" fillId="3" fontId="23" numFmtId="4" xfId="0" applyAlignment="1" applyBorder="1" applyFont="1" applyNumberFormat="1">
      <alignment readingOrder="0" vertical="bottom"/>
    </xf>
    <xf borderId="25" fillId="3" fontId="23" numFmtId="2" xfId="0" applyAlignment="1" applyBorder="1" applyFont="1" applyNumberFormat="1">
      <alignment vertical="bottom"/>
    </xf>
    <xf borderId="43" fillId="3" fontId="23" numFmtId="0" xfId="0" applyAlignment="1" applyBorder="1" applyFont="1">
      <alignment readingOrder="0" vertical="bottom"/>
    </xf>
    <xf borderId="49" fillId="3" fontId="23" numFmtId="10" xfId="0" applyAlignment="1" applyBorder="1" applyFont="1" applyNumberFormat="1">
      <alignment vertical="bottom"/>
    </xf>
    <xf borderId="0" fillId="3" fontId="39" numFmtId="173" xfId="0" applyAlignment="1" applyFont="1" applyNumberFormat="1">
      <alignment horizontal="right"/>
    </xf>
    <xf borderId="43" fillId="3" fontId="23" numFmtId="0" xfId="0" applyAlignment="1" applyBorder="1" applyFont="1">
      <alignment readingOrder="0" vertical="top"/>
    </xf>
    <xf borderId="49" fillId="3" fontId="23" numFmtId="10" xfId="0" applyAlignment="1" applyBorder="1" applyFont="1" applyNumberFormat="1">
      <alignment vertical="top"/>
    </xf>
    <xf borderId="25" fillId="3" fontId="23" numFmtId="0" xfId="0" applyAlignment="1" applyBorder="1" applyFont="1">
      <alignment vertical="top"/>
    </xf>
    <xf borderId="25" fillId="3" fontId="23" numFmtId="0" xfId="0" applyAlignment="1" applyBorder="1" applyFont="1">
      <alignment readingOrder="0" vertical="top"/>
    </xf>
    <xf borderId="1" fillId="3" fontId="23" numFmtId="2" xfId="0" applyAlignment="1" applyBorder="1" applyFont="1" applyNumberFormat="1">
      <alignment vertical="bottom"/>
    </xf>
    <xf borderId="49" fillId="3" fontId="23" numFmtId="4" xfId="0" applyAlignment="1" applyBorder="1" applyFont="1" applyNumberFormat="1">
      <alignment readingOrder="0" vertical="top"/>
    </xf>
    <xf borderId="0" fillId="3" fontId="20" numFmtId="0" xfId="0" applyAlignment="1" applyFont="1">
      <alignment vertical="top"/>
    </xf>
    <xf borderId="44" fillId="3" fontId="1" numFmtId="4" xfId="0" applyAlignment="1" applyBorder="1" applyFont="1" applyNumberFormat="1">
      <alignment horizontal="center" readingOrder="0" vertical="bottom"/>
    </xf>
    <xf borderId="47" fillId="3" fontId="1" numFmtId="2" xfId="0" applyAlignment="1" applyBorder="1" applyFont="1" applyNumberFormat="1">
      <alignment horizontal="center" vertical="bottom"/>
    </xf>
    <xf borderId="48" fillId="3" fontId="1" numFmtId="164" xfId="0" applyAlignment="1" applyBorder="1" applyFont="1" applyNumberFormat="1">
      <alignment horizontal="center" readingOrder="0" vertical="bottom"/>
    </xf>
    <xf borderId="44" fillId="3" fontId="1" numFmtId="1" xfId="0" applyAlignment="1" applyBorder="1" applyFont="1" applyNumberFormat="1">
      <alignment horizontal="center" vertical="bottom"/>
    </xf>
    <xf borderId="44" fillId="3" fontId="1" numFmtId="2" xfId="0" applyAlignment="1" applyBorder="1" applyFont="1" applyNumberFormat="1">
      <alignment horizontal="center" readingOrder="0" vertical="bottom"/>
    </xf>
    <xf borderId="44" fillId="3" fontId="1" numFmtId="2" xfId="0" applyAlignment="1" applyBorder="1" applyFont="1" applyNumberFormat="1">
      <alignment horizontal="center" vertical="bottom"/>
    </xf>
    <xf borderId="1" fillId="3" fontId="1" numFmtId="4" xfId="0" applyAlignment="1" applyBorder="1" applyFont="1" applyNumberFormat="1">
      <alignment horizontal="center" readingOrder="0" vertical="bottom"/>
    </xf>
    <xf borderId="47" fillId="3" fontId="1" numFmtId="164" xfId="0" applyAlignment="1" applyBorder="1" applyFont="1" applyNumberFormat="1">
      <alignment horizontal="center" readingOrder="0" shrinkToFit="0" vertical="bottom" wrapText="1"/>
    </xf>
    <xf borderId="47" fillId="3" fontId="38" numFmtId="4" xfId="0" applyAlignment="1" applyBorder="1" applyFont="1" applyNumberFormat="1">
      <alignment horizontal="center" vertical="bottom"/>
    </xf>
    <xf borderId="48" fillId="3" fontId="1" numFmtId="2" xfId="0" applyAlignment="1" applyBorder="1" applyFont="1" applyNumberFormat="1">
      <alignment horizontal="center" vertical="bottom"/>
    </xf>
    <xf borderId="1" fillId="3" fontId="1" numFmtId="174" xfId="0" applyAlignment="1" applyBorder="1" applyFont="1" applyNumberFormat="1">
      <alignment horizontal="center" vertical="bottom"/>
    </xf>
    <xf borderId="25" fillId="3" fontId="1" numFmtId="2" xfId="0" applyAlignment="1" applyBorder="1" applyFont="1" applyNumberFormat="1">
      <alignment horizontal="center" vertical="bottom"/>
    </xf>
    <xf borderId="48" fillId="3" fontId="1" numFmtId="2" xfId="0" applyAlignment="1" applyBorder="1" applyFont="1" applyNumberFormat="1">
      <alignment horizontal="center" vertical="top"/>
    </xf>
    <xf borderId="1" fillId="3" fontId="1" numFmtId="2" xfId="0" applyAlignment="1" applyBorder="1" applyFont="1" applyNumberFormat="1">
      <alignment horizontal="center" vertical="top"/>
    </xf>
    <xf borderId="25" fillId="3" fontId="1" numFmtId="0" xfId="0" applyAlignment="1" applyBorder="1" applyFont="1">
      <alignment horizontal="left" readingOrder="0" vertical="top"/>
    </xf>
    <xf borderId="48" fillId="3" fontId="23" numFmtId="168" xfId="0" applyAlignment="1" applyBorder="1" applyFont="1" applyNumberFormat="1">
      <alignment vertical="bottom"/>
    </xf>
    <xf borderId="48" fillId="3" fontId="23" numFmtId="2" xfId="0" applyAlignment="1" applyBorder="1" applyFont="1" applyNumberFormat="1">
      <alignment readingOrder="0" vertical="top"/>
    </xf>
    <xf borderId="1" fillId="3" fontId="23" numFmtId="2" xfId="0" applyAlignment="1" applyBorder="1" applyFont="1" applyNumberFormat="1">
      <alignment readingOrder="0" vertical="top"/>
    </xf>
    <xf borderId="49" fillId="3" fontId="23" numFmtId="0" xfId="0" applyAlignment="1" applyBorder="1" applyFont="1">
      <alignment vertical="bottom"/>
    </xf>
    <xf borderId="48" fillId="3" fontId="23" numFmtId="0" xfId="0" applyAlignment="1" applyBorder="1" applyFont="1">
      <alignment vertical="bottom"/>
    </xf>
    <xf borderId="47" fillId="3" fontId="23" numFmtId="0" xfId="0" applyAlignment="1" applyBorder="1" applyFont="1">
      <alignment readingOrder="0" shrinkToFit="0" vertical="top" wrapText="1"/>
    </xf>
    <xf borderId="0" fillId="3" fontId="39" numFmtId="2" xfId="0" applyFont="1" applyNumberFormat="1"/>
    <xf borderId="0" fillId="3" fontId="46" numFmtId="2" xfId="0" applyFont="1" applyNumberFormat="1"/>
    <xf borderId="1" fillId="3" fontId="1" numFmtId="0" xfId="0" applyAlignment="1" applyBorder="1" applyFont="1">
      <alignment readingOrder="0"/>
    </xf>
    <xf borderId="43" fillId="3" fontId="23" numFmtId="164" xfId="0" applyAlignment="1" applyBorder="1" applyFont="1" applyNumberFormat="1">
      <alignment vertical="bottom"/>
    </xf>
    <xf borderId="44" fillId="3" fontId="23" numFmtId="164" xfId="0" applyAlignment="1" applyBorder="1" applyFont="1" applyNumberFormat="1">
      <alignment vertical="bottom"/>
    </xf>
    <xf borderId="47" fillId="3" fontId="23" numFmtId="164" xfId="0" applyAlignment="1" applyBorder="1" applyFont="1" applyNumberFormat="1">
      <alignment vertical="bottom"/>
    </xf>
    <xf borderId="50" fillId="3" fontId="23" numFmtId="164" xfId="0" applyAlignment="1" applyBorder="1" applyFont="1" applyNumberFormat="1">
      <alignment readingOrder="0" vertical="bottom"/>
    </xf>
    <xf borderId="51" fillId="3" fontId="23" numFmtId="164" xfId="0" applyAlignment="1" applyBorder="1" applyFont="1" applyNumberFormat="1">
      <alignment readingOrder="0" vertical="bottom"/>
    </xf>
    <xf borderId="52" fillId="3" fontId="23" numFmtId="164" xfId="0" applyAlignment="1" applyBorder="1" applyFont="1" applyNumberFormat="1">
      <alignment readingOrder="0" vertical="bottom"/>
    </xf>
    <xf borderId="53" fillId="3" fontId="23" numFmtId="164" xfId="0" applyAlignment="1" applyBorder="1" applyFont="1" applyNumberFormat="1">
      <alignment readingOrder="0" vertical="bottom"/>
    </xf>
    <xf borderId="51" fillId="3" fontId="23" numFmtId="0" xfId="0" applyAlignment="1" applyBorder="1" applyFont="1">
      <alignment vertical="bottom"/>
    </xf>
    <xf borderId="51" fillId="3" fontId="23" numFmtId="164" xfId="0" applyAlignment="1" applyBorder="1" applyFont="1" applyNumberFormat="1">
      <alignment vertical="bottom"/>
    </xf>
    <xf borderId="54" fillId="3" fontId="23" numFmtId="0" xfId="0" applyAlignment="1" applyBorder="1" applyFont="1">
      <alignment vertical="bottom"/>
    </xf>
    <xf borderId="55" fillId="3" fontId="23" numFmtId="0" xfId="0" applyAlignment="1" applyBorder="1" applyFont="1">
      <alignment vertical="bottom"/>
    </xf>
    <xf borderId="53" fillId="3" fontId="23" numFmtId="0" xfId="0" applyAlignment="1" applyBorder="1" applyFont="1">
      <alignment vertical="bottom"/>
    </xf>
    <xf borderId="56" fillId="3" fontId="23" numFmtId="0" xfId="0" applyAlignment="1" applyBorder="1" applyFont="1">
      <alignment vertical="bottom"/>
    </xf>
    <xf borderId="0" fillId="0" fontId="41" numFmtId="0" xfId="0" applyAlignment="1" applyFont="1">
      <alignment horizontal="center" shrinkToFit="0" vertical="center" wrapText="1"/>
    </xf>
    <xf borderId="0" fillId="0" fontId="41" numFmtId="3" xfId="0" applyAlignment="1" applyFont="1" applyNumberFormat="1">
      <alignment horizontal="center" readingOrder="0" shrinkToFit="0" vertical="center" wrapText="1"/>
    </xf>
    <xf borderId="0" fillId="0" fontId="29" numFmtId="3" xfId="0" applyAlignment="1" applyFont="1" applyNumberFormat="1">
      <alignment horizontal="center" readingOrder="0" shrinkToFit="0" vertical="center" wrapText="1"/>
    </xf>
    <xf borderId="0" fillId="0" fontId="29" numFmtId="164" xfId="0" applyAlignment="1" applyFont="1" applyNumberFormat="1">
      <alignment horizontal="left" readingOrder="0" shrinkToFit="0" vertical="top" wrapText="1"/>
    </xf>
    <xf borderId="0" fillId="0" fontId="29" numFmtId="164" xfId="0" applyAlignment="1" applyFont="1" applyNumberFormat="1">
      <alignment horizontal="left" shrinkToFit="0" vertical="top" wrapText="1"/>
    </xf>
    <xf borderId="0" fillId="0" fontId="29" numFmtId="0" xfId="0" applyAlignment="1" applyFont="1">
      <alignment horizontal="left" readingOrder="0" shrinkToFit="0" vertical="top" wrapText="1"/>
    </xf>
    <xf borderId="0" fillId="0" fontId="23" numFmtId="0" xfId="0" applyAlignment="1" applyFont="1">
      <alignment horizontal="left" shrinkToFit="0" vertical="top" wrapText="1"/>
    </xf>
    <xf borderId="0" fillId="0" fontId="23" numFmtId="0" xfId="0" applyAlignment="1" applyFont="1">
      <alignment horizontal="left" readingOrder="0" shrinkToFit="0" vertical="top" wrapText="1"/>
    </xf>
    <xf borderId="0" fillId="0" fontId="20" numFmtId="0" xfId="0" applyAlignment="1" applyFont="1">
      <alignment horizontal="left" shrinkToFit="0" vertical="top" wrapText="1"/>
    </xf>
    <xf borderId="0" fillId="7" fontId="47" numFmtId="0" xfId="0" applyFont="1"/>
    <xf borderId="0" fillId="7" fontId="13" numFmtId="0" xfId="0" applyFont="1"/>
    <xf borderId="57" fillId="3" fontId="23" numFmtId="0" xfId="0" applyAlignment="1" applyBorder="1" applyFont="1">
      <alignment readingOrder="0" shrinkToFit="0" vertical="bottom" wrapText="0"/>
    </xf>
    <xf borderId="0" fillId="3" fontId="23" numFmtId="0" xfId="0" applyAlignment="1" applyFont="1">
      <alignment shrinkToFit="0" vertical="bottom" wrapText="0"/>
    </xf>
    <xf borderId="57" fillId="3" fontId="23" numFmtId="0" xfId="0" applyAlignment="1" applyBorder="1" applyFont="1">
      <alignment shrinkToFit="0" vertical="bottom" wrapText="0"/>
    </xf>
    <xf borderId="0" fillId="0" fontId="36" numFmtId="0" xfId="0" applyFont="1"/>
    <xf borderId="27" fillId="0" fontId="20" numFmtId="0" xfId="0" applyAlignment="1" applyBorder="1" applyFont="1">
      <alignment horizontal="center" readingOrder="0"/>
    </xf>
    <xf borderId="58" fillId="0" fontId="20" numFmtId="0" xfId="0" applyBorder="1" applyFont="1"/>
    <xf borderId="0" fillId="0" fontId="20" numFmtId="0" xfId="0" applyAlignment="1" applyFont="1">
      <alignment horizontal="center" readingOrder="0"/>
    </xf>
    <xf borderId="27" fillId="3" fontId="48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0" fillId="0" fontId="49" numFmtId="0" xfId="0" applyFont="1"/>
    <xf borderId="1" fillId="0" fontId="50" numFmtId="0" xfId="0" applyAlignment="1" applyBorder="1" applyFont="1">
      <alignment horizontal="center" readingOrder="0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23" numFmtId="0" xfId="0" applyAlignment="1" applyBorder="1" applyFont="1">
      <alignment readingOrder="0" vertical="bottom"/>
    </xf>
    <xf borderId="1" fillId="0" fontId="23" numFmtId="0" xfId="0" applyAlignment="1" applyBorder="1" applyFont="1">
      <alignment vertical="bottom"/>
    </xf>
    <xf borderId="0" fillId="0" fontId="23" numFmtId="175" xfId="0" applyAlignment="1" applyFont="1" applyNumberFormat="1">
      <alignment horizontal="right" vertical="bottom"/>
    </xf>
    <xf borderId="0" fillId="0" fontId="23" numFmtId="176" xfId="0" applyAlignment="1" applyFont="1" applyNumberFormat="1">
      <alignment horizontal="right" vertical="bottom"/>
    </xf>
    <xf borderId="0" fillId="0" fontId="23" numFmtId="0" xfId="0" applyAlignment="1" applyFont="1">
      <alignment vertical="bottom"/>
    </xf>
    <xf borderId="0" fillId="0" fontId="23" numFmtId="177" xfId="0" applyAlignment="1" applyFont="1" applyNumberFormat="1">
      <alignment horizontal="right" vertical="bottom"/>
    </xf>
    <xf borderId="1" fillId="0" fontId="20" numFmtId="0" xfId="0" applyAlignment="1" applyBorder="1" applyFont="1">
      <alignment readingOrder="0" shrinkToFit="0" wrapText="1"/>
    </xf>
    <xf borderId="0" fillId="0" fontId="23" numFmtId="178" xfId="0" applyAlignment="1" applyFont="1" applyNumberFormat="1">
      <alignment horizontal="right" vertical="bottom"/>
    </xf>
    <xf borderId="0" fillId="0" fontId="20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  <tableStyles count="2">
    <tableStyle count="2" pivot="0" name="самост. работа 1 -style">
      <tableStyleElement dxfId="1" type="firstRowStripe"/>
      <tableStyleElement dxfId="2" type="secondRowStripe"/>
    </tableStyle>
    <tableStyle count="2" pivot="0" name="самост. работа 1 -style 2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2</xdr:row>
      <xdr:rowOff>247650</xdr:rowOff>
    </xdr:from>
    <xdr:ext cx="323850" cy="2381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7</xdr:row>
      <xdr:rowOff>209550</xdr:rowOff>
    </xdr:from>
    <xdr:ext cx="323850" cy="2381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</xdr:row>
      <xdr:rowOff>190500</xdr:rowOff>
    </xdr:from>
    <xdr:ext cx="466725" cy="3619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4:AD6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самост. работа 1 -style" showColumnStripes="0" showFirstColumn="1" showLastColumn="1" showRowStripes="1"/>
</table>
</file>

<file path=xl/tables/table2.xml><?xml version="1.0" encoding="utf-8"?>
<table xmlns="http://schemas.openxmlformats.org/spreadsheetml/2006/main" headerRowCount="0" ref="N9:AI12" displayName="Table_2" id="2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самост. работа 1 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br.com/ru/post/61884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3.88"/>
    <col customWidth="1" hidden="1" min="3" max="3" width="8.38"/>
    <col customWidth="1" min="4" max="4" width="36.75"/>
    <col customWidth="1" min="5" max="5" width="38.88"/>
    <col customWidth="1" min="6" max="6" width="3.13"/>
    <col customWidth="1" min="7" max="7" width="42.0"/>
    <col customWidth="1" min="8" max="8" width="37.75"/>
    <col customWidth="1" min="10" max="10" width="22.5"/>
    <col customWidth="1" min="13" max="13" width="22.5"/>
  </cols>
  <sheetData>
    <row r="1" ht="36.0" customHeight="1">
      <c r="A1" s="1"/>
      <c r="B1" s="2"/>
      <c r="C1" s="1"/>
      <c r="D1" s="1"/>
      <c r="E1" s="3" t="s">
        <v>0</v>
      </c>
      <c r="F1" s="1"/>
      <c r="G1" s="3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4"/>
      <c r="B2" s="5"/>
      <c r="C2" s="6"/>
      <c r="D2" s="7"/>
      <c r="E2" s="8" t="s">
        <v>2</v>
      </c>
      <c r="F2" s="9"/>
      <c r="H2" s="1"/>
      <c r="I2" s="1"/>
      <c r="J2" s="1"/>
      <c r="K2" s="1"/>
      <c r="L2" s="10" t="s">
        <v>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1" t="s">
        <v>4</v>
      </c>
      <c r="B3" s="5"/>
      <c r="C3" s="5"/>
      <c r="D3" s="5"/>
      <c r="E3" s="12" t="str">
        <f>HYPERLINK("https://drive.google.com/open?id=1hJHwGQ4QXw6ZOf0_0yO9ImhL0WImV1s9","Лабораторная 1")</f>
        <v>Лабораторная 1</v>
      </c>
      <c r="F3" s="1"/>
      <c r="G3" s="13"/>
      <c r="H3" s="1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5" t="s">
        <v>5</v>
      </c>
      <c r="B4" s="5"/>
      <c r="C4" s="5"/>
      <c r="D4" s="5"/>
      <c r="E4" s="16" t="str">
        <f>HYPERLINK("https://drive.google.com/file/d/1ln7p3taUqQtOQCUZrGlhMiRy3a1s7fcz/view?usp=sharing","Лабораторная 2")</f>
        <v>Лабораторная 2</v>
      </c>
      <c r="F4" s="1"/>
      <c r="G4" s="17"/>
      <c r="H4" s="14"/>
      <c r="I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5" t="s">
        <v>6</v>
      </c>
      <c r="B5" s="5"/>
      <c r="C5" s="5"/>
      <c r="D5" s="5"/>
      <c r="E5" s="12" t="str">
        <f>HYPERLINK("https://drive.google.com/file/d/1zYHBXf7Em_TL1riy0ooGMc9HQh10HUl2/view?usp=sharing","Лабораторная 3")</f>
        <v>Лабораторная 3</v>
      </c>
      <c r="F5" s="1"/>
      <c r="G5" s="13"/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5" t="s">
        <v>7</v>
      </c>
      <c r="B6" s="5"/>
      <c r="C6" s="5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5" t="s">
        <v>8</v>
      </c>
      <c r="B7" s="5"/>
      <c r="C7" s="5"/>
      <c r="D7" s="5"/>
      <c r="E7" s="18" t="str">
        <f>HYPERLINK("https://docs.google.com/document/d/1tLHUbYXDq6gfRBM2paX_bbpQ-euCE2Q2L_opVmN9iJU/edit?usp=sharing","Библиотека")</f>
        <v>Библиотека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5" t="s">
        <v>9</v>
      </c>
      <c r="B8" s="5"/>
      <c r="C8" s="5"/>
      <c r="D8" s="5"/>
      <c r="E8" s="1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5" t="s">
        <v>10</v>
      </c>
      <c r="B9" s="5"/>
      <c r="C9" s="5"/>
      <c r="D9" s="5"/>
      <c r="E9" s="1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5" t="s">
        <v>11</v>
      </c>
      <c r="B10" s="5"/>
      <c r="C10" s="5"/>
      <c r="D10" s="5"/>
      <c r="E10" s="2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5" t="s">
        <v>12</v>
      </c>
      <c r="B11" s="5"/>
      <c r="C11" s="5"/>
      <c r="D11" s="5"/>
      <c r="E11" s="2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5" t="s">
        <v>13</v>
      </c>
      <c r="B12" s="5"/>
      <c r="C12" s="5"/>
      <c r="D12" s="5"/>
      <c r="E12" s="2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5" t="s">
        <v>14</v>
      </c>
      <c r="B13" s="5"/>
      <c r="C13" s="5"/>
      <c r="D13" s="5"/>
      <c r="E13" s="2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5" t="s">
        <v>15</v>
      </c>
      <c r="B14" s="5"/>
      <c r="C14" s="5"/>
      <c r="D14" s="5"/>
      <c r="E14" s="2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5" t="s">
        <v>16</v>
      </c>
      <c r="B15" s="5"/>
      <c r="C15" s="5"/>
      <c r="D15" s="5"/>
      <c r="E15" s="1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5" t="s">
        <v>17</v>
      </c>
      <c r="B16" s="5"/>
      <c r="C16" s="5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5" t="s">
        <v>18</v>
      </c>
      <c r="B17" s="5"/>
      <c r="C17" s="5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5" t="s">
        <v>19</v>
      </c>
      <c r="B18" s="5"/>
      <c r="C18" s="5"/>
      <c r="D18" s="5"/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5" t="s">
        <v>20</v>
      </c>
      <c r="B19" s="5"/>
      <c r="C19" s="5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5" t="s">
        <v>21</v>
      </c>
      <c r="B20" s="5"/>
      <c r="C20" s="5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5" t="s">
        <v>22</v>
      </c>
      <c r="B21" s="5"/>
      <c r="C21" s="5"/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5" t="s">
        <v>23</v>
      </c>
      <c r="B22" s="5"/>
      <c r="C22" s="5"/>
      <c r="D22" s="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5" t="s">
        <v>24</v>
      </c>
      <c r="B23" s="22"/>
      <c r="C23" s="23"/>
      <c r="D23" s="2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5" t="s">
        <v>25</v>
      </c>
      <c r="B24" s="22"/>
      <c r="C24" s="23"/>
      <c r="D24" s="2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5" t="s">
        <v>26</v>
      </c>
      <c r="B25" s="22"/>
      <c r="C25" s="23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5" t="s">
        <v>27</v>
      </c>
      <c r="B26" s="22"/>
      <c r="C26" s="23"/>
      <c r="D26" s="2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5" t="s">
        <v>28</v>
      </c>
      <c r="B27" s="22"/>
      <c r="C27" s="23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5" t="s">
        <v>29</v>
      </c>
      <c r="B28" s="22"/>
      <c r="C28" s="23"/>
      <c r="D28" s="2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5" t="s">
        <v>30</v>
      </c>
      <c r="B29" s="22"/>
      <c r="C29" s="23"/>
      <c r="D29" s="2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5" t="s">
        <v>31</v>
      </c>
      <c r="B30" s="23"/>
      <c r="C30" s="23"/>
      <c r="D30" s="2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5" t="s">
        <v>32</v>
      </c>
      <c r="B31" s="23"/>
      <c r="C31" s="23"/>
      <c r="D31" s="2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5" t="s">
        <v>33</v>
      </c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5" t="s">
        <v>34</v>
      </c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5" t="s">
        <v>35</v>
      </c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hyperlinks>
    <hyperlink r:id="rId1" ref="L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2.13"/>
    <col customWidth="1" min="3" max="3" width="37.38"/>
    <col customWidth="1" min="4" max="4" width="20.0"/>
  </cols>
  <sheetData>
    <row r="1">
      <c r="A1" s="4"/>
      <c r="B1" s="5"/>
      <c r="C1" s="6"/>
      <c r="D1" s="6" t="s">
        <v>36</v>
      </c>
    </row>
    <row r="2">
      <c r="A2" s="4">
        <v>1.0</v>
      </c>
      <c r="B2" s="26" t="s">
        <v>37</v>
      </c>
      <c r="C2" s="27" t="s">
        <v>38</v>
      </c>
      <c r="D2" s="28" t="b">
        <v>1</v>
      </c>
    </row>
    <row r="3">
      <c r="A3" s="4">
        <v>2.0</v>
      </c>
      <c r="B3" s="29" t="s">
        <v>39</v>
      </c>
      <c r="C3" s="30" t="s">
        <v>40</v>
      </c>
      <c r="D3" s="31" t="s">
        <v>41</v>
      </c>
    </row>
    <row r="4">
      <c r="A4" s="4">
        <v>3.0</v>
      </c>
      <c r="B4" s="32" t="s">
        <v>42</v>
      </c>
      <c r="C4" s="27" t="s">
        <v>43</v>
      </c>
      <c r="D4" s="33"/>
    </row>
    <row r="5">
      <c r="A5" s="4">
        <v>4.0</v>
      </c>
      <c r="B5" s="29" t="s">
        <v>44</v>
      </c>
      <c r="C5" s="27" t="s">
        <v>45</v>
      </c>
      <c r="D5" s="34" t="s">
        <v>46</v>
      </c>
    </row>
    <row r="6">
      <c r="A6" s="4">
        <v>5.0</v>
      </c>
      <c r="B6" s="29" t="s">
        <v>47</v>
      </c>
      <c r="C6" s="27" t="s">
        <v>48</v>
      </c>
      <c r="D6" s="35" t="s">
        <v>49</v>
      </c>
    </row>
    <row r="7">
      <c r="A7" s="4">
        <v>6.0</v>
      </c>
      <c r="B7" s="29" t="s">
        <v>50</v>
      </c>
      <c r="C7" s="27" t="s">
        <v>51</v>
      </c>
      <c r="D7" s="34" t="s">
        <v>46</v>
      </c>
      <c r="G7" s="36"/>
      <c r="H7" s="37"/>
    </row>
    <row r="8">
      <c r="A8" s="4">
        <v>7.0</v>
      </c>
      <c r="B8" s="29" t="s">
        <v>52</v>
      </c>
      <c r="C8" s="27" t="s">
        <v>53</v>
      </c>
      <c r="D8" s="34" t="s">
        <v>54</v>
      </c>
    </row>
    <row r="9">
      <c r="A9" s="4">
        <v>8.0</v>
      </c>
      <c r="B9" s="29" t="s">
        <v>55</v>
      </c>
      <c r="C9" s="27" t="s">
        <v>56</v>
      </c>
    </row>
    <row r="10">
      <c r="A10" s="4">
        <v>9.0</v>
      </c>
      <c r="B10" s="29" t="s">
        <v>57</v>
      </c>
      <c r="C10" s="27" t="s">
        <v>58</v>
      </c>
      <c r="D10" s="6"/>
    </row>
    <row r="11">
      <c r="A11" s="4">
        <v>10.0</v>
      </c>
      <c r="B11" s="29" t="s">
        <v>59</v>
      </c>
      <c r="C11" s="27" t="s">
        <v>60</v>
      </c>
      <c r="D11" s="38" t="s">
        <v>61</v>
      </c>
    </row>
    <row r="12">
      <c r="A12" s="4">
        <v>11.0</v>
      </c>
      <c r="B12" s="39" t="s">
        <v>62</v>
      </c>
      <c r="C12" s="27" t="s">
        <v>63</v>
      </c>
      <c r="D12" s="34" t="s">
        <v>46</v>
      </c>
    </row>
    <row r="13">
      <c r="A13" s="4">
        <v>12.0</v>
      </c>
      <c r="B13" s="29" t="s">
        <v>64</v>
      </c>
      <c r="C13" s="27" t="s">
        <v>65</v>
      </c>
      <c r="D13" s="34" t="s">
        <v>66</v>
      </c>
    </row>
    <row r="14">
      <c r="A14" s="4">
        <v>13.0</v>
      </c>
      <c r="B14" s="29" t="s">
        <v>67</v>
      </c>
      <c r="C14" s="27" t="s">
        <v>68</v>
      </c>
      <c r="D14" s="38" t="s">
        <v>61</v>
      </c>
    </row>
    <row r="15">
      <c r="A15" s="4">
        <v>14.0</v>
      </c>
      <c r="B15" s="29" t="s">
        <v>69</v>
      </c>
      <c r="C15" s="27" t="s">
        <v>70</v>
      </c>
      <c r="D15" s="34" t="s">
        <v>46</v>
      </c>
      <c r="G15" s="40"/>
    </row>
    <row r="16">
      <c r="A16" s="4">
        <v>15.0</v>
      </c>
      <c r="B16" s="29" t="s">
        <v>71</v>
      </c>
      <c r="C16" s="27" t="s">
        <v>72</v>
      </c>
      <c r="D16" s="41" t="s">
        <v>73</v>
      </c>
    </row>
    <row r="17">
      <c r="A17" s="4">
        <v>16.0</v>
      </c>
      <c r="B17" s="29" t="s">
        <v>74</v>
      </c>
      <c r="C17" s="27" t="s">
        <v>75</v>
      </c>
      <c r="D17" s="34" t="s">
        <v>66</v>
      </c>
    </row>
    <row r="18">
      <c r="A18" s="4">
        <v>17.0</v>
      </c>
      <c r="B18" s="29" t="s">
        <v>76</v>
      </c>
      <c r="C18" s="42" t="s">
        <v>77</v>
      </c>
      <c r="D18" s="34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2.25"/>
    <col customWidth="1" min="2" max="3" width="15.13"/>
    <col customWidth="1" min="20" max="20" width="16.5"/>
    <col customWidth="1" min="26" max="26" width="23.13"/>
    <col customWidth="1" min="32" max="32" width="14.38"/>
  </cols>
  <sheetData>
    <row r="1">
      <c r="A1" s="43"/>
      <c r="B1" s="44"/>
      <c r="C1" s="45" t="s">
        <v>78</v>
      </c>
      <c r="D1" s="46"/>
      <c r="E1" s="46"/>
      <c r="F1" s="47"/>
      <c r="G1" s="45" t="s">
        <v>79</v>
      </c>
      <c r="H1" s="46"/>
      <c r="I1" s="46"/>
      <c r="J1" s="47"/>
      <c r="K1" s="45" t="s">
        <v>80</v>
      </c>
      <c r="L1" s="47"/>
      <c r="M1" s="48" t="s">
        <v>81</v>
      </c>
      <c r="N1" s="45" t="s">
        <v>82</v>
      </c>
      <c r="O1" s="46"/>
      <c r="P1" s="46"/>
      <c r="Q1" s="46"/>
      <c r="R1" s="47"/>
      <c r="S1" s="48" t="s">
        <v>83</v>
      </c>
      <c r="T1" s="48" t="s">
        <v>84</v>
      </c>
      <c r="U1" s="48" t="s">
        <v>85</v>
      </c>
      <c r="V1" s="45" t="s">
        <v>86</v>
      </c>
      <c r="W1" s="47"/>
      <c r="X1" s="45" t="s">
        <v>87</v>
      </c>
      <c r="Y1" s="46"/>
      <c r="Z1" s="47"/>
      <c r="AA1" s="45" t="s">
        <v>88</v>
      </c>
      <c r="AB1" s="47"/>
      <c r="AC1" s="45" t="s">
        <v>89</v>
      </c>
      <c r="AD1" s="46"/>
      <c r="AE1" s="47"/>
      <c r="AF1" s="45" t="s">
        <v>90</v>
      </c>
      <c r="AG1" s="47"/>
      <c r="AH1" s="45" t="s">
        <v>91</v>
      </c>
      <c r="AI1" s="47"/>
      <c r="AJ1" s="49"/>
      <c r="AK1" s="50"/>
      <c r="AL1" s="50"/>
      <c r="AM1" s="50"/>
      <c r="AN1" s="50"/>
    </row>
    <row r="2">
      <c r="A2" s="51" t="str">
        <f>HYPERLINK("https://drive.google.com/file/d/1KVxlHVG90aPLjop4imJWXJSQ41dHEZw1/view?usp=sharing","Условия задач")</f>
        <v>Условия задач</v>
      </c>
      <c r="B2" s="52" t="s">
        <v>92</v>
      </c>
      <c r="C2" s="53" t="s">
        <v>93</v>
      </c>
      <c r="D2" s="54" t="s">
        <v>94</v>
      </c>
      <c r="E2" s="53" t="s">
        <v>95</v>
      </c>
      <c r="F2" s="52" t="s">
        <v>96</v>
      </c>
      <c r="G2" s="53" t="s">
        <v>97</v>
      </c>
      <c r="H2" s="53" t="s">
        <v>98</v>
      </c>
      <c r="I2" s="53" t="s">
        <v>99</v>
      </c>
      <c r="J2" s="55" t="s">
        <v>100</v>
      </c>
      <c r="K2" s="53" t="s">
        <v>101</v>
      </c>
      <c r="L2" s="55" t="s">
        <v>102</v>
      </c>
      <c r="M2" s="56" t="s">
        <v>103</v>
      </c>
      <c r="N2" s="53" t="s">
        <v>104</v>
      </c>
      <c r="O2" s="53" t="s">
        <v>105</v>
      </c>
      <c r="P2" s="53" t="s">
        <v>106</v>
      </c>
      <c r="Q2" s="53" t="s">
        <v>107</v>
      </c>
      <c r="R2" s="55" t="s">
        <v>108</v>
      </c>
      <c r="S2" s="55" t="s">
        <v>109</v>
      </c>
      <c r="T2" s="55" t="s">
        <v>110</v>
      </c>
      <c r="U2" s="55" t="s">
        <v>111</v>
      </c>
      <c r="V2" s="53" t="s">
        <v>112</v>
      </c>
      <c r="W2" s="55" t="s">
        <v>109</v>
      </c>
      <c r="X2" s="53" t="s">
        <v>113</v>
      </c>
      <c r="Y2" s="53" t="s">
        <v>114</v>
      </c>
      <c r="Z2" s="55" t="s">
        <v>108</v>
      </c>
      <c r="AA2" s="53" t="s">
        <v>115</v>
      </c>
      <c r="AB2" s="55" t="s">
        <v>116</v>
      </c>
      <c r="AC2" s="53" t="s">
        <v>117</v>
      </c>
      <c r="AD2" s="53" t="s">
        <v>112</v>
      </c>
      <c r="AE2" s="55" t="s">
        <v>118</v>
      </c>
      <c r="AF2" s="53" t="s">
        <v>119</v>
      </c>
      <c r="AG2" s="55" t="s">
        <v>120</v>
      </c>
      <c r="AH2" s="53" t="s">
        <v>121</v>
      </c>
      <c r="AI2" s="57" t="s">
        <v>122</v>
      </c>
      <c r="AJ2" s="58" t="s">
        <v>123</v>
      </c>
      <c r="AK2" s="57"/>
      <c r="AL2" s="57"/>
      <c r="AM2" s="57"/>
      <c r="AN2" s="57"/>
    </row>
    <row r="3">
      <c r="A3" s="59"/>
      <c r="B3" s="60" t="s">
        <v>124</v>
      </c>
      <c r="C3" s="61">
        <f t="shared" ref="C3:C8" si="1">1+0.12</f>
        <v>1.12</v>
      </c>
      <c r="D3" s="62">
        <f t="shared" ref="D3:D8" si="2">(1+0.12/4)^4</f>
        <v>1.12550881</v>
      </c>
      <c r="E3" s="63">
        <f t="shared" ref="E3:E18" si="3">D3-C3</f>
        <v>0.00550881</v>
      </c>
      <c r="F3" s="64">
        <f t="shared" ref="F3:F18" si="4">E3 * 5000000</f>
        <v>27544.05</v>
      </c>
      <c r="G3" s="65">
        <f t="shared" ref="G3:G4" si="5">(10000/9800 -1) * 4</f>
        <v>0.08163265306</v>
      </c>
      <c r="H3" s="66">
        <f t="shared" ref="H3:H4" si="6">(1-9800/10000) *4</f>
        <v>0.08</v>
      </c>
      <c r="I3" s="67">
        <f t="shared" ref="I3:I4" si="7">(10000/9800)^4-1</f>
        <v>0.08416578473</v>
      </c>
      <c r="J3" s="68">
        <f t="shared" ref="J3:J4" si="8">1-(9800/10000)^4</f>
        <v>0.07763184</v>
      </c>
      <c r="K3" s="69">
        <f t="shared" ref="K3:K4" si="9">100000- (100000 * (55/360 *0.08))</f>
        <v>98777.77778</v>
      </c>
      <c r="L3" s="70">
        <f t="shared" ref="L3:L4" si="10"> (100000 * (55/360 *0.08))</f>
        <v>1222.222222</v>
      </c>
      <c r="M3" s="71">
        <f t="shared" ref="M3:M6" si="11">(1631.25-1500)/15*12/1500</f>
        <v>0.07</v>
      </c>
      <c r="N3" s="72">
        <f t="shared" ref="N3:N4" si="12">18/12 * 0.3 +1</f>
        <v>1.45</v>
      </c>
      <c r="O3" s="73">
        <f t="shared" ref="O3:O4" si="13">(1+0.28/12)^12 * (1+0.28/12)^6</f>
        <v>1.514635647</v>
      </c>
      <c r="P3" s="74"/>
      <c r="Q3" s="75"/>
      <c r="R3" s="76"/>
      <c r="S3" s="77">
        <f t="shared" ref="S3:S8" si="14">(1 + 0.12/12)^12 - 1</f>
        <v>0.1268250301</v>
      </c>
      <c r="T3" s="78">
        <f t="shared" ref="T3:T8" si="15">90000/1.15^2</f>
        <v>68052.93006</v>
      </c>
      <c r="U3" s="77">
        <f t="shared" ref="U3:U8" si="16">SQRT(36000/20000) -1</f>
        <v>0.3416407865</v>
      </c>
      <c r="V3" s="79">
        <f t="shared" ref="V3:V4" si="17">1.16 * 1.09  * 1.1  * 1.11</f>
        <v>1.5438324</v>
      </c>
      <c r="W3" s="80">
        <f t="shared" ref="W3:W4" si="18">1.16 * (1+0.09) *(1+0.1) * (1+0.11) -1</f>
        <v>0.5438324</v>
      </c>
      <c r="X3" s="81">
        <f t="shared" ref="X3:X10" si="19">15000 *1.125</f>
        <v>16875</v>
      </c>
      <c r="Y3" s="82">
        <f t="shared" ref="Y3:Y6" si="20">15000 * (1+0.12/4)^4</f>
        <v>16882.63215</v>
      </c>
      <c r="Z3" s="83" t="s">
        <v>125</v>
      </c>
      <c r="AA3" s="84"/>
      <c r="AB3" s="85"/>
      <c r="AC3" s="86"/>
      <c r="AD3" s="87"/>
      <c r="AE3" s="85"/>
      <c r="AF3" s="88">
        <f t="shared" ref="AF3:AF4" si="21">50000/1.08^5</f>
        <v>34029.15985</v>
      </c>
      <c r="AG3" s="89">
        <f t="shared" ref="AG3:AG4" si="22">(AF3 * 1.08 - 10000) * (1+0.08) ^ 4</f>
        <v>36395.1104</v>
      </c>
      <c r="AH3" s="90">
        <f t="shared" ref="AH3:AH4" si="23">150000 *(0.8)^3</f>
        <v>76800</v>
      </c>
      <c r="AI3" s="91">
        <f t="shared" ref="AI3:AI4" si="24">110000 *0.8</f>
        <v>88000</v>
      </c>
      <c r="AJ3" s="92" t="s">
        <v>126</v>
      </c>
      <c r="AK3" s="93"/>
      <c r="AL3" s="93"/>
      <c r="AM3" s="93"/>
      <c r="AN3" s="93"/>
    </row>
    <row r="4">
      <c r="A4" s="22"/>
      <c r="B4" s="94" t="s">
        <v>127</v>
      </c>
      <c r="C4" s="61">
        <f t="shared" si="1"/>
        <v>1.12</v>
      </c>
      <c r="D4" s="62">
        <f t="shared" si="2"/>
        <v>1.12550881</v>
      </c>
      <c r="E4" s="63">
        <f t="shared" si="3"/>
        <v>0.00550881</v>
      </c>
      <c r="F4" s="64">
        <f t="shared" si="4"/>
        <v>27544.05</v>
      </c>
      <c r="G4" s="65">
        <f t="shared" si="5"/>
        <v>0.08163265306</v>
      </c>
      <c r="H4" s="66">
        <f t="shared" si="6"/>
        <v>0.08</v>
      </c>
      <c r="I4" s="67">
        <f t="shared" si="7"/>
        <v>0.08416578473</v>
      </c>
      <c r="J4" s="68">
        <f t="shared" si="8"/>
        <v>0.07763184</v>
      </c>
      <c r="K4" s="69">
        <f t="shared" si="9"/>
        <v>98777.77778</v>
      </c>
      <c r="L4" s="70">
        <f t="shared" si="10"/>
        <v>1222.222222</v>
      </c>
      <c r="M4" s="71">
        <f t="shared" si="11"/>
        <v>0.07</v>
      </c>
      <c r="N4" s="72">
        <f t="shared" si="12"/>
        <v>1.45</v>
      </c>
      <c r="O4" s="73">
        <f t="shared" si="13"/>
        <v>1.514635647</v>
      </c>
      <c r="P4" s="95"/>
      <c r="Q4" s="96"/>
      <c r="R4" s="97"/>
      <c r="S4" s="77">
        <f t="shared" si="14"/>
        <v>0.1268250301</v>
      </c>
      <c r="T4" s="78">
        <f t="shared" si="15"/>
        <v>68052.93006</v>
      </c>
      <c r="U4" s="77">
        <f t="shared" si="16"/>
        <v>0.3416407865</v>
      </c>
      <c r="V4" s="79">
        <f t="shared" si="17"/>
        <v>1.5438324</v>
      </c>
      <c r="W4" s="80">
        <f t="shared" si="18"/>
        <v>0.5438324</v>
      </c>
      <c r="X4" s="81">
        <f t="shared" si="19"/>
        <v>16875</v>
      </c>
      <c r="Y4" s="82">
        <f t="shared" si="20"/>
        <v>16882.63215</v>
      </c>
      <c r="Z4" s="83" t="s">
        <v>125</v>
      </c>
      <c r="AA4" s="98"/>
      <c r="AB4" s="99"/>
      <c r="AC4" s="100"/>
      <c r="AD4" s="101"/>
      <c r="AE4" s="102"/>
      <c r="AF4" s="88">
        <f t="shared" si="21"/>
        <v>34029.15985</v>
      </c>
      <c r="AG4" s="89">
        <f t="shared" si="22"/>
        <v>36395.1104</v>
      </c>
      <c r="AH4" s="90">
        <f t="shared" si="23"/>
        <v>76800</v>
      </c>
      <c r="AI4" s="91">
        <f t="shared" si="24"/>
        <v>88000</v>
      </c>
      <c r="AJ4" s="92" t="s">
        <v>126</v>
      </c>
      <c r="AK4" s="93"/>
      <c r="AL4" s="93"/>
      <c r="AM4" s="93"/>
      <c r="AN4" s="93"/>
    </row>
    <row r="5">
      <c r="A5" s="22"/>
      <c r="B5" s="103" t="s">
        <v>128</v>
      </c>
      <c r="C5" s="104">
        <f t="shared" si="1"/>
        <v>1.12</v>
      </c>
      <c r="D5" s="105">
        <f t="shared" si="2"/>
        <v>1.12550881</v>
      </c>
      <c r="E5" s="106">
        <f t="shared" si="3"/>
        <v>0.00550881</v>
      </c>
      <c r="F5" s="107">
        <f t="shared" si="4"/>
        <v>27544.05</v>
      </c>
      <c r="G5" s="108">
        <f t="shared" ref="G5:G8" si="25">(1/0.25)*((10000/9800)-1)</f>
        <v>0.08163265306</v>
      </c>
      <c r="H5" s="109">
        <f t="shared" ref="H5:H6" si="26">(10000-9800)/(10000*3/12)</f>
        <v>0.08</v>
      </c>
      <c r="I5" s="110">
        <f t="shared" ref="I5:I6" si="27">(10000/9800)^(1/(3/12))-1</f>
        <v>0.08416578473</v>
      </c>
      <c r="J5" s="111">
        <f t="shared" ref="J5:J6" si="28">1-(9800/10000)^(1/(3/12))</f>
        <v>0.07763184</v>
      </c>
      <c r="K5" s="112">
        <f t="shared" ref="K5:K7" si="29">100000*(1-55/360*0.08)</f>
        <v>98777.77778</v>
      </c>
      <c r="L5" s="113">
        <f t="shared" ref="L5:L8" si="30">100000-K5</f>
        <v>1222.222222</v>
      </c>
      <c r="M5" s="114">
        <f t="shared" si="11"/>
        <v>0.07</v>
      </c>
      <c r="N5" s="115">
        <f t="shared" ref="N5:N8" si="31">1*(1+1.5*0.3)</f>
        <v>1.45</v>
      </c>
      <c r="O5" s="116">
        <f t="shared" ref="O5:O8" si="32">1*(1+0.28/12)^(18)</f>
        <v>1.514635647</v>
      </c>
      <c r="P5" s="95"/>
      <c r="Q5" s="96"/>
      <c r="R5" s="97"/>
      <c r="S5" s="117">
        <f t="shared" si="14"/>
        <v>0.1268250301</v>
      </c>
      <c r="T5" s="118">
        <f t="shared" si="15"/>
        <v>68052.93006</v>
      </c>
      <c r="U5" s="119">
        <f t="shared" si="16"/>
        <v>0.3416407865</v>
      </c>
      <c r="V5" s="120">
        <f t="shared" ref="V5:V9" si="33">1*(1+0.16)*(1+0.09)*(1+0.1)*(1+0.11)</f>
        <v>1.5438324</v>
      </c>
      <c r="W5" s="121">
        <f t="shared" ref="W5:W6" si="34">1*(1+0.16)*(1+0.09)*(1+0.1)*(1+0.11) - 1</f>
        <v>0.5438324</v>
      </c>
      <c r="X5" s="122">
        <f t="shared" si="19"/>
        <v>16875</v>
      </c>
      <c r="Y5" s="123">
        <f t="shared" si="20"/>
        <v>16882.63215</v>
      </c>
      <c r="Z5" s="124" t="s">
        <v>129</v>
      </c>
      <c r="AA5" s="98"/>
      <c r="AB5" s="99"/>
      <c r="AC5" s="100"/>
      <c r="AD5" s="101"/>
      <c r="AE5" s="102"/>
      <c r="AF5" s="125"/>
      <c r="AG5" s="102"/>
      <c r="AH5" s="125"/>
      <c r="AI5" s="126"/>
      <c r="AJ5" s="127"/>
      <c r="AK5" s="93"/>
      <c r="AL5" s="93"/>
      <c r="AM5" s="93"/>
      <c r="AN5" s="93"/>
    </row>
    <row r="6">
      <c r="A6" s="22"/>
      <c r="B6" s="128" t="s">
        <v>130</v>
      </c>
      <c r="C6" s="104">
        <f t="shared" si="1"/>
        <v>1.12</v>
      </c>
      <c r="D6" s="105">
        <f t="shared" si="2"/>
        <v>1.12550881</v>
      </c>
      <c r="E6" s="106">
        <f t="shared" si="3"/>
        <v>0.00550881</v>
      </c>
      <c r="F6" s="107">
        <f t="shared" si="4"/>
        <v>27544.05</v>
      </c>
      <c r="G6" s="129">
        <f t="shared" si="25"/>
        <v>0.08163265306</v>
      </c>
      <c r="H6" s="109">
        <f t="shared" si="26"/>
        <v>0.08</v>
      </c>
      <c r="I6" s="110">
        <f t="shared" si="27"/>
        <v>0.08416578473</v>
      </c>
      <c r="J6" s="111">
        <f t="shared" si="28"/>
        <v>0.07763184</v>
      </c>
      <c r="K6" s="112">
        <f t="shared" si="29"/>
        <v>98777.77778</v>
      </c>
      <c r="L6" s="113">
        <f t="shared" si="30"/>
        <v>1222.222222</v>
      </c>
      <c r="M6" s="114">
        <f t="shared" si="11"/>
        <v>0.07</v>
      </c>
      <c r="N6" s="115">
        <f t="shared" si="31"/>
        <v>1.45</v>
      </c>
      <c r="O6" s="116">
        <f t="shared" si="32"/>
        <v>1.514635647</v>
      </c>
      <c r="P6" s="95"/>
      <c r="Q6" s="96"/>
      <c r="R6" s="97"/>
      <c r="S6" s="117">
        <f t="shared" si="14"/>
        <v>0.1268250301</v>
      </c>
      <c r="T6" s="118">
        <f t="shared" si="15"/>
        <v>68052.93006</v>
      </c>
      <c r="U6" s="119">
        <f t="shared" si="16"/>
        <v>0.3416407865</v>
      </c>
      <c r="V6" s="120">
        <f t="shared" si="33"/>
        <v>1.5438324</v>
      </c>
      <c r="W6" s="121">
        <f t="shared" si="34"/>
        <v>0.5438324</v>
      </c>
      <c r="X6" s="122">
        <f t="shared" si="19"/>
        <v>16875</v>
      </c>
      <c r="Y6" s="123">
        <f t="shared" si="20"/>
        <v>16882.63215</v>
      </c>
      <c r="Z6" s="124" t="s">
        <v>129</v>
      </c>
      <c r="AA6" s="98"/>
      <c r="AB6" s="99"/>
      <c r="AC6" s="100"/>
      <c r="AD6" s="101"/>
      <c r="AE6" s="130"/>
      <c r="AF6" s="122"/>
      <c r="AG6" s="130"/>
      <c r="AH6" s="122"/>
      <c r="AI6" s="131"/>
      <c r="AJ6" s="132"/>
      <c r="AK6" s="133"/>
      <c r="AL6" s="133"/>
      <c r="AM6" s="133"/>
      <c r="AN6" s="133"/>
    </row>
    <row r="7">
      <c r="A7" s="22"/>
      <c r="B7" s="134" t="s">
        <v>131</v>
      </c>
      <c r="C7" s="135">
        <f t="shared" si="1"/>
        <v>1.12</v>
      </c>
      <c r="D7" s="135">
        <f t="shared" si="2"/>
        <v>1.12550881</v>
      </c>
      <c r="E7" s="136">
        <f t="shared" si="3"/>
        <v>0.00550881</v>
      </c>
      <c r="F7" s="107">
        <f t="shared" si="4"/>
        <v>27544.05</v>
      </c>
      <c r="G7" s="137">
        <f t="shared" si="25"/>
        <v>0.08163265306</v>
      </c>
      <c r="H7" s="137">
        <f>(10000-9800)/(10000*(3/12))</f>
        <v>0.08</v>
      </c>
      <c r="I7" s="138">
        <f t="shared" ref="I7:I8" si="35">(10000/9800)^(1/0.25)-1</f>
        <v>0.08416578473</v>
      </c>
      <c r="J7" s="138">
        <f t="shared" ref="J7:J8" si="36">1-(9800/10000)^(1/0.25)</f>
        <v>0.07763184</v>
      </c>
      <c r="K7" s="139">
        <f t="shared" si="29"/>
        <v>98777.77778</v>
      </c>
      <c r="L7" s="140">
        <f t="shared" si="30"/>
        <v>1222.222222</v>
      </c>
      <c r="M7" s="114">
        <f>(1/1.25)*(1631.25/1500-1)</f>
        <v>0.07</v>
      </c>
      <c r="N7" s="115">
        <f t="shared" si="31"/>
        <v>1.45</v>
      </c>
      <c r="O7" s="116">
        <f t="shared" si="32"/>
        <v>1.514635647</v>
      </c>
      <c r="P7" s="141"/>
      <c r="Q7" s="140"/>
      <c r="R7" s="142"/>
      <c r="S7" s="119">
        <f t="shared" si="14"/>
        <v>0.1268250301</v>
      </c>
      <c r="T7" s="118">
        <f t="shared" si="15"/>
        <v>68052.93006</v>
      </c>
      <c r="U7" s="119">
        <f t="shared" si="16"/>
        <v>0.3416407865</v>
      </c>
      <c r="V7" s="120">
        <f t="shared" si="33"/>
        <v>1.5438324</v>
      </c>
      <c r="W7" s="121">
        <f t="shared" ref="W7:W9" si="37">1*(1+0.16/1)*(1+0.09)*(1+0.1)*(1+0.11)-1</f>
        <v>0.5438324</v>
      </c>
      <c r="X7" s="143">
        <f t="shared" si="19"/>
        <v>16875</v>
      </c>
      <c r="Y7" s="123">
        <f t="shared" ref="Y7:Y9" si="38">15000*(1+0.12/12)^(3)</f>
        <v>15454.515</v>
      </c>
      <c r="Z7" s="144" t="s">
        <v>132</v>
      </c>
      <c r="AA7" s="145"/>
      <c r="AB7" s="146"/>
      <c r="AC7" s="145"/>
      <c r="AD7" s="147"/>
      <c r="AE7" s="148"/>
      <c r="AF7" s="149">
        <f t="shared" ref="AF7:AF9" si="39">50000/1.08^5</f>
        <v>34029.15985</v>
      </c>
      <c r="AG7" s="150">
        <f t="shared" ref="AG7:AG9" si="40">(AF7 * 1.08 - 10000) * (1+0.08) ^ 4</f>
        <v>36395.1104</v>
      </c>
      <c r="AH7" s="145"/>
      <c r="AI7" s="147"/>
      <c r="AJ7" s="127"/>
      <c r="AK7" s="93"/>
      <c r="AL7" s="93"/>
      <c r="AM7" s="93"/>
      <c r="AN7" s="93"/>
    </row>
    <row r="8">
      <c r="A8" s="22"/>
      <c r="B8" s="151" t="s">
        <v>133</v>
      </c>
      <c r="C8" s="152">
        <f t="shared" si="1"/>
        <v>1.12</v>
      </c>
      <c r="D8" s="153">
        <f t="shared" si="2"/>
        <v>1.12550881</v>
      </c>
      <c r="E8" s="153">
        <f t="shared" si="3"/>
        <v>0.00550881</v>
      </c>
      <c r="F8" s="154">
        <f t="shared" si="4"/>
        <v>27544.05</v>
      </c>
      <c r="G8" s="155">
        <f t="shared" si="25"/>
        <v>0.08163265306</v>
      </c>
      <c r="H8" s="109">
        <f>(10000-9800)/(10000*0.25)</f>
        <v>0.08</v>
      </c>
      <c r="I8" s="110">
        <f t="shared" si="35"/>
        <v>0.08416578473</v>
      </c>
      <c r="J8" s="156">
        <f t="shared" si="36"/>
        <v>0.07763184</v>
      </c>
      <c r="K8" s="157">
        <f>100000*(1-55*0.08/360)</f>
        <v>98777.77778</v>
      </c>
      <c r="L8" s="113">
        <f t="shared" si="30"/>
        <v>1222.222222</v>
      </c>
      <c r="M8" s="114">
        <f>(1631.25-1500)/15*12/1500</f>
        <v>0.07</v>
      </c>
      <c r="N8" s="115">
        <f t="shared" si="31"/>
        <v>1.45</v>
      </c>
      <c r="O8" s="116">
        <f t="shared" si="32"/>
        <v>1.514635647</v>
      </c>
      <c r="P8" s="158"/>
      <c r="Q8" s="159"/>
      <c r="R8" s="97"/>
      <c r="S8" s="119">
        <f t="shared" si="14"/>
        <v>0.1268250301</v>
      </c>
      <c r="T8" s="118">
        <f t="shared" si="15"/>
        <v>68052.93006</v>
      </c>
      <c r="U8" s="119">
        <f t="shared" si="16"/>
        <v>0.3416407865</v>
      </c>
      <c r="V8" s="120">
        <f t="shared" si="33"/>
        <v>1.5438324</v>
      </c>
      <c r="W8" s="121">
        <f t="shared" si="37"/>
        <v>0.5438324</v>
      </c>
      <c r="X8" s="160">
        <f t="shared" si="19"/>
        <v>16875</v>
      </c>
      <c r="Y8" s="123">
        <f t="shared" si="38"/>
        <v>15454.515</v>
      </c>
      <c r="Z8" s="124" t="s">
        <v>134</v>
      </c>
      <c r="AA8" s="98"/>
      <c r="AB8" s="99"/>
      <c r="AC8" s="100"/>
      <c r="AD8" s="101"/>
      <c r="AE8" s="161"/>
      <c r="AF8" s="149">
        <f t="shared" si="39"/>
        <v>34029.15985</v>
      </c>
      <c r="AG8" s="150">
        <f t="shared" si="40"/>
        <v>36395.1104</v>
      </c>
      <c r="AH8" s="122"/>
      <c r="AI8" s="123"/>
      <c r="AJ8" s="127"/>
      <c r="AK8" s="93"/>
      <c r="AL8" s="93"/>
      <c r="AM8" s="93"/>
      <c r="AN8" s="93"/>
    </row>
    <row r="9">
      <c r="A9" s="22"/>
      <c r="B9" s="162" t="s">
        <v>135</v>
      </c>
      <c r="C9" s="163">
        <f>1+(0.12/4)^4</f>
        <v>1.00000081</v>
      </c>
      <c r="D9" s="164">
        <f>(1+0.12/4)^4</f>
        <v>1.12550881</v>
      </c>
      <c r="E9" s="141">
        <f t="shared" si="3"/>
        <v>0.125508</v>
      </c>
      <c r="F9" s="165">
        <f t="shared" si="4"/>
        <v>627540</v>
      </c>
      <c r="G9" s="155">
        <f>(1/0.25)*((10000/9800)-1)</f>
        <v>0.08163265306</v>
      </c>
      <c r="H9" s="109">
        <f>(10000-9800)/(10000*(3/12))</f>
        <v>0.08</v>
      </c>
      <c r="I9" s="166">
        <f>(10000/9800)^(1/0.25)-1</f>
        <v>0.08416578473</v>
      </c>
      <c r="J9" s="111">
        <f>1-(9800/10000)^(1/(3/12))</f>
        <v>0.07763184</v>
      </c>
      <c r="K9" s="139">
        <f>100000*(1-55/360*0.08)</f>
        <v>98777.77778</v>
      </c>
      <c r="L9" s="113">
        <f>100000-K9</f>
        <v>1222.222222</v>
      </c>
      <c r="M9" s="114">
        <f>(1631.25-1500)/15*12/1500</f>
        <v>0.07</v>
      </c>
      <c r="N9" s="115">
        <f>(1+1.5*0.3)</f>
        <v>1.45</v>
      </c>
      <c r="O9" s="116">
        <f>(1+0.28/12)^18</f>
        <v>1.514635647</v>
      </c>
      <c r="P9" s="95"/>
      <c r="Q9" s="96"/>
      <c r="R9" s="97"/>
      <c r="S9" s="119">
        <f>(1+(0.12/12))^12-1</f>
        <v>0.1268250301</v>
      </c>
      <c r="T9" s="118">
        <f>90000/(1.15^2)</f>
        <v>68052.93006</v>
      </c>
      <c r="U9" s="119">
        <f>SQRT(36000/20000)-1</f>
        <v>0.3416407865</v>
      </c>
      <c r="V9" s="120">
        <f t="shared" si="33"/>
        <v>1.5438324</v>
      </c>
      <c r="W9" s="121">
        <f t="shared" si="37"/>
        <v>0.5438324</v>
      </c>
      <c r="X9" s="160">
        <f t="shared" si="19"/>
        <v>16875</v>
      </c>
      <c r="Y9" s="123">
        <f t="shared" si="38"/>
        <v>15454.515</v>
      </c>
      <c r="Z9" s="124" t="s">
        <v>136</v>
      </c>
      <c r="AA9" s="98"/>
      <c r="AB9" s="99"/>
      <c r="AC9" s="100"/>
      <c r="AD9" s="101"/>
      <c r="AE9" s="161"/>
      <c r="AF9" s="149">
        <f t="shared" si="39"/>
        <v>34029.15985</v>
      </c>
      <c r="AG9" s="150">
        <f t="shared" si="40"/>
        <v>36395.1104</v>
      </c>
      <c r="AH9" s="167"/>
      <c r="AI9" s="168"/>
      <c r="AJ9" s="169"/>
      <c r="AK9" s="170"/>
      <c r="AL9" s="170"/>
      <c r="AM9" s="170"/>
      <c r="AN9" s="170"/>
    </row>
    <row r="10">
      <c r="A10" s="22"/>
      <c r="B10" s="171" t="s">
        <v>137</v>
      </c>
      <c r="C10" s="172">
        <f t="shared" ref="C10:C18" si="41">1+0.12</f>
        <v>1.12</v>
      </c>
      <c r="D10" s="105">
        <f>(1+0.12*(3/12))^4</f>
        <v>1.12550881</v>
      </c>
      <c r="E10" s="173">
        <f t="shared" si="3"/>
        <v>0.00550881</v>
      </c>
      <c r="F10" s="107">
        <f t="shared" si="4"/>
        <v>27544.05</v>
      </c>
      <c r="G10" s="174">
        <f t="shared" ref="G10:G11" si="42">(10000/9800 -1)*(1/0.25)</f>
        <v>0.08163265306</v>
      </c>
      <c r="H10" s="109">
        <f>(10000-9800)/(10000*1/4)</f>
        <v>0.08</v>
      </c>
      <c r="I10" s="110">
        <f>(10000/9800)^4-1</f>
        <v>0.08416578473</v>
      </c>
      <c r="J10" s="111">
        <f>1-(9800/10000)^4</f>
        <v>0.07763184</v>
      </c>
      <c r="K10" s="175">
        <f>100000*(1-0.08*55/360)</f>
        <v>98777.77778</v>
      </c>
      <c r="L10" s="176">
        <f t="shared" ref="L10:L15" si="43">100000-K10</f>
        <v>1222.222222</v>
      </c>
      <c r="M10" s="114">
        <f>(1631.25-1500)/15*12/1500</f>
        <v>0.07</v>
      </c>
      <c r="N10" s="163">
        <f>1+18/12*0.3</f>
        <v>1.45</v>
      </c>
      <c r="O10" s="177">
        <f>(1+0.28/12)^18</f>
        <v>1.514635647</v>
      </c>
      <c r="P10" s="158"/>
      <c r="Q10" s="159"/>
      <c r="R10" s="97"/>
      <c r="S10" s="119">
        <f t="shared" ref="S10:S18" si="44">(1 + 0.12/12)^12 - 1</f>
        <v>0.1268250301</v>
      </c>
      <c r="T10" s="178">
        <f t="shared" ref="T10:T13" si="45">90000/1.15^2</f>
        <v>68052.93006</v>
      </c>
      <c r="U10" s="119">
        <f>SQRT(36000/20000) -1</f>
        <v>0.3416407865</v>
      </c>
      <c r="V10" s="120">
        <f>1+1*0.16+0.5*(0.17+0.18+0.19)</f>
        <v>1.43</v>
      </c>
      <c r="W10" s="121">
        <f>1*(1+0.16)*(1+0.09)*(1+0.1)*(1+0.11) - 1</f>
        <v>0.5438324</v>
      </c>
      <c r="X10" s="122">
        <f t="shared" si="19"/>
        <v>16875</v>
      </c>
      <c r="Y10" s="123">
        <f>15000*(1+0.12/4)</f>
        <v>15450</v>
      </c>
      <c r="Z10" s="124" t="s">
        <v>138</v>
      </c>
      <c r="AA10" s="98"/>
      <c r="AB10" s="99"/>
      <c r="AC10" s="100"/>
      <c r="AD10" s="101"/>
      <c r="AE10" s="179"/>
      <c r="AF10" s="180"/>
      <c r="AG10" s="179"/>
      <c r="AH10" s="181"/>
      <c r="AI10" s="182"/>
      <c r="AJ10" s="127"/>
      <c r="AK10" s="93"/>
      <c r="AL10" s="93"/>
      <c r="AM10" s="93"/>
      <c r="AN10" s="93"/>
    </row>
    <row r="11">
      <c r="A11" s="22"/>
      <c r="B11" s="151" t="s">
        <v>139</v>
      </c>
      <c r="C11" s="152">
        <f t="shared" si="41"/>
        <v>1.12</v>
      </c>
      <c r="D11" s="153">
        <f t="shared" ref="D11:D18" si="46">(1+0.12/4)^4</f>
        <v>1.12550881</v>
      </c>
      <c r="E11" s="153">
        <f t="shared" si="3"/>
        <v>0.00550881</v>
      </c>
      <c r="F11" s="154">
        <f t="shared" si="4"/>
        <v>27544.05</v>
      </c>
      <c r="G11" s="155">
        <f t="shared" si="42"/>
        <v>0.08163265306</v>
      </c>
      <c r="H11" s="109">
        <f t="shared" ref="H11:H13" si="47">(10000-9800)/(10000*0.25)</f>
        <v>0.08</v>
      </c>
      <c r="I11" s="110">
        <f>(10000/9800)^(1/0.25)-1</f>
        <v>0.08416578473</v>
      </c>
      <c r="J11" s="156">
        <f>1-(9800/10000)^(1/0.25)</f>
        <v>0.07763184</v>
      </c>
      <c r="K11" s="183">
        <f>100000*(1-55*0.08/360)</f>
        <v>98777.77778</v>
      </c>
      <c r="L11" s="113">
        <f t="shared" si="43"/>
        <v>1222.222222</v>
      </c>
      <c r="M11" s="114">
        <f>(1631.25-1500)/(1500*1.25)</f>
        <v>0.07</v>
      </c>
      <c r="N11" s="115">
        <f t="shared" ref="N11:N13" si="48">1*(1+1.5*0.3)</f>
        <v>1.45</v>
      </c>
      <c r="O11" s="116">
        <f t="shared" ref="O11:O13" si="49">1*(1+0.28/12)^(18)</f>
        <v>1.514635647</v>
      </c>
      <c r="P11" s="95"/>
      <c r="Q11" s="96"/>
      <c r="R11" s="184"/>
      <c r="S11" s="119">
        <f t="shared" si="44"/>
        <v>0.1268250301</v>
      </c>
      <c r="T11" s="118">
        <f t="shared" si="45"/>
        <v>68052.93006</v>
      </c>
      <c r="U11" s="119">
        <f t="shared" ref="U11:U13" si="50">(36000/20000)^(1/2)-1</f>
        <v>0.3416407865</v>
      </c>
      <c r="V11" s="120">
        <f>1*(1+0.16)*(1+0.09)*(1+0.1)*(1+0.11)</f>
        <v>1.5438324</v>
      </c>
      <c r="W11" s="185">
        <f>1*(1+0.16/1)*(1+0.09)*(1+0.1)*(1+0.11)-1</f>
        <v>0.5438324</v>
      </c>
      <c r="X11" s="122">
        <f>15000*(1+1*0.125)</f>
        <v>16875</v>
      </c>
      <c r="Y11" s="123">
        <f>15000*(1+0.12/12)^(3)</f>
        <v>15454.515</v>
      </c>
      <c r="Z11" s="124" t="s">
        <v>140</v>
      </c>
      <c r="AA11" s="98"/>
      <c r="AB11" s="99"/>
      <c r="AC11" s="100"/>
      <c r="AD11" s="101"/>
      <c r="AE11" s="186"/>
      <c r="AF11" s="88">
        <f>50000/1.08^5</f>
        <v>34029.15985</v>
      </c>
      <c r="AG11" s="187">
        <f>(AF11 * 1.08 - 10000) * (1+0.08) ^ 4</f>
        <v>36395.1104</v>
      </c>
      <c r="AH11" s="188"/>
      <c r="AI11" s="189"/>
      <c r="AJ11" s="127"/>
      <c r="AK11" s="93"/>
      <c r="AL11" s="93"/>
      <c r="AM11" s="93"/>
      <c r="AN11" s="93"/>
    </row>
    <row r="12">
      <c r="A12" s="22"/>
      <c r="B12" s="171" t="s">
        <v>141</v>
      </c>
      <c r="C12" s="190">
        <f t="shared" si="41"/>
        <v>1.12</v>
      </c>
      <c r="D12" s="191">
        <f t="shared" si="46"/>
        <v>1.12550881</v>
      </c>
      <c r="E12" s="173">
        <f t="shared" si="3"/>
        <v>0.00550881</v>
      </c>
      <c r="F12" s="107">
        <f t="shared" si="4"/>
        <v>27544.05</v>
      </c>
      <c r="G12" s="174">
        <f t="shared" ref="G12:G13" si="51">(10000/9800 -1)*(1/(1/4))</f>
        <v>0.08163265306</v>
      </c>
      <c r="H12" s="109">
        <f t="shared" si="47"/>
        <v>0.08</v>
      </c>
      <c r="I12" s="166">
        <f t="shared" ref="I12:I13" si="52">(10000/9800)^(1/(1/4))-1</f>
        <v>0.08416578473</v>
      </c>
      <c r="J12" s="111">
        <f t="shared" ref="J12:J13" si="53">1-(9800/10000)^(1/(1/4))</f>
        <v>0.07763184</v>
      </c>
      <c r="K12" s="183">
        <f t="shared" ref="K12:K13" si="54">100000*(1-(30-23+31+17)/360*0.08)</f>
        <v>98777.77778</v>
      </c>
      <c r="L12" s="113">
        <f t="shared" si="43"/>
        <v>1222.222222</v>
      </c>
      <c r="M12" s="114">
        <f>(1631.25-1500)/1500</f>
        <v>0.0875</v>
      </c>
      <c r="N12" s="115">
        <f t="shared" si="48"/>
        <v>1.45</v>
      </c>
      <c r="O12" s="116">
        <f t="shared" si="49"/>
        <v>1.514635647</v>
      </c>
      <c r="P12" s="95"/>
      <c r="Q12" s="96"/>
      <c r="R12" s="97"/>
      <c r="S12" s="137">
        <f t="shared" si="44"/>
        <v>0.1268250301</v>
      </c>
      <c r="T12" s="118">
        <f t="shared" si="45"/>
        <v>68052.93006</v>
      </c>
      <c r="U12" s="119">
        <f t="shared" si="50"/>
        <v>0.3416407865</v>
      </c>
      <c r="V12" s="120">
        <f>1*(1+0.16)*(1+0.01)^(2.5*2)</f>
        <v>1.219171658</v>
      </c>
      <c r="W12" s="121">
        <f>V12-1</f>
        <v>0.2191716581</v>
      </c>
      <c r="X12" s="122">
        <f t="shared" ref="X12:X13" si="56">15000 *1.125</f>
        <v>16875</v>
      </c>
      <c r="Y12" s="123">
        <f t="shared" ref="Y12:Y13" si="57">15000*(1+3/12*0.12)</f>
        <v>15450</v>
      </c>
      <c r="Z12" s="124" t="s">
        <v>142</v>
      </c>
      <c r="AA12" s="98"/>
      <c r="AB12" s="99"/>
      <c r="AC12" s="100"/>
      <c r="AD12" s="101"/>
      <c r="AE12" s="179"/>
      <c r="AF12" s="192"/>
      <c r="AG12" s="179"/>
      <c r="AH12" s="181"/>
      <c r="AI12" s="182"/>
      <c r="AJ12" s="132"/>
      <c r="AK12" s="133"/>
      <c r="AL12" s="133"/>
      <c r="AM12" s="133"/>
      <c r="AN12" s="133"/>
    </row>
    <row r="13">
      <c r="A13" s="22"/>
      <c r="B13" s="171" t="s">
        <v>143</v>
      </c>
      <c r="C13" s="193">
        <f t="shared" si="41"/>
        <v>1.12</v>
      </c>
      <c r="D13" s="194">
        <f t="shared" si="46"/>
        <v>1.12550881</v>
      </c>
      <c r="E13" s="194">
        <f t="shared" si="3"/>
        <v>0.00550881</v>
      </c>
      <c r="F13" s="195">
        <f t="shared" si="4"/>
        <v>27544.05</v>
      </c>
      <c r="G13" s="174">
        <f t="shared" si="51"/>
        <v>0.08163265306</v>
      </c>
      <c r="H13" s="109">
        <f t="shared" si="47"/>
        <v>0.08</v>
      </c>
      <c r="I13" s="166">
        <f t="shared" si="52"/>
        <v>0.08416578473</v>
      </c>
      <c r="J13" s="111">
        <f t="shared" si="53"/>
        <v>0.07763184</v>
      </c>
      <c r="K13" s="183">
        <f t="shared" si="54"/>
        <v>98777.77778</v>
      </c>
      <c r="L13" s="195">
        <f t="shared" si="43"/>
        <v>1222.222222</v>
      </c>
      <c r="M13" s="114">
        <f t="shared" ref="M13:M14" si="58">(1631.25-1500)/(1500*15/12)</f>
        <v>0.07</v>
      </c>
      <c r="N13" s="163">
        <f t="shared" si="48"/>
        <v>1.45</v>
      </c>
      <c r="O13" s="196">
        <f t="shared" si="49"/>
        <v>1.514635647</v>
      </c>
      <c r="P13" s="197" t="str">
        <f t="shared" ref="P13:R13" si="55">P12</f>
        <v/>
      </c>
      <c r="Q13" s="197" t="str">
        <f t="shared" si="55"/>
        <v/>
      </c>
      <c r="R13" s="198" t="str">
        <f t="shared" si="55"/>
        <v/>
      </c>
      <c r="S13" s="117">
        <f t="shared" si="44"/>
        <v>0.1268250301</v>
      </c>
      <c r="T13" s="178">
        <f t="shared" si="45"/>
        <v>68052.93006</v>
      </c>
      <c r="U13" s="119">
        <f t="shared" si="50"/>
        <v>0.3416407865</v>
      </c>
      <c r="V13" s="120"/>
      <c r="W13" s="121"/>
      <c r="X13" s="122">
        <f t="shared" si="56"/>
        <v>16875</v>
      </c>
      <c r="Y13" s="123">
        <f t="shared" si="57"/>
        <v>15450</v>
      </c>
      <c r="Z13" s="124" t="s">
        <v>142</v>
      </c>
      <c r="AA13" s="98"/>
      <c r="AB13" s="99"/>
      <c r="AC13" s="100"/>
      <c r="AD13" s="101"/>
      <c r="AE13" s="161"/>
      <c r="AF13" s="98"/>
      <c r="AG13" s="161"/>
      <c r="AH13" s="167"/>
      <c r="AI13" s="168"/>
      <c r="AJ13" s="127"/>
      <c r="AK13" s="93"/>
      <c r="AL13" s="93"/>
      <c r="AM13" s="93"/>
      <c r="AN13" s="93"/>
    </row>
    <row r="14">
      <c r="A14" s="22"/>
      <c r="B14" s="199" t="s">
        <v>144</v>
      </c>
      <c r="C14" s="190">
        <f t="shared" si="41"/>
        <v>1.12</v>
      </c>
      <c r="D14" s="173">
        <f t="shared" si="46"/>
        <v>1.12550881</v>
      </c>
      <c r="E14" s="173">
        <f t="shared" si="3"/>
        <v>0.00550881</v>
      </c>
      <c r="F14" s="165">
        <f t="shared" si="4"/>
        <v>27544.05</v>
      </c>
      <c r="G14" s="155">
        <f>(10000-9800)/(9800*3/12)</f>
        <v>0.08163265306</v>
      </c>
      <c r="H14" s="109">
        <f>(10000-9800)/(10000*3/12)</f>
        <v>0.08</v>
      </c>
      <c r="I14" s="110">
        <f>(10000/9800)^(1/(3/12))-1</f>
        <v>0.08416578473</v>
      </c>
      <c r="J14" s="111">
        <f>1-(9800/10000)^(1/(3/12))</f>
        <v>0.07763184</v>
      </c>
      <c r="K14" s="183">
        <f>100000*(1-0.08*55/360)</f>
        <v>98777.77778</v>
      </c>
      <c r="L14" s="113">
        <f t="shared" si="43"/>
        <v>1222.222222</v>
      </c>
      <c r="M14" s="114">
        <f t="shared" si="58"/>
        <v>0.07</v>
      </c>
      <c r="N14" s="115">
        <f>(1+0.3*18/12)</f>
        <v>1.45</v>
      </c>
      <c r="O14" s="177">
        <f>(1+0.28/12)^(12*(18/12))</f>
        <v>1.514635647</v>
      </c>
      <c r="P14" s="95">
        <f>0.3</f>
        <v>0.3</v>
      </c>
      <c r="Q14" s="96">
        <f>(1+0.28/12)^12-1</f>
        <v>0.3188805059</v>
      </c>
      <c r="R14" s="97" t="s">
        <v>145</v>
      </c>
      <c r="S14" s="117">
        <f t="shared" si="44"/>
        <v>0.1268250301</v>
      </c>
      <c r="T14" s="118">
        <f t="shared" ref="T14:T18" si="59">90000/(1+0.15)^2</f>
        <v>68052.93006</v>
      </c>
      <c r="U14" s="119">
        <f t="shared" ref="U14:U16" si="60">SQRT(36000/20000) -1</f>
        <v>0.3416407865</v>
      </c>
      <c r="V14" s="120">
        <f>(1+0.16)^2*(1+0.17)*(1+0.18)*(1+0.19)</f>
        <v>2.210705078</v>
      </c>
      <c r="W14" s="200"/>
      <c r="X14" s="122">
        <f>15000*(1+0.125)</f>
        <v>16875</v>
      </c>
      <c r="Y14" s="123">
        <f>15000*(1+0.12*3/12)</f>
        <v>15450</v>
      </c>
      <c r="Z14" s="124" t="s">
        <v>146</v>
      </c>
      <c r="AA14" s="98"/>
      <c r="AB14" s="99"/>
      <c r="AC14" s="100"/>
      <c r="AD14" s="101"/>
      <c r="AE14" s="130"/>
      <c r="AF14" s="149"/>
      <c r="AG14" s="130"/>
      <c r="AH14" s="160"/>
      <c r="AI14" s="123"/>
      <c r="AJ14" s="127"/>
      <c r="AK14" s="93"/>
      <c r="AL14" s="93"/>
      <c r="AM14" s="93"/>
      <c r="AN14" s="93"/>
    </row>
    <row r="15">
      <c r="A15" s="22"/>
      <c r="B15" s="134" t="s">
        <v>147</v>
      </c>
      <c r="C15" s="163">
        <f t="shared" si="41"/>
        <v>1.12</v>
      </c>
      <c r="D15" s="191">
        <f t="shared" si="46"/>
        <v>1.12550881</v>
      </c>
      <c r="E15" s="191">
        <f t="shared" si="3"/>
        <v>0.00550881</v>
      </c>
      <c r="F15" s="107">
        <f t="shared" si="4"/>
        <v>27544.05</v>
      </c>
      <c r="G15" s="155">
        <f t="shared" ref="G15:G16" si="61">(10000/9800 -1)*(1/0.25)</f>
        <v>0.08163265306</v>
      </c>
      <c r="H15" s="137">
        <f t="shared" ref="H15:H18" si="62">(10000-9800)/(10000*0.25)</f>
        <v>0.08</v>
      </c>
      <c r="I15" s="110">
        <f t="shared" ref="I15:I18" si="63">(10000/9800)^(1/0.25)-1</f>
        <v>0.08416578473</v>
      </c>
      <c r="J15" s="201">
        <f t="shared" ref="J15:J18" si="64">1-(9800/10000)^(1/0.25)</f>
        <v>0.07763184</v>
      </c>
      <c r="K15" s="202">
        <f t="shared" ref="K15:K16" si="65">100000*(1-55/360*0.08)</f>
        <v>98777.77778</v>
      </c>
      <c r="L15" s="203">
        <f t="shared" si="43"/>
        <v>1222.222222</v>
      </c>
      <c r="M15" s="109">
        <f t="shared" ref="M15:M16" si="66">(1631.25-1500)/(1500*1.25)</f>
        <v>0.07</v>
      </c>
      <c r="N15" s="204">
        <f t="shared" ref="N15:N18" si="67">1*(1+1.5*0.3)</f>
        <v>1.45</v>
      </c>
      <c r="O15" s="205">
        <f t="shared" ref="O15:O18" si="68">1*(1+0.28/12)^(18)</f>
        <v>1.514635647</v>
      </c>
      <c r="P15" s="206"/>
      <c r="Q15" s="207"/>
      <c r="R15" s="208"/>
      <c r="S15" s="209">
        <f t="shared" si="44"/>
        <v>0.1268250301</v>
      </c>
      <c r="T15" s="210">
        <f t="shared" si="59"/>
        <v>68052.93006</v>
      </c>
      <c r="U15" s="119">
        <f t="shared" si="60"/>
        <v>0.3416407865</v>
      </c>
      <c r="V15" s="120">
        <f t="shared" ref="V15:V18" si="69">1*(1+0.16)*(1+0.09)*(1+0.1)*(1+0.11)</f>
        <v>1.5438324</v>
      </c>
      <c r="W15" s="121">
        <f t="shared" ref="W15:W18" si="70">1*(1+0.16/1)*(1+0.09)*(1+0.1)*(1+0.11)-1</f>
        <v>0.5438324</v>
      </c>
      <c r="X15" s="122">
        <f>15000*(1+0.125/1)^1</f>
        <v>16875</v>
      </c>
      <c r="Y15" s="123">
        <f t="shared" ref="Y15:Y16" si="71">15000 * (1+0.12/4)^4</f>
        <v>16882.63215</v>
      </c>
      <c r="Z15" s="124" t="s">
        <v>148</v>
      </c>
      <c r="AA15" s="98"/>
      <c r="AB15" s="99"/>
      <c r="AC15" s="100"/>
      <c r="AD15" s="101"/>
      <c r="AE15" s="161"/>
      <c r="AF15" s="88">
        <f t="shared" ref="AF15:AF16" si="72">50000/1.08^5</f>
        <v>34029.15985</v>
      </c>
      <c r="AG15" s="150">
        <f t="shared" ref="AG15:AG16" si="73">(AF15 * 1.08 - 10000) * (1+0.08) ^ 4</f>
        <v>36395.1104</v>
      </c>
      <c r="AH15" s="98"/>
      <c r="AI15" s="168"/>
      <c r="AJ15" s="127"/>
      <c r="AK15" s="93"/>
      <c r="AL15" s="93"/>
      <c r="AM15" s="93"/>
      <c r="AN15" s="93"/>
    </row>
    <row r="16">
      <c r="A16" s="22"/>
      <c r="B16" s="151" t="s">
        <v>149</v>
      </c>
      <c r="C16" s="163">
        <f t="shared" si="41"/>
        <v>1.12</v>
      </c>
      <c r="D16" s="191">
        <f t="shared" si="46"/>
        <v>1.12550881</v>
      </c>
      <c r="E16" s="153">
        <f t="shared" si="3"/>
        <v>0.00550881</v>
      </c>
      <c r="F16" s="211">
        <f t="shared" si="4"/>
        <v>27544.05</v>
      </c>
      <c r="G16" s="155">
        <f t="shared" si="61"/>
        <v>0.08163265306</v>
      </c>
      <c r="H16" s="137">
        <f t="shared" si="62"/>
        <v>0.08</v>
      </c>
      <c r="I16" s="110">
        <f t="shared" si="63"/>
        <v>0.08416578473</v>
      </c>
      <c r="J16" s="201">
        <f t="shared" si="64"/>
        <v>0.07763184</v>
      </c>
      <c r="K16" s="202">
        <f t="shared" si="65"/>
        <v>98777.77778</v>
      </c>
      <c r="L16" s="212">
        <f>100000 - K16</f>
        <v>1222.222222</v>
      </c>
      <c r="M16" s="109">
        <f t="shared" si="66"/>
        <v>0.07</v>
      </c>
      <c r="N16" s="204">
        <f t="shared" si="67"/>
        <v>1.45</v>
      </c>
      <c r="O16" s="205">
        <f t="shared" si="68"/>
        <v>1.514635647</v>
      </c>
      <c r="P16" s="213"/>
      <c r="Q16" s="214"/>
      <c r="R16" s="208"/>
      <c r="S16" s="209">
        <f t="shared" si="44"/>
        <v>0.1268250301</v>
      </c>
      <c r="T16" s="210">
        <f t="shared" si="59"/>
        <v>68052.93006</v>
      </c>
      <c r="U16" s="119">
        <f t="shared" si="60"/>
        <v>0.3416407865</v>
      </c>
      <c r="V16" s="120">
        <f t="shared" si="69"/>
        <v>1.5438324</v>
      </c>
      <c r="W16" s="121">
        <f t="shared" si="70"/>
        <v>0.5438324</v>
      </c>
      <c r="X16" s="122">
        <f>15000*(1+0.125)</f>
        <v>16875</v>
      </c>
      <c r="Y16" s="123">
        <f t="shared" si="71"/>
        <v>16882.63215</v>
      </c>
      <c r="Z16" s="124" t="s">
        <v>148</v>
      </c>
      <c r="AA16" s="98"/>
      <c r="AB16" s="99"/>
      <c r="AC16" s="100"/>
      <c r="AD16" s="101"/>
      <c r="AE16" s="99"/>
      <c r="AF16" s="88">
        <f t="shared" si="72"/>
        <v>34029.15985</v>
      </c>
      <c r="AG16" s="150">
        <f t="shared" si="73"/>
        <v>36395.1104</v>
      </c>
      <c r="AH16" s="215"/>
      <c r="AI16" s="216"/>
      <c r="AJ16" s="217"/>
      <c r="AK16" s="218"/>
      <c r="AL16" s="218"/>
      <c r="AM16" s="218"/>
      <c r="AN16" s="218"/>
    </row>
    <row r="17">
      <c r="A17" s="22"/>
      <c r="B17" s="94" t="s">
        <v>150</v>
      </c>
      <c r="C17" s="152">
        <f t="shared" si="41"/>
        <v>1.12</v>
      </c>
      <c r="D17" s="153">
        <f t="shared" si="46"/>
        <v>1.12550881</v>
      </c>
      <c r="E17" s="153">
        <f t="shared" si="3"/>
        <v>0.00550881</v>
      </c>
      <c r="F17" s="154">
        <f t="shared" si="4"/>
        <v>27544.05</v>
      </c>
      <c r="G17" s="155">
        <f t="shared" ref="G17:G18" si="74">(1/0.25)*((10000/9800)-1)</f>
        <v>0.08163265306</v>
      </c>
      <c r="H17" s="109">
        <f t="shared" si="62"/>
        <v>0.08</v>
      </c>
      <c r="I17" s="110">
        <f t="shared" si="63"/>
        <v>0.08416578473</v>
      </c>
      <c r="J17" s="219">
        <f t="shared" si="64"/>
        <v>0.07763184</v>
      </c>
      <c r="K17" s="220">
        <f t="shared" ref="K17:K18" si="75">100000*(1-55*0.08/360)</f>
        <v>98777.77778</v>
      </c>
      <c r="L17" s="221">
        <f t="shared" ref="L17:L18" si="76">100000-K17</f>
        <v>1222.222222</v>
      </c>
      <c r="M17" s="222">
        <f t="shared" ref="M17:M18" si="77">(1/1.25)*(1631.25/1500-1)</f>
        <v>0.07</v>
      </c>
      <c r="N17" s="115">
        <f t="shared" si="67"/>
        <v>1.45</v>
      </c>
      <c r="O17" s="205">
        <f t="shared" si="68"/>
        <v>1.514635647</v>
      </c>
      <c r="P17" s="95"/>
      <c r="Q17" s="223"/>
      <c r="R17" s="97"/>
      <c r="S17" s="117">
        <f t="shared" si="44"/>
        <v>0.1268250301</v>
      </c>
      <c r="T17" s="118">
        <f t="shared" si="59"/>
        <v>68052.93006</v>
      </c>
      <c r="U17" s="119">
        <f t="shared" ref="U17:U18" si="78">(36000/20000)^(1/2)-1</f>
        <v>0.3416407865</v>
      </c>
      <c r="V17" s="224">
        <f t="shared" si="69"/>
        <v>1.5438324</v>
      </c>
      <c r="W17" s="121">
        <f t="shared" si="70"/>
        <v>0.5438324</v>
      </c>
      <c r="X17" s="122">
        <f t="shared" ref="X17:X18" si="79">15000*(1+1*0.125)</f>
        <v>16875</v>
      </c>
      <c r="Y17" s="123">
        <f t="shared" ref="Y17:Y18" si="80">15000*(1+0.12/12)^(3)</f>
        <v>15454.515</v>
      </c>
      <c r="Z17" s="124" t="s">
        <v>151</v>
      </c>
      <c r="AA17" s="98"/>
      <c r="AB17" s="99"/>
      <c r="AC17" s="100"/>
      <c r="AD17" s="101"/>
      <c r="AE17" s="225"/>
      <c r="AF17" s="98"/>
      <c r="AG17" s="161"/>
      <c r="AH17" s="226"/>
      <c r="AI17" s="227"/>
      <c r="AJ17" s="217"/>
      <c r="AK17" s="218"/>
      <c r="AL17" s="218"/>
      <c r="AM17" s="218"/>
      <c r="AN17" s="218"/>
    </row>
    <row r="18">
      <c r="A18" s="22"/>
      <c r="B18" s="94" t="s">
        <v>152</v>
      </c>
      <c r="C18" s="152">
        <f t="shared" si="41"/>
        <v>1.12</v>
      </c>
      <c r="D18" s="153">
        <f t="shared" si="46"/>
        <v>1.12550881</v>
      </c>
      <c r="E18" s="153">
        <f t="shared" si="3"/>
        <v>0.00550881</v>
      </c>
      <c r="F18" s="154">
        <f t="shared" si="4"/>
        <v>27544.05</v>
      </c>
      <c r="G18" s="155">
        <f t="shared" si="74"/>
        <v>0.08163265306</v>
      </c>
      <c r="H18" s="109">
        <f t="shared" si="62"/>
        <v>0.08</v>
      </c>
      <c r="I18" s="138">
        <f t="shared" si="63"/>
        <v>0.08416578473</v>
      </c>
      <c r="J18" s="201">
        <f t="shared" si="64"/>
        <v>0.07763184</v>
      </c>
      <c r="K18" s="228">
        <f t="shared" si="75"/>
        <v>98777.77778</v>
      </c>
      <c r="L18" s="229">
        <f t="shared" si="76"/>
        <v>1222.222222</v>
      </c>
      <c r="M18" s="114">
        <f t="shared" si="77"/>
        <v>0.07</v>
      </c>
      <c r="N18" s="115">
        <f t="shared" si="67"/>
        <v>1.45</v>
      </c>
      <c r="O18" s="177">
        <f t="shared" si="68"/>
        <v>1.514635647</v>
      </c>
      <c r="P18" s="213"/>
      <c r="Q18" s="214"/>
      <c r="R18" s="230"/>
      <c r="S18" s="231">
        <f t="shared" si="44"/>
        <v>0.1268250301</v>
      </c>
      <c r="T18" s="232">
        <f t="shared" si="59"/>
        <v>68052.93006</v>
      </c>
      <c r="U18" s="119">
        <f t="shared" si="78"/>
        <v>0.3416407865</v>
      </c>
      <c r="V18" s="224">
        <f t="shared" si="69"/>
        <v>1.5438324</v>
      </c>
      <c r="W18" s="121">
        <f t="shared" si="70"/>
        <v>0.5438324</v>
      </c>
      <c r="X18" s="122">
        <f t="shared" si="79"/>
        <v>16875</v>
      </c>
      <c r="Y18" s="233">
        <f t="shared" si="80"/>
        <v>15454.515</v>
      </c>
      <c r="Z18" s="124" t="s">
        <v>151</v>
      </c>
      <c r="AA18" s="215"/>
      <c r="AB18" s="99"/>
      <c r="AC18" s="215"/>
      <c r="AD18" s="216"/>
      <c r="AE18" s="99"/>
      <c r="AF18" s="215"/>
      <c r="AG18" s="99"/>
      <c r="AH18" s="215"/>
      <c r="AI18" s="216"/>
      <c r="AJ18" s="217"/>
      <c r="AK18" s="218"/>
      <c r="AL18" s="218"/>
      <c r="AM18" s="218"/>
      <c r="AN18" s="218"/>
    </row>
    <row r="19">
      <c r="A19" s="22"/>
      <c r="B19" s="151"/>
      <c r="C19" s="152"/>
      <c r="D19" s="153"/>
      <c r="E19" s="153"/>
      <c r="F19" s="154"/>
      <c r="G19" s="155"/>
      <c r="H19" s="109"/>
      <c r="I19" s="110"/>
      <c r="J19" s="111"/>
      <c r="K19" s="202"/>
      <c r="L19" s="113"/>
      <c r="M19" s="114"/>
      <c r="N19" s="115"/>
      <c r="O19" s="177"/>
      <c r="P19" s="213"/>
      <c r="Q19" s="214"/>
      <c r="R19" s="230"/>
      <c r="S19" s="231"/>
      <c r="T19" s="234"/>
      <c r="U19" s="119"/>
      <c r="V19" s="235"/>
      <c r="W19" s="236"/>
      <c r="X19" s="237"/>
      <c r="Y19" s="233"/>
      <c r="Z19" s="99"/>
      <c r="AA19" s="215"/>
      <c r="AB19" s="99"/>
      <c r="AC19" s="215"/>
      <c r="AD19" s="216"/>
      <c r="AE19" s="99"/>
      <c r="AF19" s="215"/>
      <c r="AG19" s="99"/>
      <c r="AH19" s="215"/>
      <c r="AI19" s="216"/>
      <c r="AJ19" s="217"/>
      <c r="AK19" s="218"/>
      <c r="AL19" s="218"/>
      <c r="AM19" s="218"/>
      <c r="AN19" s="218"/>
    </row>
    <row r="20">
      <c r="A20" s="22"/>
      <c r="B20" s="94"/>
      <c r="C20" s="238"/>
      <c r="D20" s="239"/>
      <c r="E20" s="239"/>
      <c r="F20" s="240"/>
      <c r="G20" s="155"/>
      <c r="H20" s="109"/>
      <c r="I20" s="110"/>
      <c r="J20" s="111"/>
      <c r="K20" s="202"/>
      <c r="L20" s="113"/>
      <c r="M20" s="114"/>
      <c r="N20" s="190"/>
      <c r="O20" s="177"/>
      <c r="P20" s="213"/>
      <c r="Q20" s="214"/>
      <c r="R20" s="241"/>
      <c r="S20" s="242"/>
      <c r="T20" s="243"/>
      <c r="U20" s="244"/>
      <c r="V20" s="245"/>
      <c r="W20" s="236"/>
      <c r="X20" s="237"/>
      <c r="Y20" s="233"/>
      <c r="Z20" s="99"/>
      <c r="AA20" s="215"/>
      <c r="AB20" s="99"/>
      <c r="AC20" s="215"/>
      <c r="AD20" s="216"/>
      <c r="AE20" s="99"/>
      <c r="AF20" s="215"/>
      <c r="AG20" s="99"/>
      <c r="AH20" s="215"/>
      <c r="AI20" s="216"/>
      <c r="AJ20" s="217"/>
      <c r="AK20" s="246"/>
      <c r="AL20" s="246"/>
      <c r="AM20" s="246"/>
      <c r="AN20" s="246"/>
    </row>
    <row r="21">
      <c r="A21" s="22"/>
      <c r="B21" s="247"/>
      <c r="C21" s="248"/>
      <c r="D21" s="249"/>
      <c r="E21" s="239"/>
      <c r="F21" s="250"/>
      <c r="G21" s="155"/>
      <c r="H21" s="109"/>
      <c r="I21" s="110"/>
      <c r="J21" s="111"/>
      <c r="K21" s="202"/>
      <c r="L21" s="113"/>
      <c r="M21" s="114"/>
      <c r="N21" s="190"/>
      <c r="O21" s="177"/>
      <c r="P21" s="251"/>
      <c r="Q21" s="214"/>
      <c r="R21" s="241"/>
      <c r="S21" s="242"/>
      <c r="T21" s="243"/>
      <c r="U21" s="244"/>
      <c r="V21" s="245"/>
      <c r="W21" s="236"/>
      <c r="X21" s="237"/>
      <c r="Y21" s="233"/>
      <c r="Z21" s="99"/>
      <c r="AA21" s="215"/>
      <c r="AB21" s="252"/>
      <c r="AC21" s="215"/>
      <c r="AD21" s="216"/>
      <c r="AE21" s="99"/>
      <c r="AF21" s="215"/>
      <c r="AG21" s="99"/>
      <c r="AH21" s="215"/>
      <c r="AI21" s="216"/>
      <c r="AJ21" s="217"/>
      <c r="AK21" s="246"/>
      <c r="AL21" s="246"/>
      <c r="AM21" s="246"/>
      <c r="AN21" s="246"/>
    </row>
    <row r="22">
      <c r="A22" s="22"/>
      <c r="B22" s="247"/>
      <c r="C22" s="248"/>
      <c r="D22" s="239"/>
      <c r="E22" s="249"/>
      <c r="F22" s="250"/>
      <c r="G22" s="155"/>
      <c r="H22" s="109"/>
      <c r="I22" s="109"/>
      <c r="J22" s="200"/>
      <c r="K22" s="202"/>
      <c r="L22" s="113"/>
      <c r="M22" s="114"/>
      <c r="N22" s="253"/>
      <c r="O22" s="251"/>
      <c r="P22" s="213"/>
      <c r="Q22" s="254"/>
      <c r="R22" s="255"/>
      <c r="S22" s="256"/>
      <c r="T22" s="257"/>
      <c r="U22" s="258"/>
      <c r="V22" s="259"/>
      <c r="W22" s="260"/>
      <c r="X22" s="261"/>
      <c r="Y22" s="262"/>
      <c r="Z22" s="263"/>
      <c r="AA22" s="261"/>
      <c r="AB22" s="161"/>
      <c r="AC22" s="264"/>
      <c r="AD22" s="265"/>
      <c r="AE22" s="263"/>
      <c r="AF22" s="264"/>
      <c r="AG22" s="263"/>
      <c r="AH22" s="264"/>
      <c r="AI22" s="265"/>
      <c r="AJ22" s="266"/>
      <c r="AK22" s="267"/>
      <c r="AL22" s="267"/>
      <c r="AM22" s="267"/>
      <c r="AN22" s="267"/>
    </row>
    <row r="23">
      <c r="A23" s="22"/>
      <c r="B23" s="268"/>
      <c r="C23" s="269"/>
      <c r="D23" s="239"/>
      <c r="E23" s="239"/>
      <c r="F23" s="270"/>
      <c r="G23" s="155"/>
      <c r="H23" s="109"/>
      <c r="I23" s="109"/>
      <c r="J23" s="200"/>
      <c r="K23" s="202"/>
      <c r="L23" s="113"/>
      <c r="M23" s="114"/>
      <c r="N23" s="253"/>
      <c r="O23" s="251"/>
      <c r="P23" s="251"/>
      <c r="Q23" s="254"/>
      <c r="R23" s="255"/>
      <c r="S23" s="256"/>
      <c r="T23" s="257"/>
      <c r="U23" s="258"/>
      <c r="V23" s="259"/>
      <c r="W23" s="271"/>
      <c r="X23" s="261"/>
      <c r="Y23" s="262"/>
      <c r="Z23" s="263"/>
      <c r="AA23" s="261"/>
      <c r="AB23" s="263"/>
      <c r="AC23" s="264"/>
      <c r="AD23" s="265"/>
      <c r="AE23" s="263"/>
      <c r="AF23" s="272"/>
      <c r="AG23" s="263"/>
      <c r="AH23" s="264"/>
      <c r="AI23" s="265"/>
      <c r="AJ23" s="266"/>
      <c r="AK23" s="267"/>
      <c r="AL23" s="267"/>
      <c r="AM23" s="267"/>
      <c r="AN23" s="267"/>
    </row>
    <row r="24">
      <c r="A24" s="22"/>
      <c r="B24" s="247"/>
      <c r="C24" s="269"/>
      <c r="D24" s="239"/>
      <c r="E24" s="239"/>
      <c r="F24" s="250"/>
      <c r="G24" s="155"/>
      <c r="H24" s="109"/>
      <c r="I24" s="109"/>
      <c r="J24" s="200"/>
      <c r="K24" s="202"/>
      <c r="L24" s="113"/>
      <c r="M24" s="114"/>
      <c r="N24" s="253"/>
      <c r="O24" s="251"/>
      <c r="P24" s="251"/>
      <c r="Q24" s="254"/>
      <c r="R24" s="255"/>
      <c r="S24" s="256"/>
      <c r="T24" s="257"/>
      <c r="U24" s="258"/>
      <c r="V24" s="259"/>
      <c r="W24" s="273"/>
      <c r="X24" s="261"/>
      <c r="Y24" s="262"/>
      <c r="Z24" s="263"/>
      <c r="AA24" s="264"/>
      <c r="AB24" s="263"/>
      <c r="AC24" s="264"/>
      <c r="AD24" s="265"/>
      <c r="AE24" s="263"/>
      <c r="AF24" s="264"/>
      <c r="AG24" s="263"/>
      <c r="AH24" s="264"/>
      <c r="AI24" s="265"/>
      <c r="AJ24" s="266"/>
      <c r="AK24" s="267"/>
      <c r="AL24" s="267"/>
      <c r="AM24" s="267"/>
      <c r="AN24" s="267"/>
    </row>
    <row r="25">
      <c r="A25" s="22"/>
      <c r="B25" s="268"/>
      <c r="C25" s="274"/>
      <c r="D25" s="275"/>
      <c r="E25" s="275"/>
      <c r="F25" s="276"/>
      <c r="G25" s="277"/>
      <c r="H25" s="278"/>
      <c r="I25" s="278"/>
      <c r="J25" s="279"/>
      <c r="K25" s="280"/>
      <c r="L25" s="281"/>
      <c r="M25" s="282"/>
      <c r="N25" s="283"/>
      <c r="O25" s="284"/>
      <c r="P25" s="284"/>
      <c r="Q25" s="285"/>
      <c r="R25" s="255"/>
      <c r="S25" s="256"/>
      <c r="T25" s="257"/>
      <c r="U25" s="258"/>
      <c r="V25" s="259"/>
      <c r="W25" s="286"/>
      <c r="X25" s="261"/>
      <c r="Y25" s="262"/>
      <c r="Z25" s="263"/>
      <c r="AA25" s="264"/>
      <c r="AB25" s="263"/>
      <c r="AC25" s="264"/>
      <c r="AD25" s="265"/>
      <c r="AE25" s="263"/>
      <c r="AF25" s="264"/>
      <c r="AG25" s="263"/>
      <c r="AH25" s="264"/>
      <c r="AI25" s="265"/>
      <c r="AJ25" s="266"/>
      <c r="AK25" s="267"/>
      <c r="AL25" s="267"/>
      <c r="AM25" s="267"/>
      <c r="AN25" s="267"/>
    </row>
    <row r="26">
      <c r="A26" s="22"/>
      <c r="B26" s="287"/>
      <c r="C26" s="288"/>
      <c r="D26" s="289"/>
      <c r="E26" s="289"/>
      <c r="F26" s="290"/>
      <c r="G26" s="277"/>
      <c r="H26" s="278"/>
      <c r="I26" s="278"/>
      <c r="J26" s="279"/>
      <c r="K26" s="280"/>
      <c r="L26" s="281"/>
      <c r="M26" s="282"/>
      <c r="N26" s="283"/>
      <c r="O26" s="284"/>
      <c r="P26" s="284"/>
      <c r="Q26" s="285"/>
      <c r="R26" s="255"/>
      <c r="S26" s="256"/>
      <c r="T26" s="257"/>
      <c r="U26" s="258"/>
      <c r="V26" s="259"/>
      <c r="W26" s="271"/>
      <c r="X26" s="261"/>
      <c r="Y26" s="262"/>
      <c r="Z26" s="263"/>
      <c r="AA26" s="264"/>
      <c r="AB26" s="263"/>
      <c r="AC26" s="264"/>
      <c r="AD26" s="265"/>
      <c r="AE26" s="263"/>
      <c r="AF26" s="264"/>
      <c r="AG26" s="263"/>
      <c r="AH26" s="264"/>
      <c r="AI26" s="265"/>
      <c r="AJ26" s="266"/>
      <c r="AK26" s="267"/>
      <c r="AL26" s="267"/>
      <c r="AM26" s="267"/>
      <c r="AN26" s="267"/>
    </row>
    <row r="27">
      <c r="A27" s="22"/>
      <c r="B27" s="268"/>
      <c r="C27" s="291"/>
      <c r="D27" s="292"/>
      <c r="E27" s="293"/>
      <c r="F27" s="294"/>
      <c r="G27" s="295"/>
      <c r="H27" s="296"/>
      <c r="I27" s="296"/>
      <c r="J27" s="297"/>
      <c r="K27" s="298"/>
      <c r="L27" s="299"/>
      <c r="M27" s="300"/>
      <c r="N27" s="301"/>
      <c r="O27" s="168"/>
      <c r="P27" s="168"/>
      <c r="Q27" s="161"/>
      <c r="R27" s="302"/>
      <c r="S27" s="303"/>
      <c r="T27" s="304"/>
      <c r="U27" s="302"/>
      <c r="V27" s="149"/>
      <c r="W27" s="121"/>
      <c r="X27" s="122"/>
      <c r="Y27" s="123"/>
      <c r="Z27" s="161"/>
      <c r="AA27" s="98"/>
      <c r="AB27" s="161"/>
      <c r="AC27" s="98"/>
      <c r="AD27" s="168"/>
      <c r="AE27" s="161"/>
      <c r="AF27" s="98"/>
      <c r="AG27" s="161"/>
      <c r="AH27" s="98"/>
      <c r="AI27" s="168"/>
      <c r="AJ27" s="127"/>
    </row>
    <row r="28">
      <c r="A28" s="22"/>
      <c r="B28" s="268"/>
      <c r="C28" s="305"/>
      <c r="D28" s="306"/>
      <c r="E28" s="306"/>
      <c r="F28" s="294"/>
      <c r="G28" s="295"/>
      <c r="H28" s="296"/>
      <c r="I28" s="296"/>
      <c r="J28" s="297"/>
      <c r="K28" s="298"/>
      <c r="L28" s="299"/>
      <c r="M28" s="300"/>
      <c r="N28" s="301"/>
      <c r="O28" s="168"/>
      <c r="P28" s="168"/>
      <c r="Q28" s="161"/>
      <c r="R28" s="302"/>
      <c r="S28" s="303"/>
      <c r="T28" s="304"/>
      <c r="U28" s="302"/>
      <c r="V28" s="149"/>
      <c r="W28" s="121"/>
      <c r="X28" s="122"/>
      <c r="Y28" s="123"/>
      <c r="Z28" s="161"/>
      <c r="AA28" s="98"/>
      <c r="AB28" s="161"/>
      <c r="AC28" s="98"/>
      <c r="AD28" s="168"/>
      <c r="AE28" s="161"/>
      <c r="AF28" s="98"/>
      <c r="AG28" s="161"/>
      <c r="AH28" s="98"/>
      <c r="AI28" s="168"/>
      <c r="AJ28" s="127"/>
    </row>
    <row r="29">
      <c r="A29" s="23"/>
      <c r="B29" s="307"/>
      <c r="C29" s="308"/>
      <c r="D29" s="309"/>
      <c r="E29" s="310"/>
      <c r="F29" s="307"/>
      <c r="G29" s="311"/>
      <c r="H29" s="312"/>
      <c r="I29" s="312"/>
      <c r="J29" s="313"/>
      <c r="K29" s="314"/>
      <c r="L29" s="307"/>
      <c r="M29" s="315"/>
      <c r="N29" s="316"/>
      <c r="O29" s="317"/>
      <c r="P29" s="318"/>
      <c r="Q29" s="319"/>
      <c r="R29" s="320"/>
      <c r="S29" s="321"/>
      <c r="T29" s="322"/>
      <c r="U29" s="320"/>
      <c r="V29" s="323"/>
      <c r="W29" s="324"/>
      <c r="X29" s="325"/>
      <c r="Y29" s="326"/>
      <c r="Z29" s="319"/>
      <c r="AA29" s="327"/>
      <c r="AB29" s="319"/>
      <c r="AC29" s="327"/>
      <c r="AD29" s="318"/>
      <c r="AE29" s="319"/>
      <c r="AF29" s="327"/>
      <c r="AG29" s="319"/>
      <c r="AH29" s="327"/>
      <c r="AI29" s="318"/>
      <c r="AJ29" s="328"/>
    </row>
    <row r="31">
      <c r="B31" s="329" t="s">
        <v>153</v>
      </c>
      <c r="C31" s="330" t="s">
        <v>154</v>
      </c>
      <c r="D31" s="331" t="s">
        <v>155</v>
      </c>
      <c r="E31" s="331" t="s">
        <v>156</v>
      </c>
      <c r="F31" s="332" t="s">
        <v>157</v>
      </c>
      <c r="G31" s="333"/>
    </row>
    <row r="32">
      <c r="B32" s="334"/>
      <c r="C32" s="335" t="s">
        <v>158</v>
      </c>
      <c r="D32" s="267"/>
      <c r="E32" s="267"/>
      <c r="F32" s="267"/>
      <c r="G32" s="267"/>
      <c r="H32" s="333"/>
    </row>
    <row r="33">
      <c r="B33" s="336"/>
      <c r="C33" s="337" t="s">
        <v>159</v>
      </c>
      <c r="D33" s="338"/>
      <c r="E33" s="267"/>
      <c r="F33" s="267"/>
      <c r="G33" s="267"/>
      <c r="H33" s="333"/>
    </row>
    <row r="34">
      <c r="B34" s="336"/>
      <c r="C34" s="337" t="s">
        <v>160</v>
      </c>
      <c r="D34" s="338"/>
      <c r="E34" s="338"/>
      <c r="F34" s="267"/>
      <c r="G34" s="267"/>
      <c r="H34" s="267"/>
    </row>
    <row r="35">
      <c r="H35" s="267"/>
    </row>
    <row r="36">
      <c r="H36" s="267"/>
    </row>
    <row r="37">
      <c r="B37" s="336"/>
      <c r="C37" s="337"/>
      <c r="D37" s="338"/>
      <c r="E37" s="338"/>
      <c r="F37" s="267"/>
      <c r="G37" s="267"/>
      <c r="H37" s="267"/>
    </row>
  </sheetData>
  <mergeCells count="10">
    <mergeCell ref="AC1:AE1"/>
    <mergeCell ref="AF1:AG1"/>
    <mergeCell ref="AH1:AI1"/>
    <mergeCell ref="C1:F1"/>
    <mergeCell ref="G1:J1"/>
    <mergeCell ref="K1:L1"/>
    <mergeCell ref="N1:R1"/>
    <mergeCell ref="V1:W1"/>
    <mergeCell ref="X1:Z1"/>
    <mergeCell ref="AA1:AB1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7.88"/>
    <col customWidth="1" min="3" max="3" width="32.75"/>
    <col customWidth="1" min="4" max="4" width="5.25"/>
    <col customWidth="1" min="5" max="5" width="35.88"/>
    <col customWidth="1" min="6" max="6" width="5.0"/>
    <col customWidth="1" min="7" max="7" width="26.0"/>
    <col customWidth="1" min="8" max="8" width="37.75"/>
    <col customWidth="1" min="10" max="10" width="22.5"/>
    <col customWidth="1" min="13" max="13" width="22.5"/>
  </cols>
  <sheetData>
    <row r="1">
      <c r="A1" s="1"/>
      <c r="B1" s="1"/>
      <c r="C1" s="1"/>
      <c r="D1" s="1"/>
      <c r="E1" s="3" t="s">
        <v>0</v>
      </c>
      <c r="F1" s="1"/>
      <c r="G1" s="3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339"/>
      <c r="B2" s="340"/>
      <c r="C2" s="341"/>
      <c r="D2" s="1"/>
      <c r="F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342">
        <v>1.0</v>
      </c>
      <c r="B3" s="343"/>
      <c r="C3" s="344"/>
      <c r="D3" s="9"/>
      <c r="E3" s="345" t="str">
        <f>HYPERLINK("https://drive.google.com/open?id=1wbw1U6KtN239WbZ4YuZZJjERbSp71u7M","Методические указания")</f>
        <v>Методические указания</v>
      </c>
      <c r="F3" s="1"/>
      <c r="G3" s="345" t="str">
        <f>HYPERLINK("https://drive.google.com/open?id=1r88E1mpte3cxgcUreQjp3a69ALbWha9t","Вопросы теста № 1")</f>
        <v>Вопросы теста № 1</v>
      </c>
      <c r="H3" s="345" t="str">
        <f>HYPERLINK("https://goo.gl/forms/oeOUTuGfH0HJfj3f1","Ответы на вопросы. Часть 1.")</f>
        <v>Ответы на вопросы. Часть 1.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342">
        <v>2.0</v>
      </c>
      <c r="B4" s="343"/>
      <c r="C4" s="344"/>
      <c r="D4" s="9"/>
      <c r="E4" s="345" t="str">
        <f>HYPERLINK("https://drive.google.com/open?id=154D02dINTrg2hBCd-1Dn6xBB8F6LWu4-","Лабораторный практикум")</f>
        <v>Лабораторный практикум</v>
      </c>
      <c r="F4" s="1"/>
      <c r="G4" s="345" t="str">
        <f>HYPERLINK("https://drive.google.com/open?id=15HItFiNQbAOH3i6_WBk8XU7L5ozfuNX4","Задания. Часть 2.")</f>
        <v>Задания. Часть 2.</v>
      </c>
      <c r="H4" s="345" t="str">
        <f>HYPERLINK("https://goo.gl/forms/u7mib0ICk7PaFC5G3","Ответы на вопросы. Часть 2.")</f>
        <v>Ответы на вопросы. Часть 2.</v>
      </c>
      <c r="I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342">
        <v>3.0</v>
      </c>
      <c r="B5" s="343"/>
      <c r="C5" s="344"/>
      <c r="D5" s="1"/>
      <c r="F5" s="1"/>
      <c r="G5" s="1"/>
      <c r="H5" s="345" t="str">
        <f>HYPERLINK("https://goo.gl/forms/ZpM2BbmXiSdutsz63","Тест. Потоки платежей, ренты")</f>
        <v>Тест. Потоки платежей, ренты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342">
        <v>4.0</v>
      </c>
      <c r="B6" s="343"/>
      <c r="C6" s="344"/>
      <c r="D6" s="9"/>
      <c r="E6" s="345" t="str">
        <f>HYPERLINK("https://drive.google.com/open?id=0B41qi4907Q_GWTFSR1E5aWV3WFo3eC12T3paUW1rSWsxLXpv","РПД")</f>
        <v>РПД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342">
        <v>5.0</v>
      </c>
      <c r="B7" s="343"/>
      <c r="C7" s="344"/>
      <c r="D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342">
        <v>6.0</v>
      </c>
      <c r="B8" s="343"/>
      <c r="C8" s="344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342">
        <v>7.0</v>
      </c>
      <c r="B9" s="343"/>
      <c r="C9" s="344"/>
      <c r="D9" s="1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342">
        <v>8.0</v>
      </c>
      <c r="B10" s="343"/>
      <c r="C10" s="3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342">
        <v>9.0</v>
      </c>
      <c r="B11" s="343"/>
      <c r="C11" s="344"/>
      <c r="D11" s="9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342">
        <v>10.0</v>
      </c>
      <c r="B12" s="343"/>
      <c r="C12" s="34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342">
        <v>11.0</v>
      </c>
      <c r="B13" s="343"/>
      <c r="C13" s="34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342">
        <v>12.0</v>
      </c>
      <c r="B14" s="343"/>
      <c r="C14" s="34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</sheetData>
  <mergeCells count="1">
    <mergeCell ref="A2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1.88"/>
    <col customWidth="1" min="2" max="2" width="5.25"/>
    <col customWidth="1" min="3" max="3" width="17.25"/>
    <col customWidth="1" min="4" max="4" width="17.38"/>
    <col customWidth="1" min="5" max="5" width="13.75"/>
    <col customWidth="1" min="6" max="6" width="9.38"/>
    <col customWidth="1" min="7" max="7" width="9.75"/>
    <col customWidth="1" min="8" max="8" width="9.88"/>
    <col customWidth="1" min="9" max="10" width="11.63"/>
    <col customWidth="1" min="11" max="11" width="25.75"/>
    <col customWidth="1" min="12" max="12" width="11.63"/>
    <col customWidth="1" min="18" max="18" width="36.63"/>
  </cols>
  <sheetData>
    <row r="1">
      <c r="A1" s="347"/>
      <c r="B1" s="348"/>
      <c r="C1" s="349" t="s">
        <v>78</v>
      </c>
      <c r="D1" s="47"/>
      <c r="E1" s="350" t="s">
        <v>79</v>
      </c>
      <c r="F1" s="350" t="s">
        <v>80</v>
      </c>
      <c r="G1" s="350" t="s">
        <v>81</v>
      </c>
      <c r="H1" s="350" t="s">
        <v>82</v>
      </c>
      <c r="I1" s="351" t="s">
        <v>83</v>
      </c>
      <c r="J1" s="46"/>
      <c r="K1" s="47"/>
      <c r="L1" s="350" t="s">
        <v>84</v>
      </c>
      <c r="M1" s="351" t="s">
        <v>85</v>
      </c>
      <c r="N1" s="46"/>
      <c r="O1" s="47"/>
      <c r="P1" s="351" t="s">
        <v>86</v>
      </c>
      <c r="Q1" s="46"/>
      <c r="R1" s="47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2"/>
    </row>
    <row r="2">
      <c r="A2" s="353"/>
      <c r="B2" s="354"/>
      <c r="C2" s="355" t="s">
        <v>161</v>
      </c>
      <c r="D2" s="356" t="s">
        <v>162</v>
      </c>
      <c r="E2" s="355" t="s">
        <v>163</v>
      </c>
      <c r="F2" s="355" t="s">
        <v>164</v>
      </c>
      <c r="G2" s="355" t="s">
        <v>165</v>
      </c>
      <c r="H2" s="355" t="s">
        <v>165</v>
      </c>
      <c r="I2" s="355" t="s">
        <v>166</v>
      </c>
      <c r="J2" s="354" t="s">
        <v>167</v>
      </c>
      <c r="K2" s="356" t="s">
        <v>108</v>
      </c>
      <c r="L2" s="357" t="s">
        <v>168</v>
      </c>
      <c r="M2" s="355" t="s">
        <v>169</v>
      </c>
      <c r="N2" s="354" t="s">
        <v>170</v>
      </c>
      <c r="O2" s="356" t="s">
        <v>171</v>
      </c>
      <c r="P2" s="355" t="s">
        <v>169</v>
      </c>
      <c r="Q2" s="358" t="s">
        <v>171</v>
      </c>
      <c r="R2" s="356" t="s">
        <v>108</v>
      </c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</row>
    <row r="3">
      <c r="A3" s="343"/>
      <c r="B3" s="359"/>
      <c r="C3" s="360"/>
      <c r="D3" s="361"/>
      <c r="E3" s="362"/>
      <c r="F3" s="362"/>
      <c r="G3" s="362"/>
      <c r="H3" s="362"/>
      <c r="I3" s="363"/>
      <c r="J3" s="364"/>
      <c r="K3" s="365"/>
      <c r="L3" s="366"/>
      <c r="M3" s="360"/>
      <c r="N3" s="367"/>
      <c r="O3" s="368"/>
      <c r="P3" s="369"/>
      <c r="Q3" s="370"/>
      <c r="R3" s="371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</row>
    <row r="4">
      <c r="A4" s="343"/>
      <c r="B4" s="373"/>
      <c r="C4" s="374"/>
      <c r="D4" s="375"/>
      <c r="E4" s="376"/>
      <c r="F4" s="377"/>
      <c r="G4" s="360"/>
      <c r="H4" s="363"/>
      <c r="I4" s="363"/>
      <c r="J4" s="378"/>
      <c r="K4" s="365"/>
      <c r="L4" s="379"/>
      <c r="M4" s="380"/>
      <c r="N4" s="364"/>
      <c r="O4" s="381"/>
      <c r="P4" s="369"/>
      <c r="Q4" s="370"/>
      <c r="R4" s="371"/>
      <c r="S4" s="372"/>
      <c r="T4" s="372"/>
      <c r="U4" s="372"/>
      <c r="V4" s="372"/>
      <c r="W4" s="372"/>
      <c r="X4" s="372"/>
      <c r="Y4" s="372"/>
      <c r="Z4" s="372"/>
      <c r="AA4" s="372"/>
      <c r="AB4" s="372"/>
      <c r="AC4" s="372"/>
    </row>
    <row r="5">
      <c r="A5" s="343"/>
      <c r="B5" s="373"/>
      <c r="C5" s="374"/>
      <c r="D5" s="375"/>
      <c r="E5" s="382"/>
      <c r="F5" s="383"/>
      <c r="G5" s="360"/>
      <c r="H5" s="360"/>
      <c r="I5" s="363"/>
      <c r="J5" s="384"/>
      <c r="K5" s="365"/>
      <c r="L5" s="379"/>
      <c r="M5" s="380"/>
      <c r="N5" s="364"/>
      <c r="O5" s="385"/>
      <c r="P5" s="369"/>
      <c r="Q5" s="370"/>
      <c r="R5" s="371"/>
      <c r="S5" s="372"/>
      <c r="T5" s="372"/>
      <c r="U5" s="372"/>
      <c r="V5" s="372"/>
      <c r="W5" s="372"/>
      <c r="X5" s="372"/>
      <c r="Y5" s="372"/>
      <c r="Z5" s="372"/>
      <c r="AA5" s="372"/>
      <c r="AB5" s="372"/>
      <c r="AC5" s="372"/>
    </row>
    <row r="6">
      <c r="A6" s="343"/>
      <c r="B6" s="386"/>
      <c r="C6" s="374"/>
      <c r="D6" s="375"/>
      <c r="E6" s="376"/>
      <c r="F6" s="383"/>
      <c r="G6" s="360"/>
      <c r="H6" s="360"/>
      <c r="I6" s="363"/>
      <c r="J6" s="364"/>
      <c r="K6" s="365"/>
      <c r="L6" s="387"/>
      <c r="M6" s="380"/>
      <c r="N6" s="364"/>
      <c r="O6" s="381"/>
      <c r="P6" s="369"/>
      <c r="Q6" s="388"/>
      <c r="R6" s="371"/>
      <c r="S6" s="372"/>
      <c r="T6" s="372"/>
      <c r="U6" s="372"/>
      <c r="V6" s="372"/>
      <c r="W6" s="372"/>
      <c r="X6" s="372"/>
      <c r="Y6" s="372"/>
      <c r="Z6" s="372"/>
      <c r="AA6" s="372"/>
      <c r="AB6" s="372"/>
      <c r="AC6" s="372"/>
    </row>
    <row r="7">
      <c r="A7" s="343"/>
      <c r="B7" s="389"/>
      <c r="C7" s="374"/>
      <c r="D7" s="375"/>
      <c r="E7" s="376"/>
      <c r="F7" s="383"/>
      <c r="G7" s="360"/>
      <c r="H7" s="360"/>
      <c r="I7" s="363"/>
      <c r="J7" s="364"/>
      <c r="K7" s="365"/>
      <c r="L7" s="390"/>
      <c r="M7" s="369"/>
      <c r="N7" s="216"/>
      <c r="O7" s="391"/>
      <c r="P7" s="369"/>
      <c r="Q7" s="370"/>
      <c r="R7" s="392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</row>
    <row r="8">
      <c r="A8" s="343"/>
      <c r="B8" s="386"/>
      <c r="C8" s="374"/>
      <c r="D8" s="375"/>
      <c r="E8" s="376"/>
      <c r="F8" s="383"/>
      <c r="G8" s="360"/>
      <c r="H8" s="360"/>
      <c r="I8" s="363"/>
      <c r="J8" s="364"/>
      <c r="K8" s="365"/>
      <c r="L8" s="379"/>
      <c r="M8" s="380"/>
      <c r="N8" s="393"/>
      <c r="O8" s="385"/>
      <c r="P8" s="369"/>
      <c r="Q8" s="370"/>
      <c r="R8" s="392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</row>
    <row r="9">
      <c r="A9" s="343"/>
      <c r="B9" s="386"/>
      <c r="C9" s="374"/>
      <c r="D9" s="375"/>
      <c r="E9" s="376"/>
      <c r="F9" s="383"/>
      <c r="G9" s="360"/>
      <c r="H9" s="360"/>
      <c r="I9" s="363"/>
      <c r="J9" s="364"/>
      <c r="K9" s="365"/>
      <c r="L9" s="394"/>
      <c r="M9" s="369"/>
      <c r="N9" s="216"/>
      <c r="O9" s="391"/>
      <c r="P9" s="369"/>
      <c r="Q9" s="370"/>
      <c r="R9" s="392"/>
      <c r="S9" s="395"/>
      <c r="T9" s="395"/>
      <c r="U9" s="395"/>
      <c r="V9" s="395"/>
      <c r="W9" s="395"/>
      <c r="X9" s="395"/>
      <c r="Y9" s="395"/>
      <c r="Z9" s="395"/>
      <c r="AA9" s="395"/>
      <c r="AB9" s="395"/>
      <c r="AC9" s="395"/>
    </row>
    <row r="10">
      <c r="A10" s="343"/>
      <c r="B10" s="373"/>
      <c r="C10" s="396"/>
      <c r="D10" s="397"/>
      <c r="E10" s="398"/>
      <c r="F10" s="399"/>
      <c r="G10" s="400"/>
      <c r="H10" s="401"/>
      <c r="I10" s="396"/>
      <c r="J10" s="402"/>
      <c r="K10" s="403"/>
      <c r="L10" s="404"/>
      <c r="M10" s="405"/>
      <c r="N10" s="406"/>
      <c r="O10" s="407"/>
      <c r="P10" s="408"/>
      <c r="Q10" s="409"/>
      <c r="R10" s="410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C10" s="372"/>
    </row>
    <row r="11">
      <c r="A11" s="343"/>
      <c r="B11" s="373"/>
      <c r="C11" s="374"/>
      <c r="D11" s="375"/>
      <c r="E11" s="376"/>
      <c r="F11" s="377"/>
      <c r="G11" s="360"/>
      <c r="H11" s="360"/>
      <c r="I11" s="363"/>
      <c r="J11" s="384"/>
      <c r="K11" s="365"/>
      <c r="L11" s="379"/>
      <c r="M11" s="411"/>
      <c r="N11" s="265"/>
      <c r="O11" s="385"/>
      <c r="P11" s="412"/>
      <c r="Q11" s="413"/>
      <c r="R11" s="39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C11" s="372"/>
    </row>
    <row r="12">
      <c r="A12" s="343"/>
      <c r="B12" s="386"/>
      <c r="C12" s="374"/>
      <c r="D12" s="375"/>
      <c r="E12" s="376"/>
      <c r="F12" s="383"/>
      <c r="G12" s="360"/>
      <c r="H12" s="360"/>
      <c r="I12" s="363"/>
      <c r="J12" s="364"/>
      <c r="K12" s="365"/>
      <c r="L12" s="414"/>
      <c r="M12" s="415"/>
      <c r="N12" s="265"/>
      <c r="O12" s="381"/>
      <c r="P12" s="415"/>
      <c r="Q12" s="265"/>
      <c r="R12" s="381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</row>
    <row r="13">
      <c r="A13" s="343"/>
      <c r="B13" s="386"/>
      <c r="C13" s="374"/>
      <c r="D13" s="375"/>
      <c r="E13" s="376"/>
      <c r="F13" s="383"/>
      <c r="G13" s="360"/>
      <c r="H13" s="360"/>
      <c r="I13" s="363"/>
      <c r="J13" s="413"/>
      <c r="K13" s="416"/>
      <c r="L13" s="387"/>
      <c r="M13" s="380"/>
      <c r="N13" s="417"/>
      <c r="O13" s="418"/>
      <c r="P13" s="369"/>
      <c r="Q13" s="370"/>
      <c r="R13" s="392"/>
      <c r="S13" s="372"/>
      <c r="T13" s="372"/>
      <c r="U13" s="372"/>
      <c r="V13" s="372"/>
      <c r="W13" s="372"/>
      <c r="X13" s="372"/>
      <c r="Y13" s="372"/>
      <c r="Z13" s="372"/>
      <c r="AA13" s="372"/>
      <c r="AB13" s="372"/>
      <c r="AC13" s="372"/>
    </row>
    <row r="14">
      <c r="A14" s="419"/>
      <c r="B14" s="420"/>
      <c r="C14" s="374"/>
      <c r="D14" s="375"/>
      <c r="E14" s="376"/>
      <c r="F14" s="383"/>
      <c r="G14" s="360"/>
      <c r="H14" s="360"/>
      <c r="I14" s="421"/>
      <c r="J14" s="364"/>
      <c r="K14" s="422"/>
      <c r="L14" s="414"/>
      <c r="M14" s="415"/>
      <c r="N14" s="265"/>
      <c r="O14" s="381"/>
      <c r="P14" s="415"/>
      <c r="Q14" s="265"/>
      <c r="R14" s="381"/>
      <c r="S14" s="372"/>
      <c r="T14" s="372"/>
      <c r="U14" s="372"/>
      <c r="V14" s="372"/>
      <c r="W14" s="372"/>
      <c r="X14" s="372"/>
      <c r="Y14" s="372"/>
      <c r="Z14" s="372"/>
      <c r="AA14" s="372"/>
      <c r="AB14" s="372"/>
      <c r="AC14" s="372"/>
    </row>
    <row r="15">
      <c r="A15" s="419"/>
      <c r="B15" s="423"/>
      <c r="C15" s="424"/>
      <c r="D15" s="425"/>
      <c r="E15" s="426"/>
      <c r="F15" s="424"/>
      <c r="G15" s="427"/>
      <c r="H15" s="428"/>
      <c r="I15" s="424"/>
      <c r="J15" s="429"/>
      <c r="K15" s="425"/>
      <c r="L15" s="430"/>
      <c r="M15" s="431"/>
      <c r="N15" s="429"/>
      <c r="O15" s="432"/>
      <c r="P15" s="431"/>
      <c r="Q15" s="429"/>
      <c r="R15" s="432"/>
      <c r="S15" s="372"/>
      <c r="T15" s="372"/>
      <c r="U15" s="372"/>
      <c r="V15" s="372"/>
      <c r="W15" s="372"/>
      <c r="X15" s="372"/>
      <c r="Y15" s="372"/>
      <c r="Z15" s="372"/>
      <c r="AA15" s="372"/>
      <c r="AB15" s="372"/>
      <c r="AC15" s="372"/>
    </row>
    <row r="16">
      <c r="A16" s="433" t="s">
        <v>172</v>
      </c>
      <c r="B16" s="434"/>
      <c r="C16" s="435" t="s">
        <v>173</v>
      </c>
      <c r="E16" s="436" t="s">
        <v>174</v>
      </c>
      <c r="F16" s="437"/>
      <c r="G16" s="438" t="s">
        <v>175</v>
      </c>
      <c r="H16" s="439"/>
      <c r="I16" s="439"/>
      <c r="J16" s="439"/>
      <c r="K16" s="439"/>
      <c r="L16" s="439"/>
      <c r="M16" s="439"/>
      <c r="N16" s="440"/>
      <c r="O16" s="439"/>
      <c r="P16" s="441"/>
      <c r="Q16" s="441"/>
      <c r="R16" s="441"/>
      <c r="S16" s="439"/>
      <c r="T16" s="439"/>
      <c r="U16" s="439"/>
      <c r="V16" s="439"/>
      <c r="W16" s="439"/>
      <c r="X16" s="439"/>
      <c r="Y16" s="439"/>
      <c r="Z16" s="439"/>
      <c r="AA16" s="439"/>
      <c r="AB16" s="439"/>
      <c r="AC16" s="439"/>
    </row>
    <row r="17">
      <c r="B17" s="334"/>
      <c r="C17" s="335" t="s">
        <v>158</v>
      </c>
      <c r="D17" s="338"/>
      <c r="E17" s="267"/>
      <c r="I17" s="442" t="str">
        <f>HYPERLINK("https://drive.google.com/open?id=1wbw1U6KtN239WbZ4YuZZJjERbSp71u7M","Методические указания")</f>
        <v>Методические указания</v>
      </c>
      <c r="J17" s="443"/>
    </row>
    <row r="18">
      <c r="B18" s="336"/>
      <c r="C18" s="444" t="s">
        <v>176</v>
      </c>
      <c r="D18" s="338"/>
      <c r="E18" s="338"/>
    </row>
    <row r="19">
      <c r="B19" s="336"/>
      <c r="C19" s="444" t="s">
        <v>177</v>
      </c>
      <c r="D19" s="338"/>
      <c r="E19" s="338"/>
    </row>
    <row r="20">
      <c r="B20" s="445"/>
      <c r="C20" s="446" t="s">
        <v>178</v>
      </c>
      <c r="D20" s="338"/>
      <c r="E20" s="338"/>
    </row>
    <row r="21">
      <c r="B21" s="336"/>
      <c r="C21" s="444"/>
      <c r="D21" s="338"/>
      <c r="E21" s="338"/>
    </row>
    <row r="198">
      <c r="A198" s="447"/>
      <c r="B198" s="447"/>
      <c r="C198" s="447"/>
      <c r="D198" s="447"/>
      <c r="E198" s="447"/>
      <c r="F198" s="447"/>
      <c r="G198" s="447"/>
      <c r="H198" s="447"/>
      <c r="I198" s="447"/>
      <c r="J198" s="447"/>
      <c r="K198" s="447"/>
      <c r="L198" s="447"/>
      <c r="M198" s="447"/>
      <c r="N198" s="447"/>
      <c r="O198" s="447"/>
      <c r="P198" s="447"/>
      <c r="Q198" s="447"/>
      <c r="R198" s="447"/>
      <c r="S198" s="447"/>
      <c r="T198" s="447"/>
      <c r="U198" s="447"/>
      <c r="V198" s="447"/>
      <c r="W198" s="447"/>
      <c r="X198" s="447"/>
      <c r="Y198" s="447"/>
      <c r="Z198" s="447"/>
      <c r="AA198" s="447"/>
      <c r="AB198" s="447"/>
      <c r="AC198" s="447"/>
    </row>
    <row r="199">
      <c r="A199" s="447"/>
      <c r="B199" s="447"/>
      <c r="C199" s="447"/>
      <c r="D199" s="447"/>
      <c r="E199" s="447"/>
      <c r="F199" s="447"/>
      <c r="G199" s="447"/>
      <c r="H199" s="447"/>
      <c r="I199" s="447"/>
      <c r="J199" s="447"/>
      <c r="K199" s="447"/>
      <c r="L199" s="447"/>
      <c r="M199" s="447"/>
      <c r="N199" s="447"/>
      <c r="O199" s="447"/>
      <c r="P199" s="447"/>
      <c r="Q199" s="447"/>
      <c r="R199" s="447"/>
      <c r="S199" s="447"/>
      <c r="T199" s="447"/>
      <c r="U199" s="447"/>
      <c r="V199" s="447"/>
      <c r="W199" s="447"/>
      <c r="X199" s="447"/>
      <c r="Y199" s="447"/>
      <c r="Z199" s="447"/>
      <c r="AA199" s="447"/>
      <c r="AB199" s="447"/>
      <c r="AC199" s="447"/>
    </row>
    <row r="200">
      <c r="A200" s="447"/>
      <c r="B200" s="447"/>
      <c r="C200" s="447"/>
      <c r="D200" s="447"/>
      <c r="E200" s="447"/>
      <c r="F200" s="447"/>
      <c r="G200" s="447"/>
      <c r="H200" s="447"/>
      <c r="I200" s="447"/>
      <c r="J200" s="447"/>
      <c r="K200" s="447"/>
      <c r="L200" s="447"/>
      <c r="M200" s="447"/>
      <c r="N200" s="447"/>
      <c r="O200" s="447"/>
      <c r="P200" s="447"/>
      <c r="Q200" s="447"/>
      <c r="R200" s="447"/>
      <c r="S200" s="447"/>
      <c r="T200" s="447"/>
      <c r="U200" s="447"/>
      <c r="V200" s="447"/>
      <c r="W200" s="447"/>
      <c r="X200" s="447"/>
      <c r="Y200" s="447"/>
      <c r="Z200" s="447"/>
      <c r="AA200" s="447"/>
      <c r="AB200" s="447"/>
      <c r="AC200" s="447"/>
    </row>
    <row r="201">
      <c r="A201" s="447"/>
      <c r="B201" s="447"/>
      <c r="C201" s="447"/>
      <c r="D201" s="447"/>
      <c r="E201" s="447"/>
      <c r="F201" s="447"/>
      <c r="G201" s="447"/>
      <c r="H201" s="447"/>
      <c r="I201" s="447"/>
      <c r="J201" s="447"/>
      <c r="K201" s="447"/>
      <c r="L201" s="447"/>
      <c r="M201" s="447"/>
      <c r="N201" s="447"/>
      <c r="O201" s="447"/>
      <c r="P201" s="447"/>
      <c r="Q201" s="447"/>
      <c r="R201" s="447"/>
      <c r="S201" s="447"/>
      <c r="T201" s="447"/>
      <c r="U201" s="447"/>
      <c r="V201" s="447"/>
      <c r="W201" s="447"/>
      <c r="X201" s="447"/>
      <c r="Y201" s="447"/>
      <c r="Z201" s="447"/>
      <c r="AA201" s="447"/>
      <c r="AB201" s="447"/>
      <c r="AC201" s="447"/>
    </row>
    <row r="202">
      <c r="A202" s="447"/>
      <c r="B202" s="447"/>
      <c r="C202" s="447"/>
      <c r="D202" s="447"/>
      <c r="E202" s="447"/>
      <c r="F202" s="447"/>
      <c r="G202" s="447"/>
      <c r="H202" s="447"/>
      <c r="I202" s="447"/>
      <c r="J202" s="447"/>
      <c r="K202" s="447"/>
      <c r="L202" s="447"/>
      <c r="M202" s="447"/>
      <c r="N202" s="447"/>
      <c r="O202" s="447"/>
      <c r="P202" s="447"/>
      <c r="Q202" s="447"/>
      <c r="R202" s="447"/>
      <c r="S202" s="447"/>
      <c r="T202" s="447"/>
      <c r="U202" s="447"/>
      <c r="V202" s="447"/>
      <c r="W202" s="447"/>
      <c r="X202" s="447"/>
      <c r="Y202" s="447"/>
      <c r="Z202" s="447"/>
      <c r="AA202" s="447"/>
      <c r="AB202" s="447"/>
      <c r="AC202" s="447"/>
    </row>
    <row r="203">
      <c r="A203" s="447"/>
      <c r="B203" s="447"/>
      <c r="C203" s="447"/>
      <c r="D203" s="447"/>
      <c r="E203" s="447"/>
      <c r="F203" s="447"/>
      <c r="G203" s="447"/>
      <c r="H203" s="447"/>
      <c r="I203" s="447"/>
      <c r="J203" s="447"/>
      <c r="K203" s="447"/>
      <c r="L203" s="447"/>
      <c r="M203" s="447"/>
      <c r="N203" s="447"/>
      <c r="O203" s="447"/>
      <c r="P203" s="447"/>
      <c r="Q203" s="447"/>
      <c r="R203" s="447"/>
      <c r="S203" s="447"/>
      <c r="T203" s="447"/>
      <c r="U203" s="447"/>
      <c r="V203" s="447"/>
      <c r="W203" s="447"/>
      <c r="X203" s="447"/>
      <c r="Y203" s="447"/>
      <c r="Z203" s="447"/>
      <c r="AA203" s="447"/>
      <c r="AB203" s="447"/>
      <c r="AC203" s="447"/>
    </row>
    <row r="204">
      <c r="A204" s="447"/>
      <c r="B204" s="447"/>
      <c r="C204" s="447"/>
      <c r="D204" s="447"/>
      <c r="E204" s="447"/>
      <c r="F204" s="447"/>
      <c r="G204" s="447"/>
      <c r="H204" s="447"/>
      <c r="I204" s="447"/>
      <c r="J204" s="447"/>
      <c r="K204" s="447"/>
      <c r="L204" s="447"/>
      <c r="M204" s="447"/>
      <c r="N204" s="447"/>
      <c r="O204" s="447"/>
      <c r="P204" s="447"/>
      <c r="Q204" s="447"/>
      <c r="R204" s="447"/>
      <c r="S204" s="447"/>
      <c r="T204" s="447"/>
      <c r="U204" s="447"/>
      <c r="V204" s="447"/>
      <c r="W204" s="447"/>
      <c r="X204" s="447"/>
      <c r="Y204" s="447"/>
      <c r="Z204" s="447"/>
      <c r="AA204" s="447"/>
      <c r="AB204" s="447"/>
      <c r="AC204" s="447"/>
    </row>
    <row r="205">
      <c r="A205" s="447"/>
      <c r="B205" s="447"/>
      <c r="C205" s="447"/>
      <c r="D205" s="447"/>
      <c r="E205" s="447"/>
      <c r="F205" s="447"/>
      <c r="G205" s="447"/>
      <c r="H205" s="447"/>
      <c r="I205" s="447"/>
      <c r="J205" s="447"/>
      <c r="K205" s="447"/>
      <c r="L205" s="447"/>
      <c r="M205" s="447"/>
      <c r="N205" s="447"/>
      <c r="O205" s="447"/>
      <c r="P205" s="447"/>
      <c r="Q205" s="447"/>
      <c r="R205" s="447"/>
      <c r="S205" s="447"/>
      <c r="T205" s="447"/>
      <c r="U205" s="447"/>
      <c r="V205" s="447"/>
      <c r="W205" s="447"/>
      <c r="X205" s="447"/>
      <c r="Y205" s="447"/>
      <c r="Z205" s="447"/>
      <c r="AA205" s="447"/>
      <c r="AB205" s="447"/>
      <c r="AC205" s="447"/>
    </row>
    <row r="206">
      <c r="A206" s="447"/>
      <c r="B206" s="447"/>
      <c r="C206" s="447"/>
      <c r="D206" s="447"/>
      <c r="E206" s="447"/>
      <c r="F206" s="447"/>
      <c r="G206" s="447"/>
      <c r="H206" s="447"/>
      <c r="I206" s="447"/>
      <c r="J206" s="447"/>
      <c r="K206" s="447"/>
      <c r="L206" s="447"/>
      <c r="M206" s="447"/>
      <c r="N206" s="447"/>
      <c r="O206" s="447"/>
      <c r="P206" s="447"/>
      <c r="Q206" s="447"/>
      <c r="R206" s="447"/>
      <c r="S206" s="447"/>
      <c r="T206" s="447"/>
      <c r="U206" s="447"/>
      <c r="V206" s="447"/>
      <c r="W206" s="447"/>
      <c r="X206" s="447"/>
      <c r="Y206" s="447"/>
      <c r="Z206" s="447"/>
      <c r="AA206" s="447"/>
      <c r="AB206" s="447"/>
      <c r="AC206" s="447"/>
    </row>
    <row r="207">
      <c r="A207" s="447"/>
      <c r="B207" s="447"/>
      <c r="C207" s="447"/>
      <c r="D207" s="447"/>
      <c r="E207" s="447"/>
      <c r="F207" s="447"/>
      <c r="G207" s="447"/>
      <c r="H207" s="447"/>
      <c r="I207" s="447"/>
      <c r="J207" s="447"/>
      <c r="K207" s="447"/>
      <c r="L207" s="447"/>
      <c r="M207" s="447"/>
      <c r="N207" s="447"/>
      <c r="O207" s="447"/>
      <c r="P207" s="447"/>
      <c r="Q207" s="447"/>
      <c r="R207" s="447"/>
      <c r="S207" s="447"/>
      <c r="T207" s="447"/>
      <c r="U207" s="447"/>
      <c r="V207" s="447"/>
      <c r="W207" s="447"/>
      <c r="X207" s="447"/>
      <c r="Y207" s="447"/>
      <c r="Z207" s="447"/>
      <c r="AA207" s="447"/>
      <c r="AB207" s="447"/>
      <c r="AC207" s="447"/>
    </row>
    <row r="208">
      <c r="A208" s="447"/>
      <c r="B208" s="447"/>
      <c r="C208" s="447"/>
      <c r="D208" s="447"/>
      <c r="E208" s="447"/>
      <c r="F208" s="447"/>
      <c r="G208" s="447"/>
      <c r="H208" s="447"/>
      <c r="I208" s="447"/>
      <c r="J208" s="447"/>
      <c r="K208" s="447"/>
      <c r="L208" s="447"/>
      <c r="M208" s="447"/>
      <c r="N208" s="447"/>
      <c r="O208" s="447"/>
      <c r="P208" s="447"/>
      <c r="Q208" s="447"/>
      <c r="R208" s="447"/>
      <c r="S208" s="447"/>
      <c r="T208" s="447"/>
      <c r="U208" s="447"/>
      <c r="V208" s="447"/>
      <c r="W208" s="447"/>
      <c r="X208" s="447"/>
      <c r="Y208" s="447"/>
      <c r="Z208" s="447"/>
      <c r="AA208" s="447"/>
      <c r="AB208" s="447"/>
      <c r="AC208" s="447"/>
    </row>
    <row r="209">
      <c r="A209" s="447"/>
      <c r="B209" s="447"/>
      <c r="C209" s="447"/>
      <c r="D209" s="447"/>
      <c r="E209" s="447"/>
      <c r="F209" s="447"/>
      <c r="G209" s="447"/>
      <c r="H209" s="447"/>
      <c r="I209" s="447"/>
      <c r="J209" s="447"/>
      <c r="K209" s="447"/>
      <c r="L209" s="447"/>
      <c r="M209" s="447"/>
      <c r="N209" s="447"/>
      <c r="O209" s="447"/>
      <c r="P209" s="447"/>
      <c r="Q209" s="447"/>
      <c r="R209" s="447"/>
      <c r="S209" s="447"/>
      <c r="T209" s="447"/>
      <c r="U209" s="447"/>
      <c r="V209" s="447"/>
      <c r="W209" s="447"/>
      <c r="X209" s="447"/>
      <c r="Y209" s="447"/>
      <c r="Z209" s="447"/>
      <c r="AA209" s="447"/>
      <c r="AB209" s="447"/>
      <c r="AC209" s="447"/>
    </row>
    <row r="210">
      <c r="A210" s="447"/>
      <c r="B210" s="447"/>
      <c r="C210" s="447"/>
      <c r="D210" s="447"/>
      <c r="E210" s="447"/>
      <c r="F210" s="447"/>
      <c r="G210" s="447"/>
      <c r="H210" s="447"/>
      <c r="I210" s="447"/>
      <c r="J210" s="447"/>
      <c r="K210" s="447"/>
      <c r="L210" s="447"/>
      <c r="M210" s="447"/>
      <c r="N210" s="447"/>
      <c r="O210" s="447"/>
      <c r="P210" s="447"/>
      <c r="Q210" s="447"/>
      <c r="R210" s="447"/>
      <c r="S210" s="447"/>
      <c r="T210" s="447"/>
      <c r="U210" s="447"/>
      <c r="V210" s="447"/>
      <c r="W210" s="447"/>
      <c r="X210" s="447"/>
      <c r="Y210" s="447"/>
      <c r="Z210" s="447"/>
      <c r="AA210" s="447"/>
      <c r="AB210" s="447"/>
      <c r="AC210" s="447"/>
    </row>
    <row r="211">
      <c r="A211" s="447"/>
      <c r="B211" s="447"/>
      <c r="C211" s="447"/>
      <c r="D211" s="447"/>
      <c r="E211" s="447"/>
      <c r="F211" s="447"/>
      <c r="G211" s="447"/>
      <c r="H211" s="447"/>
      <c r="I211" s="447"/>
      <c r="J211" s="447"/>
      <c r="K211" s="447"/>
      <c r="L211" s="447"/>
      <c r="M211" s="447"/>
      <c r="N211" s="447"/>
      <c r="O211" s="447"/>
      <c r="P211" s="447"/>
      <c r="Q211" s="447"/>
      <c r="R211" s="447"/>
      <c r="S211" s="447"/>
      <c r="T211" s="447"/>
      <c r="U211" s="447"/>
      <c r="V211" s="447"/>
      <c r="W211" s="447"/>
      <c r="X211" s="447"/>
      <c r="Y211" s="447"/>
      <c r="Z211" s="447"/>
      <c r="AA211" s="447"/>
      <c r="AB211" s="447"/>
      <c r="AC211" s="447"/>
    </row>
  </sheetData>
  <mergeCells count="5">
    <mergeCell ref="C1:D1"/>
    <mergeCell ref="I1:K1"/>
    <mergeCell ref="M1:O1"/>
    <mergeCell ref="P1:R1"/>
    <mergeCell ref="C16:D16"/>
  </mergeCells>
  <conditionalFormatting sqref="L3">
    <cfRule type="notContainsBlanks" dxfId="3" priority="1">
      <formula>LEN(TRIM(L3))&gt;0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3.5"/>
    <col customWidth="1" min="3" max="3" width="9.88"/>
    <col customWidth="1" min="4" max="5" width="7.13"/>
    <col customWidth="1" min="6" max="6" width="9.75"/>
    <col customWidth="1" min="7" max="7" width="8.75"/>
    <col customWidth="1" min="8" max="8" width="8.25"/>
    <col customWidth="1" min="9" max="9" width="7.38"/>
    <col customWidth="1" min="10" max="10" width="24.38"/>
  </cols>
  <sheetData>
    <row r="1">
      <c r="D1" s="448"/>
      <c r="E1" s="449"/>
      <c r="F1" s="449"/>
      <c r="G1" s="340"/>
      <c r="H1" s="450"/>
    </row>
    <row r="2">
      <c r="A2" s="451"/>
      <c r="B2" s="340"/>
      <c r="C2" s="452" t="s">
        <v>179</v>
      </c>
      <c r="D2" s="452" t="s">
        <v>180</v>
      </c>
      <c r="E2" s="452" t="s">
        <v>181</v>
      </c>
      <c r="F2" s="452" t="s">
        <v>182</v>
      </c>
      <c r="G2" s="452" t="s">
        <v>183</v>
      </c>
      <c r="H2" s="452" t="s">
        <v>184</v>
      </c>
      <c r="I2" s="453" t="s">
        <v>185</v>
      </c>
      <c r="J2" s="452" t="s">
        <v>186</v>
      </c>
      <c r="K2" s="452" t="s">
        <v>187</v>
      </c>
      <c r="N2" s="454"/>
    </row>
    <row r="3">
      <c r="A3" s="455">
        <v>1.0</v>
      </c>
      <c r="B3" s="26"/>
      <c r="C3" s="456"/>
      <c r="D3" s="456"/>
      <c r="E3" s="456"/>
      <c r="F3" s="457"/>
      <c r="G3" s="457"/>
      <c r="H3" s="456"/>
      <c r="I3" s="457"/>
      <c r="J3" s="458"/>
      <c r="K3" s="459" t="str">
        <f t="shared" ref="K3:K19" si="1">IF(AND(I3&gt;35,J3=" +"), "Зачет","нет зачета")</f>
        <v>нет зачета</v>
      </c>
      <c r="L3" s="267"/>
      <c r="M3" s="460"/>
      <c r="N3" s="461"/>
      <c r="O3" s="462"/>
    </row>
    <row r="4">
      <c r="A4" s="455">
        <v>2.0</v>
      </c>
      <c r="B4" s="29"/>
      <c r="C4" s="457"/>
      <c r="D4" s="456"/>
      <c r="E4" s="456"/>
      <c r="F4" s="457"/>
      <c r="G4" s="457"/>
      <c r="H4" s="456"/>
      <c r="I4" s="457"/>
      <c r="J4" s="458"/>
      <c r="K4" s="459" t="str">
        <f t="shared" si="1"/>
        <v>нет зачета</v>
      </c>
      <c r="L4" s="267"/>
      <c r="M4" s="460"/>
      <c r="N4" s="461"/>
      <c r="O4" s="462"/>
    </row>
    <row r="5">
      <c r="A5" s="455">
        <v>3.0</v>
      </c>
      <c r="B5" s="32"/>
      <c r="C5" s="456"/>
      <c r="D5" s="456"/>
      <c r="E5" s="456"/>
      <c r="F5" s="457"/>
      <c r="G5" s="457"/>
      <c r="H5" s="457"/>
      <c r="I5" s="457"/>
      <c r="J5" s="458"/>
      <c r="K5" s="459" t="str">
        <f t="shared" si="1"/>
        <v>нет зачета</v>
      </c>
      <c r="L5" s="463"/>
      <c r="M5" s="460"/>
      <c r="N5" s="461"/>
      <c r="O5" s="462"/>
    </row>
    <row r="6">
      <c r="A6" s="455">
        <v>4.0</v>
      </c>
      <c r="B6" s="29"/>
      <c r="C6" s="456"/>
      <c r="D6" s="456"/>
      <c r="E6" s="456"/>
      <c r="F6" s="457"/>
      <c r="G6" s="457"/>
      <c r="H6" s="456"/>
      <c r="I6" s="457"/>
      <c r="J6" s="458"/>
      <c r="K6" s="459" t="str">
        <f t="shared" si="1"/>
        <v>нет зачета</v>
      </c>
      <c r="L6" s="463"/>
      <c r="M6" s="460"/>
      <c r="N6" s="461"/>
      <c r="O6" s="462"/>
    </row>
    <row r="7">
      <c r="A7" s="455">
        <v>5.0</v>
      </c>
      <c r="B7" s="29"/>
      <c r="C7" s="457"/>
      <c r="D7" s="457"/>
      <c r="E7" s="457"/>
      <c r="F7" s="457"/>
      <c r="G7" s="457"/>
      <c r="H7" s="457"/>
      <c r="I7" s="457"/>
      <c r="J7" s="458"/>
      <c r="K7" s="459" t="str">
        <f t="shared" si="1"/>
        <v>нет зачета</v>
      </c>
      <c r="L7" s="463"/>
      <c r="M7" s="460"/>
      <c r="N7" s="461"/>
      <c r="O7" s="462"/>
    </row>
    <row r="8">
      <c r="A8" s="455">
        <v>6.0</v>
      </c>
      <c r="B8" s="29"/>
      <c r="C8" s="456"/>
      <c r="D8" s="456"/>
      <c r="E8" s="456"/>
      <c r="F8" s="457"/>
      <c r="G8" s="457"/>
      <c r="H8" s="456"/>
      <c r="I8" s="457"/>
      <c r="J8" s="458"/>
      <c r="K8" s="459" t="str">
        <f t="shared" si="1"/>
        <v>нет зачета</v>
      </c>
      <c r="L8" s="463"/>
      <c r="M8" s="460"/>
      <c r="N8" s="461"/>
      <c r="O8" s="462"/>
    </row>
    <row r="9">
      <c r="A9" s="455">
        <v>7.0</v>
      </c>
      <c r="B9" s="29"/>
      <c r="C9" s="457"/>
      <c r="D9" s="456"/>
      <c r="E9" s="456"/>
      <c r="F9" s="457"/>
      <c r="G9" s="457"/>
      <c r="H9" s="456"/>
      <c r="I9" s="457"/>
      <c r="J9" s="458"/>
      <c r="K9" s="459" t="str">
        <f t="shared" si="1"/>
        <v>нет зачета</v>
      </c>
      <c r="L9" s="463"/>
      <c r="M9" s="460"/>
      <c r="N9" s="461"/>
      <c r="O9" s="462"/>
    </row>
    <row r="10">
      <c r="A10" s="455">
        <v>8.0</v>
      </c>
      <c r="B10" s="29"/>
      <c r="C10" s="456"/>
      <c r="D10" s="456"/>
      <c r="E10" s="456"/>
      <c r="F10" s="457"/>
      <c r="G10" s="457"/>
      <c r="H10" s="457"/>
      <c r="I10" s="457"/>
      <c r="J10" s="458"/>
      <c r="K10" s="459" t="str">
        <f t="shared" si="1"/>
        <v>нет зачета</v>
      </c>
      <c r="L10" s="463"/>
      <c r="M10" s="460"/>
      <c r="N10" s="461"/>
      <c r="O10" s="462"/>
    </row>
    <row r="11">
      <c r="A11" s="455">
        <v>9.0</v>
      </c>
      <c r="B11" s="29"/>
      <c r="C11" s="456"/>
      <c r="D11" s="456"/>
      <c r="E11" s="456"/>
      <c r="F11" s="457"/>
      <c r="G11" s="457"/>
      <c r="H11" s="456"/>
      <c r="I11" s="457"/>
      <c r="J11" s="458"/>
      <c r="K11" s="459" t="str">
        <f t="shared" si="1"/>
        <v>нет зачета</v>
      </c>
      <c r="L11" s="463"/>
      <c r="M11" s="460"/>
      <c r="N11" s="461"/>
      <c r="O11" s="462"/>
    </row>
    <row r="12">
      <c r="A12" s="455">
        <v>10.0</v>
      </c>
      <c r="B12" s="29"/>
      <c r="C12" s="456"/>
      <c r="D12" s="456"/>
      <c r="E12" s="456"/>
      <c r="F12" s="457"/>
      <c r="G12" s="457"/>
      <c r="H12" s="456"/>
      <c r="I12" s="457"/>
      <c r="J12" s="458"/>
      <c r="K12" s="459" t="str">
        <f t="shared" si="1"/>
        <v>нет зачета</v>
      </c>
      <c r="L12" s="463"/>
      <c r="M12" s="267"/>
    </row>
    <row r="13">
      <c r="A13" s="455">
        <v>11.0</v>
      </c>
      <c r="B13" s="39"/>
      <c r="C13" s="457"/>
      <c r="D13" s="456"/>
      <c r="E13" s="456"/>
      <c r="F13" s="457"/>
      <c r="G13" s="457"/>
      <c r="H13" s="456"/>
      <c r="I13" s="457"/>
      <c r="J13" s="458"/>
      <c r="K13" s="459" t="str">
        <f t="shared" si="1"/>
        <v>нет зачета</v>
      </c>
      <c r="L13" s="463"/>
      <c r="M13" s="267"/>
    </row>
    <row r="14">
      <c r="A14" s="455">
        <v>12.0</v>
      </c>
      <c r="B14" s="29"/>
      <c r="C14" s="456"/>
      <c r="D14" s="456"/>
      <c r="E14" s="456"/>
      <c r="F14" s="457"/>
      <c r="G14" s="457"/>
      <c r="H14" s="456"/>
      <c r="I14" s="457"/>
      <c r="J14" s="458"/>
      <c r="K14" s="459" t="str">
        <f t="shared" si="1"/>
        <v>нет зачета</v>
      </c>
      <c r="L14" s="463"/>
      <c r="M14" s="267"/>
    </row>
    <row r="15">
      <c r="A15" s="455">
        <v>13.0</v>
      </c>
      <c r="B15" s="29"/>
      <c r="C15" s="456"/>
      <c r="D15" s="456"/>
      <c r="E15" s="456"/>
      <c r="F15" s="457"/>
      <c r="G15" s="457"/>
      <c r="H15" s="456"/>
      <c r="I15" s="457"/>
      <c r="J15" s="458"/>
      <c r="K15" s="459" t="str">
        <f t="shared" si="1"/>
        <v>нет зачета</v>
      </c>
    </row>
    <row r="16">
      <c r="A16" s="455">
        <v>14.0</v>
      </c>
      <c r="B16" s="29"/>
      <c r="C16" s="456"/>
      <c r="D16" s="456"/>
      <c r="E16" s="464"/>
      <c r="F16" s="457"/>
      <c r="G16" s="457"/>
      <c r="H16" s="456"/>
      <c r="I16" s="457"/>
      <c r="J16" s="458"/>
      <c r="K16" s="459" t="str">
        <f t="shared" si="1"/>
        <v>нет зачета</v>
      </c>
    </row>
    <row r="17">
      <c r="A17" s="455">
        <v>15.0</v>
      </c>
      <c r="B17" s="29"/>
      <c r="C17" s="456"/>
      <c r="D17" s="456"/>
      <c r="E17" s="456"/>
      <c r="F17" s="457"/>
      <c r="G17" s="457"/>
      <c r="H17" s="456"/>
      <c r="I17" s="457"/>
      <c r="J17" s="458"/>
      <c r="K17" s="459" t="str">
        <f t="shared" si="1"/>
        <v>нет зачета</v>
      </c>
    </row>
    <row r="18">
      <c r="A18" s="455">
        <v>16.0</v>
      </c>
      <c r="B18" s="29"/>
      <c r="C18" s="456"/>
      <c r="D18" s="456"/>
      <c r="E18" s="456"/>
      <c r="F18" s="457"/>
      <c r="G18" s="457"/>
      <c r="H18" s="456"/>
      <c r="I18" s="457"/>
      <c r="J18" s="458"/>
      <c r="K18" s="459" t="str">
        <f t="shared" si="1"/>
        <v>нет зачета</v>
      </c>
    </row>
    <row r="19">
      <c r="A19" s="455">
        <v>17.0</v>
      </c>
      <c r="B19" s="29"/>
      <c r="C19" s="458"/>
      <c r="D19" s="457"/>
      <c r="E19" s="457"/>
      <c r="F19" s="457"/>
      <c r="G19" s="457"/>
      <c r="H19" s="457"/>
      <c r="I19" s="457"/>
      <c r="J19" s="458"/>
      <c r="K19" s="459" t="str">
        <f t="shared" si="1"/>
        <v>нет зачета</v>
      </c>
    </row>
    <row r="20">
      <c r="B20" s="465"/>
      <c r="C20" s="466"/>
      <c r="E20" s="466"/>
    </row>
    <row r="21">
      <c r="B21" s="465"/>
      <c r="C21" s="267"/>
    </row>
  </sheetData>
  <mergeCells count="2">
    <mergeCell ref="D1:G1"/>
    <mergeCell ref="A2:B2"/>
  </mergeCells>
  <conditionalFormatting sqref="K3:K19">
    <cfRule type="cellIs" dxfId="3" priority="1" operator="equal">
      <formula>"зачет!"</formula>
    </cfRule>
  </conditionalFormatting>
  <conditionalFormatting sqref="J3:J19">
    <cfRule type="notContainsText" dxfId="4" priority="2" operator="notContains" text=" +">
      <formula>ISERROR(SEARCH((" +"),(J3)))</formula>
    </cfRule>
  </conditionalFormatting>
  <conditionalFormatting sqref="K3:K19">
    <cfRule type="cellIs" dxfId="3" priority="3" operator="equal">
      <formula>"Зачет"</formula>
    </cfRule>
  </conditionalFormatting>
  <drawing r:id="rId1"/>
</worksheet>
</file>